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2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未售" sheetId="77"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土地比较法-住宅、综合" sheetId="39" r:id="rId22"/>
    <sheet name="假设开发法" sheetId="12" state="hidden" r:id="rId23"/>
    <sheet name="收益法 (元)" sheetId="67" state="hidden" r:id="rId24"/>
    <sheet name="土地案例" sheetId="82" r:id="rId25"/>
    <sheet name="案例位置" sheetId="81"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商业）" sheetId="15" r:id="rId35"/>
    <sheet name="收益法（LOFT公寓）" sheetId="80" r:id="rId36"/>
    <sheet name="收益法（平层公寓）" sheetId="79" r:id="rId37"/>
    <sheet name="长安天街成交数据" sheetId="83" r:id="rId38"/>
    <sheet name="西长安街一号成交数据" sheetId="84" r:id="rId39"/>
    <sheet name="华润悦景湾成交数据" sheetId="85"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租金" sheetId="86" r:id="rId53"/>
    <sheet name="售价" sheetId="87" r:id="rId54"/>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3" hidden="1">未售!$B$1:$J$810</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5">'收益法（LOFT公寓）'!$A$1:$AK$69</definedName>
    <definedName name="_xlnm.Print_Area" localSheetId="36">'收益法（平层公寓）'!$A$1:$AK$69</definedName>
    <definedName name="_xlnm.Print_Area" localSheetId="34">'收益法（商业）'!$A$1:$AK$69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W20" i="1" l="1"/>
  <c r="W19" i="1" l="1"/>
  <c r="W18" i="1"/>
  <c r="W21" i="1" s="1"/>
  <c r="U8" i="1" s="1"/>
  <c r="C10" i="39" l="1"/>
  <c r="I7" i="39" l="1"/>
  <c r="G7" i="39"/>
  <c r="E7" i="39"/>
  <c r="I38" i="39"/>
  <c r="G38" i="39"/>
  <c r="E38" i="39"/>
  <c r="I11" i="39"/>
  <c r="G11" i="39"/>
  <c r="E11" i="39"/>
  <c r="I10" i="39"/>
  <c r="G10" i="39"/>
  <c r="E10" i="39"/>
  <c r="F75" i="39"/>
  <c r="E75" i="39"/>
  <c r="D75" i="39"/>
  <c r="I6" i="39"/>
  <c r="G6" i="39"/>
  <c r="E6" i="39"/>
  <c r="I5" i="39"/>
  <c r="G5" i="39"/>
  <c r="E5" i="39"/>
  <c r="P71" i="39"/>
  <c r="Q71" i="39" s="1"/>
  <c r="R71" i="39" s="1"/>
  <c r="S71" i="39" s="1"/>
  <c r="D71" i="39" l="1"/>
  <c r="E71" i="39" s="1"/>
  <c r="F71" i="39" s="1"/>
  <c r="G71" i="39" s="1"/>
  <c r="H71" i="39" s="1"/>
  <c r="I71" i="39" s="1"/>
  <c r="J71" i="39" s="1"/>
  <c r="K71" i="39" s="1"/>
  <c r="L71" i="39" s="1"/>
  <c r="M71" i="39" s="1"/>
  <c r="N71" i="39" s="1"/>
  <c r="O71" i="39" s="1"/>
  <c r="C75" i="39"/>
  <c r="Q72" i="80"/>
  <c r="Q59" i="80"/>
  <c r="K59" i="80"/>
  <c r="P74" i="80" s="1"/>
  <c r="F59" i="80"/>
  <c r="Q58" i="80"/>
  <c r="Q51" i="80"/>
  <c r="J50" i="80"/>
  <c r="J51" i="80" s="1"/>
  <c r="M47" i="80"/>
  <c r="D46" i="80"/>
  <c r="F33" i="80"/>
  <c r="F61" i="80" s="1"/>
  <c r="F31" i="80"/>
  <c r="F23" i="80"/>
  <c r="D23" i="80" s="1"/>
  <c r="F21" i="80"/>
  <c r="F20" i="80"/>
  <c r="M19" i="80"/>
  <c r="F18" i="80"/>
  <c r="M17" i="80"/>
  <c r="F17" i="80"/>
  <c r="F15" i="80"/>
  <c r="G1" i="80"/>
  <c r="Q72" i="79"/>
  <c r="Q59" i="79"/>
  <c r="K59" i="79"/>
  <c r="P74" i="79" s="1"/>
  <c r="F59" i="79"/>
  <c r="Q58" i="79"/>
  <c r="Q51" i="79"/>
  <c r="J50" i="79"/>
  <c r="J51" i="79" s="1"/>
  <c r="M47" i="79"/>
  <c r="D46" i="79"/>
  <c r="F33" i="79"/>
  <c r="F61" i="79" s="1"/>
  <c r="F31" i="79"/>
  <c r="F23" i="79"/>
  <c r="D23" i="79" s="1"/>
  <c r="F21" i="79"/>
  <c r="F20" i="79"/>
  <c r="M19" i="79"/>
  <c r="F18" i="79"/>
  <c r="M17" i="79"/>
  <c r="F17" i="79"/>
  <c r="F15" i="79"/>
  <c r="G1" i="79"/>
  <c r="N7" i="1"/>
  <c r="N8" i="1"/>
  <c r="N6" i="1"/>
  <c r="Y6" i="1" s="1"/>
  <c r="Y7" i="1"/>
  <c r="Y8" i="1"/>
  <c r="M17" i="3"/>
  <c r="K16" i="3"/>
  <c r="K15" i="3"/>
  <c r="M14" i="3"/>
  <c r="I13" i="3"/>
  <c r="G13" i="4"/>
  <c r="B7" i="4"/>
  <c r="B5" i="4"/>
  <c r="D3" i="4"/>
  <c r="E810" i="77"/>
  <c r="E809" i="77"/>
  <c r="E808" i="77"/>
  <c r="E807" i="77"/>
  <c r="E806" i="77"/>
  <c r="E805" i="77"/>
  <c r="E804" i="77"/>
  <c r="E803" i="77"/>
  <c r="E802" i="77"/>
  <c r="E801" i="77"/>
  <c r="E800" i="77"/>
  <c r="E799" i="77"/>
  <c r="E798" i="77"/>
  <c r="E797" i="77"/>
  <c r="E796" i="77"/>
  <c r="E795" i="77"/>
  <c r="E794" i="77"/>
  <c r="E793" i="77"/>
  <c r="E792" i="77"/>
  <c r="E791" i="77"/>
  <c r="E790" i="77"/>
  <c r="E789" i="77"/>
  <c r="E788" i="77"/>
  <c r="E787" i="77"/>
  <c r="E786" i="77"/>
  <c r="E785" i="77"/>
  <c r="E784" i="77"/>
  <c r="E783" i="77"/>
  <c r="E782" i="77"/>
  <c r="E781" i="77"/>
  <c r="E780" i="77"/>
  <c r="E779" i="77"/>
  <c r="E778" i="77"/>
  <c r="E777" i="77"/>
  <c r="E776" i="77"/>
  <c r="E775" i="77"/>
  <c r="E774" i="77"/>
  <c r="E773" i="77"/>
  <c r="E772" i="77"/>
  <c r="E771" i="77"/>
  <c r="E770" i="77"/>
  <c r="E769" i="77"/>
  <c r="E768" i="77"/>
  <c r="E767" i="77"/>
  <c r="E766" i="77"/>
  <c r="E765" i="77"/>
  <c r="E764" i="77"/>
  <c r="E763" i="77"/>
  <c r="E762" i="77"/>
  <c r="E761" i="77"/>
  <c r="E760" i="77"/>
  <c r="E759" i="77"/>
  <c r="E758" i="77"/>
  <c r="E757" i="77"/>
  <c r="E756" i="77"/>
  <c r="E755" i="77"/>
  <c r="E754" i="77"/>
  <c r="E753" i="77"/>
  <c r="E752" i="77"/>
  <c r="E751" i="77"/>
  <c r="E750" i="77"/>
  <c r="E749" i="77"/>
  <c r="E748" i="77"/>
  <c r="E747" i="77"/>
  <c r="E746" i="77"/>
  <c r="E745" i="77"/>
  <c r="E744" i="77"/>
  <c r="E743" i="77"/>
  <c r="E742" i="77"/>
  <c r="E741" i="77"/>
  <c r="E740" i="77"/>
  <c r="E739" i="77"/>
  <c r="E738" i="77"/>
  <c r="E737" i="77"/>
  <c r="E736" i="77"/>
  <c r="E735" i="77"/>
  <c r="E734" i="77"/>
  <c r="E733" i="77"/>
  <c r="E732" i="77"/>
  <c r="E731" i="77"/>
  <c r="E730" i="77"/>
  <c r="E729" i="77"/>
  <c r="E728" i="77"/>
  <c r="E727" i="77"/>
  <c r="E726" i="77"/>
  <c r="E725" i="77"/>
  <c r="E724" i="77"/>
  <c r="E723" i="77"/>
  <c r="E722" i="77"/>
  <c r="E721" i="77"/>
  <c r="E720" i="77"/>
  <c r="E719" i="77"/>
  <c r="E718" i="77"/>
  <c r="E717" i="77"/>
  <c r="E716" i="77"/>
  <c r="E715" i="77"/>
  <c r="E714" i="77"/>
  <c r="E713" i="77"/>
  <c r="E712" i="77"/>
  <c r="E711" i="77"/>
  <c r="E710" i="77"/>
  <c r="E709" i="77"/>
  <c r="E708" i="77"/>
  <c r="E707" i="77"/>
  <c r="E706" i="77"/>
  <c r="E705" i="77"/>
  <c r="E704" i="77"/>
  <c r="E703" i="77"/>
  <c r="E702" i="77"/>
  <c r="E701" i="77"/>
  <c r="E700" i="77"/>
  <c r="E699" i="77"/>
  <c r="E698" i="77"/>
  <c r="E697" i="77"/>
  <c r="E696" i="77"/>
  <c r="E695" i="77"/>
  <c r="E694" i="77"/>
  <c r="E693" i="77"/>
  <c r="E692" i="77"/>
  <c r="E691" i="77"/>
  <c r="E690" i="77"/>
  <c r="E689" i="77"/>
  <c r="E688" i="77"/>
  <c r="E687" i="77"/>
  <c r="E686" i="77"/>
  <c r="E685" i="77"/>
  <c r="E684" i="77"/>
  <c r="E683" i="77"/>
  <c r="E682" i="77"/>
  <c r="E681" i="77"/>
  <c r="E680" i="77"/>
  <c r="E679" i="77"/>
  <c r="E678" i="77"/>
  <c r="E677" i="77"/>
  <c r="E676" i="77"/>
  <c r="E675" i="77"/>
  <c r="E674" i="77"/>
  <c r="E673" i="77"/>
  <c r="E672" i="77"/>
  <c r="E671" i="77"/>
  <c r="E670" i="77"/>
  <c r="E669" i="77"/>
  <c r="E668" i="77"/>
  <c r="E667" i="77"/>
  <c r="E666" i="77"/>
  <c r="E665" i="77"/>
  <c r="E664" i="77"/>
  <c r="E663" i="77"/>
  <c r="E662" i="77"/>
  <c r="E661" i="77"/>
  <c r="E660" i="77"/>
  <c r="E659" i="77"/>
  <c r="E658" i="77"/>
  <c r="E657" i="77"/>
  <c r="E656" i="77"/>
  <c r="E655" i="77"/>
  <c r="E654" i="77"/>
  <c r="E653" i="77"/>
  <c r="E652" i="77"/>
  <c r="E651" i="77"/>
  <c r="E650" i="77"/>
  <c r="E649" i="77"/>
  <c r="E648" i="77"/>
  <c r="E647" i="77"/>
  <c r="E646" i="77"/>
  <c r="E645" i="77"/>
  <c r="E644" i="77"/>
  <c r="E643" i="77"/>
  <c r="E642" i="77"/>
  <c r="E641" i="77"/>
  <c r="E640" i="77"/>
  <c r="E639" i="77"/>
  <c r="E638" i="77"/>
  <c r="E637" i="77"/>
  <c r="E636" i="77"/>
  <c r="E635" i="77"/>
  <c r="E634" i="77"/>
  <c r="E633" i="77"/>
  <c r="E632" i="77"/>
  <c r="E631" i="77"/>
  <c r="E630" i="77"/>
  <c r="E629" i="77"/>
  <c r="E628" i="77"/>
  <c r="E627" i="77"/>
  <c r="E626" i="77"/>
  <c r="E625" i="77"/>
  <c r="E624" i="77"/>
  <c r="E623" i="77"/>
  <c r="E622" i="77"/>
  <c r="E621" i="77"/>
  <c r="E620" i="77"/>
  <c r="E619" i="77"/>
  <c r="E618" i="77"/>
  <c r="E617" i="77"/>
  <c r="E616" i="77"/>
  <c r="E615" i="77"/>
  <c r="E614" i="77"/>
  <c r="E613" i="77"/>
  <c r="E612" i="77"/>
  <c r="E611" i="77"/>
  <c r="E610" i="77"/>
  <c r="E609" i="77"/>
  <c r="E608" i="77"/>
  <c r="E607" i="77"/>
  <c r="E606" i="77"/>
  <c r="E605" i="77"/>
  <c r="E604" i="77"/>
  <c r="E603" i="77"/>
  <c r="E602" i="77"/>
  <c r="E601" i="77"/>
  <c r="E600" i="77"/>
  <c r="E599" i="77"/>
  <c r="E598" i="77"/>
  <c r="E597" i="77"/>
  <c r="E596" i="77"/>
  <c r="E595" i="77"/>
  <c r="E594" i="77"/>
  <c r="E593" i="77"/>
  <c r="E592" i="77"/>
  <c r="E591" i="77"/>
  <c r="E590" i="77"/>
  <c r="E589" i="77"/>
  <c r="E588" i="77"/>
  <c r="E587" i="77"/>
  <c r="E586" i="77"/>
  <c r="E585" i="77"/>
  <c r="E584" i="77"/>
  <c r="E583" i="77"/>
  <c r="E582" i="77"/>
  <c r="E581" i="77"/>
  <c r="E580" i="77"/>
  <c r="E579" i="77"/>
  <c r="E578" i="77"/>
  <c r="E577" i="77"/>
  <c r="E576" i="77"/>
  <c r="E575" i="77"/>
  <c r="E574" i="77"/>
  <c r="E573" i="77"/>
  <c r="E572" i="77"/>
  <c r="E571" i="77"/>
  <c r="E570" i="77"/>
  <c r="E569" i="77"/>
  <c r="E568" i="77"/>
  <c r="E567" i="77"/>
  <c r="E566" i="77"/>
  <c r="E565" i="77"/>
  <c r="E564" i="77"/>
  <c r="E563" i="77"/>
  <c r="E562" i="77"/>
  <c r="E561" i="77"/>
  <c r="E560" i="77"/>
  <c r="E559" i="77"/>
  <c r="E558" i="77"/>
  <c r="E557" i="77"/>
  <c r="E556" i="77"/>
  <c r="E555" i="77"/>
  <c r="E554" i="77"/>
  <c r="E553" i="77"/>
  <c r="E552" i="77"/>
  <c r="E551" i="77"/>
  <c r="E550" i="77"/>
  <c r="E549" i="77"/>
  <c r="E548" i="77"/>
  <c r="E547" i="77"/>
  <c r="E546" i="77"/>
  <c r="E545" i="77"/>
  <c r="E544" i="77"/>
  <c r="E543" i="77"/>
  <c r="E542" i="77"/>
  <c r="E541" i="77"/>
  <c r="E540" i="77"/>
  <c r="E539" i="77"/>
  <c r="E538" i="77"/>
  <c r="E537" i="77"/>
  <c r="E536" i="77"/>
  <c r="E535" i="77"/>
  <c r="E534" i="77"/>
  <c r="E533" i="77"/>
  <c r="E532" i="77"/>
  <c r="E531" i="77"/>
  <c r="E530" i="77"/>
  <c r="E529" i="77"/>
  <c r="E528" i="77"/>
  <c r="E527" i="77"/>
  <c r="E526" i="77"/>
  <c r="E525" i="77"/>
  <c r="E524" i="77"/>
  <c r="E523" i="77"/>
  <c r="E522" i="77"/>
  <c r="E521" i="77"/>
  <c r="E520" i="77"/>
  <c r="E519" i="77"/>
  <c r="E518" i="77"/>
  <c r="E517" i="77"/>
  <c r="E516" i="77"/>
  <c r="E515" i="77"/>
  <c r="E514" i="77"/>
  <c r="E513" i="77"/>
  <c r="E512" i="77"/>
  <c r="E511" i="77"/>
  <c r="E510" i="77"/>
  <c r="E509" i="77"/>
  <c r="E508" i="77"/>
  <c r="E507" i="77"/>
  <c r="E506" i="77"/>
  <c r="E505" i="77"/>
  <c r="E504" i="77"/>
  <c r="E503" i="77"/>
  <c r="E502" i="77"/>
  <c r="E501" i="77"/>
  <c r="E500" i="77"/>
  <c r="E499" i="77"/>
  <c r="E498" i="77"/>
  <c r="E497" i="77"/>
  <c r="E496" i="77"/>
  <c r="E495" i="77"/>
  <c r="E494" i="77"/>
  <c r="E493" i="77"/>
  <c r="E492" i="77"/>
  <c r="E491" i="77"/>
  <c r="E490" i="77"/>
  <c r="E489" i="77"/>
  <c r="E488" i="77"/>
  <c r="E487" i="77"/>
  <c r="E486" i="77"/>
  <c r="E485" i="77"/>
  <c r="E484" i="77"/>
  <c r="E483" i="77"/>
  <c r="E482" i="77"/>
  <c r="E481" i="77"/>
  <c r="E480" i="77"/>
  <c r="E479" i="77"/>
  <c r="E478" i="77"/>
  <c r="E477" i="77"/>
  <c r="E476" i="77"/>
  <c r="E475" i="77"/>
  <c r="E474" i="77"/>
  <c r="E473" i="77"/>
  <c r="E472" i="77"/>
  <c r="E471" i="77"/>
  <c r="E470" i="77"/>
  <c r="E469" i="77"/>
  <c r="E468" i="77"/>
  <c r="E467" i="77"/>
  <c r="E466" i="77"/>
  <c r="E465" i="77"/>
  <c r="E464" i="77"/>
  <c r="E463" i="77"/>
  <c r="E462" i="77"/>
  <c r="E461" i="77"/>
  <c r="E460" i="77"/>
  <c r="E459" i="77"/>
  <c r="E458" i="77"/>
  <c r="E457" i="77"/>
  <c r="E456" i="77"/>
  <c r="E455" i="77"/>
  <c r="E454" i="77"/>
  <c r="E453" i="77"/>
  <c r="E452" i="77"/>
  <c r="E451" i="77"/>
  <c r="E450" i="77"/>
  <c r="E449" i="77"/>
  <c r="E448" i="77"/>
  <c r="E447" i="77"/>
  <c r="E446" i="77"/>
  <c r="E445" i="77"/>
  <c r="E444" i="77"/>
  <c r="E443" i="77"/>
  <c r="E442" i="77"/>
  <c r="E441" i="77"/>
  <c r="E440" i="77"/>
  <c r="E439" i="77"/>
  <c r="E438" i="77"/>
  <c r="E437" i="77"/>
  <c r="E436" i="77"/>
  <c r="E435" i="77"/>
  <c r="E434" i="77"/>
  <c r="E433" i="77"/>
  <c r="E432" i="77"/>
  <c r="E431" i="77"/>
  <c r="E430" i="77"/>
  <c r="E429" i="77"/>
  <c r="E428" i="77"/>
  <c r="E427" i="77"/>
  <c r="E426" i="77"/>
  <c r="E425" i="77"/>
  <c r="E424" i="77"/>
  <c r="E423" i="77"/>
  <c r="E422" i="77"/>
  <c r="E421" i="77"/>
  <c r="E420" i="77"/>
  <c r="E419" i="77"/>
  <c r="E418" i="77"/>
  <c r="E417" i="77"/>
  <c r="E416" i="77"/>
  <c r="E415" i="77"/>
  <c r="E414" i="77"/>
  <c r="E413" i="77"/>
  <c r="E412" i="77"/>
  <c r="E411" i="77"/>
  <c r="E410" i="77"/>
  <c r="E409" i="77"/>
  <c r="E408" i="77"/>
  <c r="E407" i="77"/>
  <c r="E406" i="77"/>
  <c r="E405" i="77"/>
  <c r="E404" i="77"/>
  <c r="E403" i="77"/>
  <c r="E402" i="77"/>
  <c r="E401" i="77"/>
  <c r="E400" i="77"/>
  <c r="E399" i="77"/>
  <c r="E398" i="77"/>
  <c r="E397" i="77"/>
  <c r="E396" i="77"/>
  <c r="E395" i="77"/>
  <c r="E394" i="77"/>
  <c r="E393" i="77"/>
  <c r="E392" i="77"/>
  <c r="E391" i="77"/>
  <c r="E390" i="77"/>
  <c r="E389" i="77"/>
  <c r="E388" i="77"/>
  <c r="E387" i="77"/>
  <c r="E386" i="77"/>
  <c r="E385" i="77"/>
  <c r="E384" i="77"/>
  <c r="E383" i="77"/>
  <c r="E382" i="77"/>
  <c r="E381" i="77"/>
  <c r="E380" i="77"/>
  <c r="E379" i="77"/>
  <c r="E378" i="77"/>
  <c r="E377" i="77"/>
  <c r="E376" i="77"/>
  <c r="E375" i="77"/>
  <c r="E374" i="77"/>
  <c r="E373" i="77"/>
  <c r="E372" i="77"/>
  <c r="E371" i="77"/>
  <c r="E370" i="77"/>
  <c r="E369" i="77"/>
  <c r="E368" i="77"/>
  <c r="E367" i="77"/>
  <c r="E366" i="77"/>
  <c r="E365" i="77"/>
  <c r="E364" i="77"/>
  <c r="E363" i="77"/>
  <c r="E362" i="77"/>
  <c r="E361" i="77"/>
  <c r="E360" i="77"/>
  <c r="E359" i="77"/>
  <c r="E358" i="77"/>
  <c r="E357" i="77"/>
  <c r="E356" i="77"/>
  <c r="E355" i="77"/>
  <c r="E354" i="77"/>
  <c r="E353" i="77"/>
  <c r="E352" i="77"/>
  <c r="E351" i="77"/>
  <c r="E350" i="77"/>
  <c r="E349" i="77"/>
  <c r="E348" i="77"/>
  <c r="E347" i="77"/>
  <c r="E346" i="77"/>
  <c r="E345" i="77"/>
  <c r="E344" i="77"/>
  <c r="E343" i="77"/>
  <c r="E342" i="77"/>
  <c r="E341" i="77"/>
  <c r="E340" i="77"/>
  <c r="E339" i="77"/>
  <c r="E338" i="77"/>
  <c r="E337" i="77"/>
  <c r="E336" i="77"/>
  <c r="E335" i="77"/>
  <c r="E334" i="77"/>
  <c r="E333" i="77"/>
  <c r="E332" i="77"/>
  <c r="E331" i="77"/>
  <c r="E330" i="77"/>
  <c r="E329" i="77"/>
  <c r="E328" i="77"/>
  <c r="E327" i="77"/>
  <c r="E326" i="77"/>
  <c r="E325" i="77"/>
  <c r="E324" i="77"/>
  <c r="E323" i="77"/>
  <c r="E322" i="77"/>
  <c r="E321" i="77"/>
  <c r="E320" i="77"/>
  <c r="E319" i="77"/>
  <c r="E318" i="77"/>
  <c r="E317" i="77"/>
  <c r="E316" i="77"/>
  <c r="E315" i="77"/>
  <c r="E314" i="77"/>
  <c r="E313" i="77"/>
  <c r="E312" i="77"/>
  <c r="E311" i="77"/>
  <c r="E310" i="77"/>
  <c r="E309" i="77"/>
  <c r="E308" i="77"/>
  <c r="E307" i="77"/>
  <c r="E306" i="77"/>
  <c r="E305" i="77"/>
  <c r="E304" i="77"/>
  <c r="E303" i="77"/>
  <c r="E302" i="77"/>
  <c r="E301" i="77"/>
  <c r="E300" i="77"/>
  <c r="E299" i="77"/>
  <c r="E298" i="77"/>
  <c r="E297" i="77"/>
  <c r="E296" i="77"/>
  <c r="E295" i="77"/>
  <c r="E294" i="77"/>
  <c r="E293" i="77"/>
  <c r="E292" i="77"/>
  <c r="E291" i="77"/>
  <c r="E290" i="77"/>
  <c r="E289" i="77"/>
  <c r="E288" i="77"/>
  <c r="E287" i="77"/>
  <c r="E286" i="77"/>
  <c r="E285" i="77"/>
  <c r="E284" i="77"/>
  <c r="E283" i="77"/>
  <c r="E282" i="77"/>
  <c r="E281" i="77"/>
  <c r="E280" i="77"/>
  <c r="E279" i="77"/>
  <c r="E278" i="77"/>
  <c r="E277" i="77"/>
  <c r="E276" i="77"/>
  <c r="E275" i="77"/>
  <c r="E274" i="77"/>
  <c r="E273" i="77"/>
  <c r="E272" i="77"/>
  <c r="E271" i="77"/>
  <c r="E270" i="77"/>
  <c r="E269" i="77"/>
  <c r="E268" i="77"/>
  <c r="E267" i="77"/>
  <c r="E266" i="77"/>
  <c r="E265" i="77"/>
  <c r="E264" i="77"/>
  <c r="E263" i="77"/>
  <c r="E262" i="77"/>
  <c r="E261" i="77"/>
  <c r="E260" i="77"/>
  <c r="E259" i="77"/>
  <c r="E258" i="77"/>
  <c r="E257" i="77"/>
  <c r="E256" i="77"/>
  <c r="E255" i="77"/>
  <c r="E254" i="77"/>
  <c r="E253" i="77"/>
  <c r="E252" i="77"/>
  <c r="E251" i="77"/>
  <c r="E250" i="77"/>
  <c r="E249" i="77"/>
  <c r="E248" i="77"/>
  <c r="E247" i="77"/>
  <c r="E246" i="77"/>
  <c r="E245" i="77"/>
  <c r="E244" i="77"/>
  <c r="E243" i="77"/>
  <c r="E242" i="77"/>
  <c r="E241" i="77"/>
  <c r="E240" i="77"/>
  <c r="E239" i="77"/>
  <c r="E238" i="77"/>
  <c r="E237" i="77"/>
  <c r="E236" i="77"/>
  <c r="E235" i="77"/>
  <c r="E234" i="77"/>
  <c r="E233" i="77"/>
  <c r="E232" i="77"/>
  <c r="E231" i="77"/>
  <c r="E230" i="77"/>
  <c r="E229" i="77"/>
  <c r="E228" i="77"/>
  <c r="E227" i="77"/>
  <c r="E226" i="77"/>
  <c r="E225" i="77"/>
  <c r="E224" i="77"/>
  <c r="E223" i="77"/>
  <c r="E222" i="77"/>
  <c r="E221" i="77"/>
  <c r="E220" i="77"/>
  <c r="E219" i="77"/>
  <c r="E218" i="77"/>
  <c r="E217" i="77"/>
  <c r="E216" i="77"/>
  <c r="E215" i="77"/>
  <c r="E214" i="77"/>
  <c r="E213" i="77"/>
  <c r="E212" i="77"/>
  <c r="E211" i="77"/>
  <c r="E210" i="77"/>
  <c r="E209" i="77"/>
  <c r="E208" i="77"/>
  <c r="E207" i="77"/>
  <c r="E206" i="77"/>
  <c r="E205" i="77"/>
  <c r="E204" i="77"/>
  <c r="E203" i="77"/>
  <c r="E202" i="77"/>
  <c r="E201" i="77"/>
  <c r="E200" i="77"/>
  <c r="E199" i="77"/>
  <c r="E198" i="77"/>
  <c r="E197" i="77"/>
  <c r="E196" i="77"/>
  <c r="E195" i="77"/>
  <c r="E194" i="77"/>
  <c r="E193" i="77"/>
  <c r="E192" i="77"/>
  <c r="E191" i="77"/>
  <c r="E190" i="77"/>
  <c r="E189" i="77"/>
  <c r="E188" i="77"/>
  <c r="E187" i="77"/>
  <c r="E186" i="77"/>
  <c r="E185" i="77"/>
  <c r="E184" i="77"/>
  <c r="E183" i="77"/>
  <c r="E182" i="77"/>
  <c r="E181" i="77"/>
  <c r="E180" i="77"/>
  <c r="E179" i="77"/>
  <c r="E178" i="77"/>
  <c r="E177" i="77"/>
  <c r="E176" i="77"/>
  <c r="E175" i="77"/>
  <c r="E174" i="77"/>
  <c r="E173" i="77"/>
  <c r="E172" i="77"/>
  <c r="E171" i="77"/>
  <c r="E170" i="77"/>
  <c r="E169" i="77"/>
  <c r="E168" i="77"/>
  <c r="E167" i="77"/>
  <c r="E166" i="77"/>
  <c r="E165" i="77"/>
  <c r="E164" i="77"/>
  <c r="E163" i="77"/>
  <c r="E162" i="77"/>
  <c r="E161" i="77"/>
  <c r="E160" i="77"/>
  <c r="E159" i="77"/>
  <c r="E158" i="77"/>
  <c r="E157" i="77"/>
  <c r="E156" i="77"/>
  <c r="E155" i="77"/>
  <c r="E154" i="77"/>
  <c r="E153" i="77"/>
  <c r="E152" i="77"/>
  <c r="E151" i="77"/>
  <c r="E150" i="77"/>
  <c r="E149" i="77"/>
  <c r="E148" i="77"/>
  <c r="E147" i="77"/>
  <c r="E146" i="77"/>
  <c r="E145" i="77"/>
  <c r="E144" i="77"/>
  <c r="E143" i="77"/>
  <c r="E142" i="77"/>
  <c r="E141" i="77"/>
  <c r="E140" i="77"/>
  <c r="E139" i="77"/>
  <c r="E138" i="77"/>
  <c r="E137" i="77"/>
  <c r="E136" i="77"/>
  <c r="E135" i="77"/>
  <c r="E134" i="77"/>
  <c r="E133" i="77"/>
  <c r="E132" i="77"/>
  <c r="E131" i="77"/>
  <c r="E130" i="77"/>
  <c r="E129" i="77"/>
  <c r="E128" i="77"/>
  <c r="E127" i="77"/>
  <c r="E126" i="77"/>
  <c r="E125" i="77"/>
  <c r="E124" i="77"/>
  <c r="E123" i="77"/>
  <c r="E122" i="77"/>
  <c r="E121" i="77"/>
  <c r="E120" i="77"/>
  <c r="E119" i="77"/>
  <c r="E118" i="77"/>
  <c r="E117" i="77"/>
  <c r="E116" i="77"/>
  <c r="E115" i="77"/>
  <c r="E114" i="77"/>
  <c r="E113" i="77"/>
  <c r="E112" i="77"/>
  <c r="E111" i="77"/>
  <c r="E110" i="77"/>
  <c r="E109" i="77"/>
  <c r="E108" i="77"/>
  <c r="E107" i="77"/>
  <c r="E106" i="77"/>
  <c r="E105" i="77"/>
  <c r="E104" i="77"/>
  <c r="E103" i="77"/>
  <c r="E102" i="77"/>
  <c r="E101" i="77"/>
  <c r="E100" i="77"/>
  <c r="E99" i="77"/>
  <c r="E98" i="77"/>
  <c r="E97" i="77"/>
  <c r="E96" i="77"/>
  <c r="E95" i="77"/>
  <c r="E94" i="77"/>
  <c r="E93" i="77"/>
  <c r="E92" i="77"/>
  <c r="E91" i="77"/>
  <c r="E90" i="77"/>
  <c r="E89" i="77"/>
  <c r="E88" i="77"/>
  <c r="E87" i="77"/>
  <c r="E86" i="77"/>
  <c r="E85" i="77"/>
  <c r="E84" i="77"/>
  <c r="E83" i="77"/>
  <c r="E82" i="77"/>
  <c r="E81" i="77"/>
  <c r="E80" i="77"/>
  <c r="E79" i="77"/>
  <c r="E78" i="77"/>
  <c r="E77" i="77"/>
  <c r="E76" i="77"/>
  <c r="E75" i="77"/>
  <c r="E74" i="77"/>
  <c r="E73" i="77"/>
  <c r="E72" i="77"/>
  <c r="E71" i="77"/>
  <c r="E70" i="77"/>
  <c r="E69" i="77"/>
  <c r="E68" i="77"/>
  <c r="E67" i="77"/>
  <c r="E66" i="77"/>
  <c r="E65" i="77"/>
  <c r="E64" i="77"/>
  <c r="E63" i="77"/>
  <c r="E62" i="77"/>
  <c r="E61" i="77"/>
  <c r="E60" i="77"/>
  <c r="E59" i="77"/>
  <c r="E58" i="77"/>
  <c r="E57" i="77"/>
  <c r="E56" i="77"/>
  <c r="E55" i="77"/>
  <c r="E54" i="77"/>
  <c r="E53" i="77"/>
  <c r="E52" i="77"/>
  <c r="E51" i="77"/>
  <c r="E50" i="77"/>
  <c r="E49" i="77"/>
  <c r="E48" i="77"/>
  <c r="E47" i="77"/>
  <c r="E46" i="77"/>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E8" i="77"/>
  <c r="E7" i="77"/>
  <c r="E6" i="77"/>
  <c r="E5" i="77"/>
  <c r="E4" i="77"/>
  <c r="E3" i="77"/>
  <c r="E2" i="77"/>
  <c r="C76" i="80"/>
  <c r="C76" i="79"/>
  <c r="Q71" i="80" l="1"/>
  <c r="D24" i="80"/>
  <c r="P61" i="80"/>
  <c r="D22" i="80"/>
  <c r="Q71" i="79"/>
  <c r="D24" i="79"/>
  <c r="P61" i="79"/>
  <c r="D22" i="79"/>
  <c r="M6" i="80"/>
  <c r="M9" i="80"/>
  <c r="F16" i="80"/>
  <c r="M23" i="80"/>
  <c r="F26" i="80"/>
  <c r="M27" i="80"/>
  <c r="F37" i="80"/>
  <c r="F8" i="80"/>
  <c r="M22" i="80"/>
  <c r="M24" i="80"/>
  <c r="F40" i="80"/>
  <c r="F6" i="80"/>
  <c r="M8" i="80"/>
  <c r="F13" i="80"/>
  <c r="J15" i="80"/>
  <c r="M26" i="80"/>
  <c r="F36" i="80"/>
  <c r="F38" i="80"/>
  <c r="F9" i="80"/>
  <c r="M28" i="80"/>
  <c r="F42" i="80"/>
  <c r="M6" i="79"/>
  <c r="M9" i="79"/>
  <c r="F16" i="79"/>
  <c r="M23" i="79"/>
  <c r="F26" i="79"/>
  <c r="M27" i="79"/>
  <c r="F37" i="79"/>
  <c r="F40" i="79"/>
  <c r="F6" i="79"/>
  <c r="M8" i="79"/>
  <c r="F13" i="79"/>
  <c r="J15" i="79"/>
  <c r="M26" i="79"/>
  <c r="F36" i="79"/>
  <c r="F38" i="79"/>
  <c r="F9" i="79"/>
  <c r="M28" i="79"/>
  <c r="F42" i="79"/>
  <c r="F8" i="79"/>
  <c r="M22" i="79"/>
  <c r="M24" i="79"/>
  <c r="F66" i="80" l="1"/>
  <c r="F64" i="80"/>
  <c r="F68" i="80"/>
  <c r="F51" i="80"/>
  <c r="F65" i="80"/>
  <c r="C27" i="80"/>
  <c r="F51" i="79"/>
  <c r="F66" i="79"/>
  <c r="F64" i="79"/>
  <c r="F68" i="79"/>
  <c r="F65" i="79"/>
  <c r="C27" i="79"/>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S21"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G11" i="1" s="1"/>
  <c r="D12" i="1"/>
  <c r="D13" i="1"/>
  <c r="D7" i="1"/>
  <c r="D8" i="1"/>
  <c r="A7" i="1"/>
  <c r="A8" i="1"/>
  <c r="B8" i="1" s="1"/>
  <c r="E8" i="1" s="1"/>
  <c r="A9" i="1"/>
  <c r="A10" i="1"/>
  <c r="A11" i="1"/>
  <c r="A12" i="1"/>
  <c r="A13" i="1"/>
  <c r="A6" i="1"/>
  <c r="F3" i="35" s="1"/>
  <c r="B11" i="1"/>
  <c r="E11" i="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A19" i="51" s="1"/>
  <c r="B14" i="72" s="1"/>
  <c r="G13"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E22" i="6"/>
  <c r="E23" i="6"/>
  <c r="E24" i="6"/>
  <c r="E25" i="6"/>
  <c r="E26" i="6"/>
  <c r="BB13" i="3"/>
  <c r="BB5" i="3" s="1"/>
  <c r="BC13" i="3"/>
  <c r="BD13" i="3"/>
  <c r="BE13" i="3"/>
  <c r="BF13" i="3"/>
  <c r="BG13" i="3"/>
  <c r="BH13" i="3"/>
  <c r="BI13" i="3"/>
  <c r="BJ13" i="3"/>
  <c r="BK13"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A17" i="3" s="1"/>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c r="F120" i="39" s="1"/>
  <c r="G120" i="39" s="1"/>
  <c r="H120" i="39" s="1"/>
  <c r="I120" i="39" s="1"/>
  <c r="J120" i="39" s="1"/>
  <c r="K120" i="39" s="1"/>
  <c r="L120" i="39" s="1"/>
  <c r="M120" i="39" s="1"/>
  <c r="B114" i="39"/>
  <c r="J37" i="39"/>
  <c r="D109" i="39"/>
  <c r="F34" i="39"/>
  <c r="AA34" i="39"/>
  <c r="D107" i="39"/>
  <c r="E107" i="39" s="1"/>
  <c r="F107" i="39" s="1"/>
  <c r="G107" i="39" s="1"/>
  <c r="D105" i="39"/>
  <c r="E105" i="39"/>
  <c r="F105" i="39"/>
  <c r="G105" i="39"/>
  <c r="H105" i="39"/>
  <c r="I105" i="39"/>
  <c r="J105" i="39"/>
  <c r="K105" i="39"/>
  <c r="L105" i="39"/>
  <c r="M105" i="39"/>
  <c r="D101" i="39"/>
  <c r="E101" i="39" s="1"/>
  <c r="F101" i="39" s="1"/>
  <c r="G101" i="39" s="1"/>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D93" i="39"/>
  <c r="E93" i="39" s="1"/>
  <c r="D91" i="39"/>
  <c r="E91" i="39" s="1"/>
  <c r="D89" i="39"/>
  <c r="E89" i="39"/>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c r="H39" i="39"/>
  <c r="U39" i="39" s="1"/>
  <c r="S34" i="39"/>
  <c r="H34" i="39"/>
  <c r="U34" i="39"/>
  <c r="E109" i="39"/>
  <c r="H31" i="39"/>
  <c r="AB31" i="39"/>
  <c r="F31" i="39"/>
  <c r="AA31" i="39"/>
  <c r="J23" i="40"/>
  <c r="AC23" i="40"/>
  <c r="F21" i="40"/>
  <c r="AA21" i="40"/>
  <c r="J21" i="40"/>
  <c r="W21" i="40"/>
  <c r="H42" i="39"/>
  <c r="AB42" i="39" s="1"/>
  <c r="J34" i="39"/>
  <c r="AC34" i="39"/>
  <c r="F109" i="39"/>
  <c r="G109" i="39"/>
  <c r="H109" i="39"/>
  <c r="I109" i="39"/>
  <c r="J109" i="39"/>
  <c r="K109" i="39"/>
  <c r="L109" i="39"/>
  <c r="M109" i="39"/>
  <c r="J31" i="39"/>
  <c r="J27" i="39"/>
  <c r="AC27" i="39" s="1"/>
  <c r="F11" i="21"/>
  <c r="S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AB34" i="39"/>
  <c r="U40" i="39"/>
  <c r="S42" i="39"/>
  <c r="W14" i="39"/>
  <c r="W8" i="39"/>
  <c r="J19" i="40"/>
  <c r="AC19" i="40"/>
  <c r="J50" i="40"/>
  <c r="H103" i="9"/>
  <c r="D8" i="53"/>
  <c r="B16" i="53"/>
  <c r="B33" i="72" s="1"/>
  <c r="C7" i="37"/>
  <c r="C7" i="34"/>
  <c r="C7" i="36"/>
  <c r="W35" i="40"/>
  <c r="A4" i="52"/>
  <c r="B41" i="72" s="1"/>
  <c r="J11" i="39"/>
  <c r="W11" i="39" s="1"/>
  <c r="F11" i="39"/>
  <c r="AA11" i="39" s="1"/>
  <c r="A12" i="52"/>
  <c r="B56" i="72" s="1"/>
  <c r="G4" i="4"/>
  <c r="I4" i="4"/>
  <c r="K5" i="4"/>
  <c r="B47" i="48" s="1"/>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C5" i="3"/>
  <c r="AZ549" i="3"/>
  <c r="AZ506" i="3"/>
  <c r="AZ496" i="3"/>
  <c r="G548" i="3"/>
  <c r="G538" i="3"/>
  <c r="G520" i="3"/>
  <c r="G502" i="3"/>
  <c r="BS5" i="3"/>
  <c r="BN5" i="3"/>
  <c r="AZ343" i="3"/>
  <c r="BK5" i="3"/>
  <c r="BI5" i="3"/>
  <c r="BG5" i="3"/>
  <c r="BE5" i="3"/>
  <c r="BC5" i="3"/>
  <c r="G17"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S14" i="35"/>
  <c r="U43" i="21"/>
  <c r="U35" i="21"/>
  <c r="AC35" i="21"/>
  <c r="U10" i="2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AE9"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S13" i="1"/>
  <c r="AR13" i="1" s="1"/>
  <c r="R13" i="1"/>
  <c r="S11" i="1"/>
  <c r="R11" i="1"/>
  <c r="S9" i="1"/>
  <c r="R9" i="1"/>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H21" i="39"/>
  <c r="AB21" i="39" s="1"/>
  <c r="AC15" i="39"/>
  <c r="AA12"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15"/>
  <c r="F62" i="15" s="1"/>
  <c r="BL17" i="3"/>
  <c r="AZ17" i="3" s="1"/>
  <c r="A24" i="51"/>
  <c r="B18" i="72" s="1"/>
  <c r="U29" i="34"/>
  <c r="E5" i="6"/>
  <c r="D9" i="69" s="1"/>
  <c r="C9" i="69" s="1"/>
  <c r="E32" i="6"/>
  <c r="L19" i="6"/>
  <c r="G1" i="68"/>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C46" i="36"/>
  <c r="D46" i="36" s="1"/>
  <c r="C59" i="34"/>
  <c r="D59" i="34"/>
  <c r="C52" i="37"/>
  <c r="D52" i="37"/>
  <c r="C48" i="35"/>
  <c r="D48" i="35"/>
  <c r="E48" i="35" s="1"/>
  <c r="C4" i="12"/>
  <c r="H62" i="43"/>
  <c r="H66" i="43"/>
  <c r="H61" i="43"/>
  <c r="H65" i="43"/>
  <c r="H60" i="43"/>
  <c r="H64" i="43"/>
  <c r="H59" i="43"/>
  <c r="H63" i="43"/>
  <c r="H67" i="43"/>
  <c r="H55" i="43"/>
  <c r="H51" i="43"/>
  <c r="H56" i="43"/>
  <c r="H76" i="43"/>
  <c r="H72" i="43"/>
  <c r="H77" i="43"/>
  <c r="L20" i="6"/>
  <c r="K11" i="1"/>
  <c r="M11" i="1" s="1"/>
  <c r="O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AB11" i="39"/>
  <c r="W31" i="39"/>
  <c r="AC31" i="39"/>
  <c r="AA45" i="39"/>
  <c r="AB39" i="39"/>
  <c r="W34"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9" i="1"/>
  <c r="C77"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B21" i="31"/>
  <c r="O19" i="43"/>
  <c r="E52" i="37"/>
  <c r="F52" i="37" s="1"/>
  <c r="E59" i="34"/>
  <c r="F59" i="34" s="1"/>
  <c r="C65" i="40"/>
  <c r="D63" i="40"/>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C13" i="12"/>
  <c r="F34" i="11"/>
  <c r="F11" i="12"/>
  <c r="F34" i="68"/>
  <c r="F63" i="40"/>
  <c r="E65" i="40"/>
  <c r="G63" i="40"/>
  <c r="F65" i="40"/>
  <c r="H63" i="40"/>
  <c r="G65" i="40"/>
  <c r="I63" i="40"/>
  <c r="H65" i="40"/>
  <c r="J63" i="40"/>
  <c r="I65" i="40"/>
  <c r="K63" i="40"/>
  <c r="J65" i="40"/>
  <c r="L63" i="40"/>
  <c r="K65" i="40"/>
  <c r="M63" i="40"/>
  <c r="L65" i="40"/>
  <c r="N63" i="40"/>
  <c r="M65" i="40"/>
  <c r="O63" i="40"/>
  <c r="O65" i="40"/>
  <c r="N65" i="40"/>
  <c r="F7" i="40"/>
  <c r="S7" i="40" s="1"/>
  <c r="H7" i="40"/>
  <c r="U7" i="40" s="1"/>
  <c r="J7" i="40"/>
  <c r="W7" i="40" s="1"/>
  <c r="AG6" i="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L48" i="80"/>
  <c r="L47" i="80"/>
  <c r="L47" i="79"/>
  <c r="L48" i="79"/>
  <c r="F43" i="79"/>
  <c r="F7" i="79"/>
  <c r="M29" i="79"/>
  <c r="F3" i="73"/>
  <c r="F20" i="31"/>
  <c r="D7" i="73"/>
  <c r="B12" i="76"/>
  <c r="D2" i="33"/>
  <c r="AO12" i="1"/>
  <c r="B11" i="76"/>
  <c r="E8" i="76"/>
  <c r="E10" i="76"/>
  <c r="E2" i="68"/>
  <c r="F6" i="73"/>
  <c r="B9" i="76"/>
  <c r="D2" i="36"/>
  <c r="B7" i="76"/>
  <c r="D2" i="35"/>
  <c r="AO13" i="1"/>
  <c r="E9" i="76"/>
  <c r="F4" i="73"/>
  <c r="D4" i="73"/>
  <c r="E11" i="76"/>
  <c r="D2" i="37"/>
  <c r="F7" i="73"/>
  <c r="D3" i="73"/>
  <c r="F5" i="73"/>
  <c r="AO10" i="1"/>
  <c r="B10" i="76"/>
  <c r="AO9" i="1"/>
  <c r="E13" i="76"/>
  <c r="E12" i="76"/>
  <c r="D2" i="21"/>
  <c r="AO11" i="1"/>
  <c r="D6" i="73"/>
  <c r="E7" i="76"/>
  <c r="B13" i="76"/>
  <c r="D2" i="34"/>
  <c r="D5" i="73"/>
  <c r="E2" i="69"/>
  <c r="B8" i="76"/>
  <c r="L27" i="6" l="1"/>
  <c r="S8" i="39"/>
  <c r="J56" i="9"/>
  <c r="J57" i="9" s="1"/>
  <c r="J59" i="9" s="1"/>
  <c r="J61" i="9" s="1"/>
  <c r="M56" i="9"/>
  <c r="K56" i="9"/>
  <c r="L59" i="80"/>
  <c r="N59" i="80"/>
  <c r="L58" i="80"/>
  <c r="L57" i="80"/>
  <c r="J53" i="80"/>
  <c r="I54" i="80"/>
  <c r="L56" i="80"/>
  <c r="J57" i="80"/>
  <c r="J55" i="80" s="1"/>
  <c r="J58" i="80" s="1"/>
  <c r="Q50" i="80" s="1"/>
  <c r="L60" i="80"/>
  <c r="L57" i="79"/>
  <c r="J53" i="79"/>
  <c r="L60" i="79"/>
  <c r="L56" i="79"/>
  <c r="I54" i="79"/>
  <c r="J57" i="79"/>
  <c r="J55" i="79" s="1"/>
  <c r="J58" i="79" s="1"/>
  <c r="Q50" i="79" s="1"/>
  <c r="L59" i="79"/>
  <c r="N59" i="79"/>
  <c r="L58" i="79"/>
  <c r="G7" i="1"/>
  <c r="M7" i="79"/>
  <c r="J6" i="79" s="1"/>
  <c r="F50" i="79"/>
  <c r="C49" i="79" s="1"/>
  <c r="C6" i="79"/>
  <c r="F71" i="79"/>
  <c r="M7" i="1"/>
  <c r="H5" i="3"/>
  <c r="G13" i="3"/>
  <c r="AR9" i="1"/>
  <c r="AQ9" i="1"/>
  <c r="AQ10" i="1"/>
  <c r="T10" i="1"/>
  <c r="AQ12" i="1"/>
  <c r="AR12" i="1"/>
  <c r="F21" i="6"/>
  <c r="E21" i="6" s="1"/>
  <c r="K8" i="1" s="1"/>
  <c r="C40" i="69"/>
  <c r="O7" i="1"/>
  <c r="U14" i="39"/>
  <c r="U9" i="39"/>
  <c r="AB15" i="39"/>
  <c r="AC12" i="39"/>
  <c r="W12" i="39"/>
  <c r="F27" i="39"/>
  <c r="H27" i="39"/>
  <c r="F19" i="39"/>
  <c r="AA19" i="39" s="1"/>
  <c r="F93" i="39"/>
  <c r="G93" i="39" s="1"/>
  <c r="H19" i="39"/>
  <c r="AB19" i="39" s="1"/>
  <c r="J19" i="39"/>
  <c r="F91" i="39"/>
  <c r="G91" i="39" s="1"/>
  <c r="F17" i="39"/>
  <c r="J17" i="39"/>
  <c r="H17" i="39"/>
  <c r="J32" i="39"/>
  <c r="F32" i="39"/>
  <c r="H107" i="39"/>
  <c r="I107" i="39" s="1"/>
  <c r="J107" i="39" s="1"/>
  <c r="K107" i="39" s="1"/>
  <c r="L107" i="39" s="1"/>
  <c r="M107" i="39" s="1"/>
  <c r="H32" i="39"/>
  <c r="U32" i="39" s="1"/>
  <c r="W27" i="39"/>
  <c r="AC25" i="39"/>
  <c r="U19" i="39"/>
  <c r="F95" i="39"/>
  <c r="G95" i="39" s="1"/>
  <c r="F21" i="39"/>
  <c r="AA21" i="39" s="1"/>
  <c r="J21" i="39"/>
  <c r="U21" i="39"/>
  <c r="S15" i="39"/>
  <c r="F13" i="39"/>
  <c r="S11" i="39"/>
  <c r="AA39" i="39"/>
  <c r="AB23" i="39"/>
  <c r="S23" i="39"/>
  <c r="U29" i="39"/>
  <c r="S29" i="39"/>
  <c r="U42" i="39"/>
  <c r="W42" i="39"/>
  <c r="F41" i="39"/>
  <c r="H41" i="39"/>
  <c r="U41" i="39" s="1"/>
  <c r="H124" i="39"/>
  <c r="I124" i="39" s="1"/>
  <c r="J124" i="39" s="1"/>
  <c r="K124" i="39" s="1"/>
  <c r="L124" i="39" s="1"/>
  <c r="M124" i="39" s="1"/>
  <c r="J41" i="39"/>
  <c r="AB32" i="39"/>
  <c r="AB41" i="39"/>
  <c r="U38" i="39"/>
  <c r="AC38" i="39"/>
  <c r="S38" i="39"/>
  <c r="AC13" i="39"/>
  <c r="W13" i="39"/>
  <c r="H13" i="39"/>
  <c r="W9" i="39"/>
  <c r="S9" i="39"/>
  <c r="M20" i="80"/>
  <c r="M20" i="79"/>
  <c r="F34" i="80"/>
  <c r="F62" i="80" s="1"/>
  <c r="F34" i="79"/>
  <c r="F62" i="79" s="1"/>
  <c r="M20" i="67"/>
  <c r="F34" i="67"/>
  <c r="F62" i="67" s="1"/>
  <c r="M20" i="15"/>
  <c r="C94" i="9"/>
  <c r="C92" i="9"/>
  <c r="C74" i="9"/>
  <c r="B41" i="1"/>
  <c r="M18" i="15" s="1"/>
  <c r="D93" i="9"/>
  <c r="F32" i="67"/>
  <c r="F60" i="67" s="1"/>
  <c r="F32" i="80"/>
  <c r="F60" i="80" s="1"/>
  <c r="C36" i="68"/>
  <c r="C36" i="11"/>
  <c r="M59" i="79"/>
  <c r="M59" i="80"/>
  <c r="C16" i="43"/>
  <c r="D5" i="43" s="1"/>
  <c r="P61" i="15"/>
  <c r="T13" i="1"/>
  <c r="G1" i="67"/>
  <c r="G1" i="15"/>
  <c r="B6" i="1"/>
  <c r="E6" i="1" s="1"/>
  <c r="AR10" i="1"/>
  <c r="K1" i="12"/>
  <c r="BL15" i="3"/>
  <c r="AZ15" i="3"/>
  <c r="P7" i="1"/>
  <c r="O12" i="1"/>
  <c r="P12" i="1" s="1"/>
  <c r="C36" i="69"/>
  <c r="BP5" i="3"/>
  <c r="G29" i="6" s="1"/>
  <c r="BO5" i="3"/>
  <c r="F29" i="6" s="1"/>
  <c r="E29" i="6" s="1"/>
  <c r="K15" i="1" s="1"/>
  <c r="BT5" i="3"/>
  <c r="BQ5" i="3"/>
  <c r="F28" i="6" s="1"/>
  <c r="BH5" i="3"/>
  <c r="BD5" i="3"/>
  <c r="E8" i="6" s="1"/>
  <c r="BR5" i="3"/>
  <c r="G28" i="6" s="1"/>
  <c r="AQ11" i="1"/>
  <c r="T11" i="1"/>
  <c r="AR11" i="1"/>
  <c r="Q16" i="1"/>
  <c r="P11" i="1"/>
  <c r="D9" i="11"/>
  <c r="C9" i="11" s="1"/>
  <c r="D19" i="12"/>
  <c r="C19" i="12" s="1"/>
  <c r="D9" i="68"/>
  <c r="C9" i="68" s="1"/>
  <c r="E15" i="6"/>
  <c r="M8" i="1"/>
  <c r="E11" i="6"/>
  <c r="P9" i="1"/>
  <c r="G30" i="6"/>
  <c r="G31" i="6" s="1"/>
  <c r="BA13" i="3"/>
  <c r="P13" i="1"/>
  <c r="BL13" i="3"/>
  <c r="BL5" i="3" s="1"/>
  <c r="P10" i="1"/>
  <c r="A15" i="62"/>
  <c r="B61" i="72" s="1"/>
  <c r="G8" i="1"/>
  <c r="A2" i="9"/>
  <c r="A118" i="9"/>
  <c r="D12" i="52"/>
  <c r="D127" i="9"/>
  <c r="D13" i="52" s="1"/>
  <c r="G52" i="33"/>
  <c r="H52" i="33" s="1"/>
  <c r="E48" i="33"/>
  <c r="R49" i="33"/>
  <c r="U7" i="33"/>
  <c r="F7" i="34"/>
  <c r="G59" i="34"/>
  <c r="H59" i="34" s="1"/>
  <c r="I59" i="34" s="1"/>
  <c r="J59" i="34" s="1"/>
  <c r="K59" i="34" s="1"/>
  <c r="L59" i="34" s="1"/>
  <c r="M59" i="34" s="1"/>
  <c r="N59" i="34" s="1"/>
  <c r="O59" i="34" s="1"/>
  <c r="J7" i="34"/>
  <c r="H7" i="34"/>
  <c r="D68" i="39"/>
  <c r="C70" i="39"/>
  <c r="AC7" i="33"/>
  <c r="V48" i="33" s="1"/>
  <c r="I48" i="33" s="1"/>
  <c r="G52" i="37"/>
  <c r="H52" i="37" s="1"/>
  <c r="I52" i="37" s="1"/>
  <c r="J52" i="37" s="1"/>
  <c r="K52" i="37" s="1"/>
  <c r="L52" i="37" s="1"/>
  <c r="M52" i="37" s="1"/>
  <c r="N52" i="37" s="1"/>
  <c r="O52" i="37" s="1"/>
  <c r="F7" i="37"/>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D58" i="21"/>
  <c r="E58" i="21" s="1"/>
  <c r="F58" i="21" s="1"/>
  <c r="G58" i="21" s="1"/>
  <c r="H58" i="21" s="1"/>
  <c r="I58" i="21" s="1"/>
  <c r="J58" i="21" s="1"/>
  <c r="K58" i="21" s="1"/>
  <c r="L58" i="21" s="1"/>
  <c r="M58" i="21" s="1"/>
  <c r="N58" i="21" s="1"/>
  <c r="O58" i="21" s="1"/>
  <c r="F7" i="21"/>
  <c r="F6" i="71"/>
  <c r="F5" i="71" s="1"/>
  <c r="Y5" i="71"/>
  <c r="Z5" i="71" s="1"/>
  <c r="B7" i="49"/>
  <c r="E4" i="4" s="1"/>
  <c r="B5" i="62" s="1"/>
  <c r="E7" i="49"/>
  <c r="B15" i="49"/>
  <c r="AB3" i="71"/>
  <c r="X3" i="71"/>
  <c r="C6" i="71"/>
  <c r="AA7" i="40"/>
  <c r="R42" i="40" s="1"/>
  <c r="E42" i="40" s="1"/>
  <c r="E6" i="71"/>
  <c r="E5" i="71" s="1"/>
  <c r="E10" i="49"/>
  <c r="B6" i="49"/>
  <c r="E14" i="49"/>
  <c r="AC7" i="40"/>
  <c r="V42" i="40" s="1"/>
  <c r="I42" i="40" s="1"/>
  <c r="AF3" i="71"/>
  <c r="P24" i="43" s="1"/>
  <c r="B66" i="40" s="1"/>
  <c r="P23" i="43"/>
  <c r="B71" i="39" s="1"/>
  <c r="P21" i="43"/>
  <c r="P22" i="43"/>
  <c r="AB7" i="40"/>
  <c r="T42" i="40" s="1"/>
  <c r="G42" i="40" s="1"/>
  <c r="G46" i="40" s="1"/>
  <c r="H46" i="40" s="1"/>
  <c r="I46" i="40"/>
  <c r="J46" i="40" s="1"/>
  <c r="C23" i="12"/>
  <c r="B13" i="49"/>
  <c r="C4" i="4" s="1"/>
  <c r="B4" i="49"/>
  <c r="B9" i="49"/>
  <c r="E22" i="49"/>
  <c r="E16" i="49"/>
  <c r="E11" i="49"/>
  <c r="B10" i="49"/>
  <c r="E6" i="49"/>
  <c r="E8" i="49"/>
  <c r="E5" i="49"/>
  <c r="B8" i="49"/>
  <c r="B5" i="49"/>
  <c r="E21" i="49"/>
  <c r="E4" i="49"/>
  <c r="B11" i="49"/>
  <c r="B14" i="49"/>
  <c r="B16" i="49"/>
  <c r="E13" i="49"/>
  <c r="E15" i="49"/>
  <c r="E9" i="49"/>
  <c r="B22" i="49"/>
  <c r="B10" i="70"/>
  <c r="B13" i="70"/>
  <c r="E20" i="43"/>
  <c r="B20" i="31"/>
  <c r="B11" i="70"/>
  <c r="I1" i="73"/>
  <c r="B39" i="1" s="1"/>
  <c r="B12" i="70"/>
  <c r="B9" i="70"/>
  <c r="K1" i="73"/>
  <c r="C16" i="79"/>
  <c r="F7" i="80"/>
  <c r="M29" i="80"/>
  <c r="F43" i="80"/>
  <c r="C16" i="80"/>
  <c r="M27" i="67"/>
  <c r="M22" i="67"/>
  <c r="F41" i="67"/>
  <c r="F43" i="67"/>
  <c r="F40" i="67"/>
  <c r="F37" i="67"/>
  <c r="F7" i="67"/>
  <c r="L48" i="67"/>
  <c r="F42" i="67"/>
  <c r="F26" i="67"/>
  <c r="F36" i="67"/>
  <c r="F13" i="67"/>
  <c r="M29" i="67"/>
  <c r="C76" i="67"/>
  <c r="F6" i="67"/>
  <c r="L47" i="67"/>
  <c r="M24" i="67"/>
  <c r="F35" i="67"/>
  <c r="F16" i="67"/>
  <c r="F9" i="67"/>
  <c r="M26" i="67"/>
  <c r="F8" i="67"/>
  <c r="J15" i="67"/>
  <c r="M9" i="67"/>
  <c r="M8" i="67"/>
  <c r="M21" i="67"/>
  <c r="M23" i="67"/>
  <c r="F38" i="67"/>
  <c r="M6" i="67"/>
  <c r="M28" i="67"/>
  <c r="C76" i="15"/>
  <c r="F26" i="15"/>
  <c r="M28" i="15"/>
  <c r="F38" i="15"/>
  <c r="F36" i="15"/>
  <c r="F40" i="15"/>
  <c r="F16" i="15"/>
  <c r="F9" i="15"/>
  <c r="M6" i="15"/>
  <c r="F42" i="15"/>
  <c r="F8" i="15"/>
  <c r="L48" i="15"/>
  <c r="M24" i="15"/>
  <c r="F13" i="15"/>
  <c r="M22" i="15"/>
  <c r="M8" i="15"/>
  <c r="F7" i="15"/>
  <c r="F37" i="15"/>
  <c r="M26" i="15"/>
  <c r="F6" i="15"/>
  <c r="M9" i="15"/>
  <c r="M27" i="15"/>
  <c r="J15" i="15"/>
  <c r="F43" i="15"/>
  <c r="M23" i="15"/>
  <c r="L47" i="15"/>
  <c r="M29" i="15"/>
  <c r="F31" i="15"/>
  <c r="C17" i="67"/>
  <c r="C16" i="15"/>
  <c r="F59" i="15"/>
  <c r="M17" i="67"/>
  <c r="M17" i="15"/>
  <c r="C16" i="67"/>
  <c r="F59" i="67"/>
  <c r="F31" i="67"/>
  <c r="C14" i="67"/>
  <c r="G1" i="73"/>
  <c r="B73" i="72" l="1"/>
  <c r="Q66" i="80"/>
  <c r="Q57" i="80"/>
  <c r="F1" i="80"/>
  <c r="Q52" i="80"/>
  <c r="Q73" i="80"/>
  <c r="Q60" i="80"/>
  <c r="Q74" i="80"/>
  <c r="Q61" i="80"/>
  <c r="Q52" i="79"/>
  <c r="F1" i="79"/>
  <c r="Q73" i="79"/>
  <c r="Q60" i="79"/>
  <c r="Q74" i="79"/>
  <c r="Q61" i="79"/>
  <c r="Q66" i="79"/>
  <c r="Q57" i="79"/>
  <c r="G16" i="1"/>
  <c r="J10" i="39" s="1"/>
  <c r="W10" i="39" s="1"/>
  <c r="F71" i="80"/>
  <c r="F50" i="80"/>
  <c r="C49" i="80" s="1"/>
  <c r="C6" i="80"/>
  <c r="M7" i="80"/>
  <c r="J6" i="80" s="1"/>
  <c r="H16" i="1"/>
  <c r="G5" i="3"/>
  <c r="B3" i="3" s="1"/>
  <c r="S21" i="39"/>
  <c r="C5" i="43"/>
  <c r="AA27" i="39"/>
  <c r="S27" i="39"/>
  <c r="U27" i="39"/>
  <c r="AB27" i="39"/>
  <c r="S19" i="39"/>
  <c r="AC19" i="39"/>
  <c r="W19" i="39"/>
  <c r="AB17" i="39"/>
  <c r="U17" i="39"/>
  <c r="AA17" i="39"/>
  <c r="S17" i="39"/>
  <c r="AC17" i="39"/>
  <c r="W17" i="39"/>
  <c r="AA32" i="39"/>
  <c r="S32" i="39"/>
  <c r="W32" i="39"/>
  <c r="AC32" i="39"/>
  <c r="AC21" i="39"/>
  <c r="W21" i="39"/>
  <c r="AA13" i="39"/>
  <c r="S13" i="39"/>
  <c r="S41" i="39"/>
  <c r="AA41" i="39"/>
  <c r="W41" i="39"/>
  <c r="AC41" i="39"/>
  <c r="U13" i="39"/>
  <c r="AB13" i="39"/>
  <c r="M18" i="67"/>
  <c r="F28" i="67"/>
  <c r="C28" i="67" s="1"/>
  <c r="F53" i="9"/>
  <c r="M18" i="80"/>
  <c r="F28" i="79"/>
  <c r="C28" i="79" s="1"/>
  <c r="F30" i="68"/>
  <c r="F32" i="15"/>
  <c r="F60" i="15" s="1"/>
  <c r="F54" i="9"/>
  <c r="F31" i="12"/>
  <c r="C31" i="12" s="1"/>
  <c r="F52" i="9"/>
  <c r="F28" i="15"/>
  <c r="C28" i="15" s="1"/>
  <c r="D68" i="9"/>
  <c r="F28" i="80"/>
  <c r="C28" i="80" s="1"/>
  <c r="M18" i="79"/>
  <c r="F32" i="79"/>
  <c r="F60" i="79" s="1"/>
  <c r="F30" i="69"/>
  <c r="C30" i="69" s="1"/>
  <c r="F30" i="11"/>
  <c r="C48" i="11" s="1"/>
  <c r="C48" i="69"/>
  <c r="F11" i="80"/>
  <c r="M11" i="80"/>
  <c r="F11" i="79"/>
  <c r="M11" i="79"/>
  <c r="J10" i="79" s="1"/>
  <c r="J5" i="79" s="1"/>
  <c r="J53" i="15"/>
  <c r="L59" i="15"/>
  <c r="Q74" i="15" s="1"/>
  <c r="L58" i="15"/>
  <c r="Q60" i="15" s="1"/>
  <c r="N59" i="15"/>
  <c r="M59" i="15"/>
  <c r="F71" i="15"/>
  <c r="C6" i="15"/>
  <c r="F65" i="15"/>
  <c r="M7" i="15"/>
  <c r="J6" i="15" s="1"/>
  <c r="F50" i="15"/>
  <c r="J57" i="15"/>
  <c r="J55" i="15" s="1"/>
  <c r="J58" i="15" s="1"/>
  <c r="Q50" i="15" s="1"/>
  <c r="L56" i="15"/>
  <c r="I54" i="15"/>
  <c r="F51" i="15"/>
  <c r="F68" i="15"/>
  <c r="F64" i="15"/>
  <c r="F66" i="15"/>
  <c r="C27" i="15"/>
  <c r="Q71" i="15"/>
  <c r="F66" i="67"/>
  <c r="J20" i="67"/>
  <c r="F51" i="67"/>
  <c r="F63" i="67"/>
  <c r="C62" i="67" s="1"/>
  <c r="C34" i="67"/>
  <c r="L59" i="67"/>
  <c r="Q61" i="67" s="1"/>
  <c r="N59" i="67"/>
  <c r="M59" i="67"/>
  <c r="L58" i="67"/>
  <c r="Q60" i="67" s="1"/>
  <c r="C6" i="67"/>
  <c r="Q71" i="67"/>
  <c r="F64" i="67"/>
  <c r="C27" i="67"/>
  <c r="F70" i="67"/>
  <c r="I54" i="67"/>
  <c r="L56" i="67"/>
  <c r="J57" i="67"/>
  <c r="J55" i="67" s="1"/>
  <c r="J58" i="67" s="1"/>
  <c r="Q50" i="67" s="1"/>
  <c r="F50" i="67"/>
  <c r="M7" i="67"/>
  <c r="J6" i="67" s="1"/>
  <c r="F65" i="67"/>
  <c r="F68" i="67"/>
  <c r="F71" i="67"/>
  <c r="F69" i="67"/>
  <c r="E51" i="40"/>
  <c r="F27" i="6"/>
  <c r="E56" i="39"/>
  <c r="E12" i="6"/>
  <c r="E10" i="6"/>
  <c r="E14" i="6"/>
  <c r="E13" i="6"/>
  <c r="E28" i="6"/>
  <c r="K14" i="1" s="1"/>
  <c r="K16" i="1" s="1"/>
  <c r="F30" i="6"/>
  <c r="E56" i="40"/>
  <c r="E61" i="39"/>
  <c r="O8" i="1"/>
  <c r="P8" i="1" s="1"/>
  <c r="E60" i="40"/>
  <c r="E65" i="39"/>
  <c r="F27" i="69"/>
  <c r="F27" i="68"/>
  <c r="F27" i="11"/>
  <c r="F28" i="12"/>
  <c r="C29" i="12" s="1"/>
  <c r="D28" i="12" s="1"/>
  <c r="BA5" i="3"/>
  <c r="E27" i="6" s="1"/>
  <c r="AZ13" i="3"/>
  <c r="AZ5" i="3" s="1"/>
  <c r="H10" i="40"/>
  <c r="AB10" i="40" s="1"/>
  <c r="R43" i="40"/>
  <c r="C43" i="40" s="1"/>
  <c r="H10" i="39"/>
  <c r="K4" i="4"/>
  <c r="B46" i="48" s="1"/>
  <c r="B4" i="62"/>
  <c r="S7" i="21"/>
  <c r="AA7" i="21"/>
  <c r="R48" i="21" s="1"/>
  <c r="H7" i="21"/>
  <c r="W7" i="36"/>
  <c r="AC7" i="36"/>
  <c r="V36" i="36" s="1"/>
  <c r="I36" i="36" s="1"/>
  <c r="H7" i="36"/>
  <c r="AC7" i="35"/>
  <c r="V38" i="35" s="1"/>
  <c r="I38" i="35" s="1"/>
  <c r="W7" i="35"/>
  <c r="F7" i="35"/>
  <c r="S7" i="37"/>
  <c r="AA7" i="37"/>
  <c r="R42" i="37" s="1"/>
  <c r="J7" i="37"/>
  <c r="I52" i="33"/>
  <c r="J52" i="33" s="1"/>
  <c r="I53" i="33"/>
  <c r="J53" i="33" s="1"/>
  <c r="E68" i="39"/>
  <c r="D70" i="39"/>
  <c r="AC7" i="34"/>
  <c r="V49" i="34" s="1"/>
  <c r="I49" i="34" s="1"/>
  <c r="W7" i="34"/>
  <c r="S7" i="34"/>
  <c r="AA7" i="34"/>
  <c r="R49" i="34" s="1"/>
  <c r="C49" i="33"/>
  <c r="C48" i="33"/>
  <c r="G53" i="33"/>
  <c r="H53" i="33" s="1"/>
  <c r="J7" i="21"/>
  <c r="F7" i="36"/>
  <c r="H7" i="35"/>
  <c r="H7" i="37"/>
  <c r="U7" i="34"/>
  <c r="AB7" i="34"/>
  <c r="T49" i="34" s="1"/>
  <c r="G49" i="34" s="1"/>
  <c r="E53" i="33"/>
  <c r="F53" i="33" s="1"/>
  <c r="E52" i="33"/>
  <c r="F52" i="33" s="1"/>
  <c r="G47" i="40"/>
  <c r="H47" i="40" s="1"/>
  <c r="I47" i="40"/>
  <c r="J47" i="40" s="1"/>
  <c r="C5" i="71"/>
  <c r="D6" i="71"/>
  <c r="P25" i="43"/>
  <c r="E46" i="40"/>
  <c r="F46" i="40" s="1"/>
  <c r="E47" i="40"/>
  <c r="F47" i="40" s="1"/>
  <c r="B40" i="1"/>
  <c r="C18" i="67"/>
  <c r="C15" i="67"/>
  <c r="M11" i="15"/>
  <c r="F11" i="67"/>
  <c r="F11" i="15"/>
  <c r="M11" i="67"/>
  <c r="J10" i="67" s="1"/>
  <c r="P17" i="43"/>
  <c r="M17" i="43"/>
  <c r="N17" i="43"/>
  <c r="O17" i="43"/>
  <c r="AE8" i="1"/>
  <c r="AE7" i="1"/>
  <c r="E16" i="6" l="1"/>
  <c r="U10" i="39"/>
  <c r="AB10" i="39"/>
  <c r="A3" i="3"/>
  <c r="I4" i="6" s="1"/>
  <c r="G3" i="43" s="1"/>
  <c r="F10" i="40"/>
  <c r="S10" i="40" s="1"/>
  <c r="B71" i="72"/>
  <c r="B4" i="72"/>
  <c r="F10" i="39"/>
  <c r="J10" i="40"/>
  <c r="W10" i="40" s="1"/>
  <c r="J10" i="80"/>
  <c r="J5" i="80" s="1"/>
  <c r="J26" i="80" s="1"/>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230" i="3"/>
  <c r="E254" i="3"/>
  <c r="E181" i="3"/>
  <c r="E149" i="3"/>
  <c r="E212"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4" i="3"/>
  <c r="E130" i="3"/>
  <c r="E228" i="3"/>
  <c r="E157" i="3"/>
  <c r="E77" i="3"/>
  <c r="E253" i="3"/>
  <c r="E199" i="3"/>
  <c r="E286" i="3"/>
  <c r="E575" i="3"/>
  <c r="E499" i="3"/>
  <c r="R6" i="3"/>
  <c r="E502" i="3"/>
  <c r="E442" i="3"/>
  <c r="E466" i="3"/>
  <c r="E541" i="3"/>
  <c r="E430" i="3"/>
  <c r="E449" i="3"/>
  <c r="E255" i="3"/>
  <c r="I3" i="6"/>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C30" i="11"/>
  <c r="C30" i="68"/>
  <c r="C48" i="68"/>
  <c r="Q61" i="15"/>
  <c r="F24" i="79"/>
  <c r="F24" i="80"/>
  <c r="C53" i="80"/>
  <c r="C48" i="80" s="1"/>
  <c r="C10" i="80"/>
  <c r="C5" i="80" s="1"/>
  <c r="C24" i="79"/>
  <c r="J26" i="79"/>
  <c r="J24" i="79"/>
  <c r="J18" i="79"/>
  <c r="C53" i="79"/>
  <c r="C48" i="79" s="1"/>
  <c r="C10" i="79"/>
  <c r="C5" i="79" s="1"/>
  <c r="Q74" i="67"/>
  <c r="C49" i="15"/>
  <c r="F1" i="15"/>
  <c r="Q52" i="15"/>
  <c r="C49" i="67"/>
  <c r="U10" i="40"/>
  <c r="C34" i="69"/>
  <c r="C35" i="69" s="1"/>
  <c r="F31" i="6"/>
  <c r="Q73" i="15"/>
  <c r="Q73" i="67"/>
  <c r="J5" i="67"/>
  <c r="J24" i="67" s="1"/>
  <c r="AC10" i="40"/>
  <c r="AC10" i="39"/>
  <c r="J10" i="15"/>
  <c r="J5" i="15" s="1"/>
  <c r="J24" i="15" s="1"/>
  <c r="C42" i="40"/>
  <c r="E59" i="40"/>
  <c r="E64" i="39"/>
  <c r="E57" i="40"/>
  <c r="E62" i="39"/>
  <c r="AA10" i="40"/>
  <c r="E30" i="6"/>
  <c r="M14" i="1"/>
  <c r="M16" i="1" s="1"/>
  <c r="C34" i="68" s="1"/>
  <c r="E58" i="40"/>
  <c r="E63" i="39"/>
  <c r="E31" i="6"/>
  <c r="K24" i="6"/>
  <c r="M24" i="6" s="1"/>
  <c r="I24" i="6" s="1"/>
  <c r="S24" i="6" s="1"/>
  <c r="K22" i="6"/>
  <c r="M22" i="6" s="1"/>
  <c r="I22" i="6" s="1"/>
  <c r="S22" i="6" s="1"/>
  <c r="K23" i="6"/>
  <c r="M23" i="6" s="1"/>
  <c r="I23" i="6" s="1"/>
  <c r="S23" i="6" s="1"/>
  <c r="K19" i="6"/>
  <c r="S6" i="1" s="1"/>
  <c r="K26" i="6"/>
  <c r="M26" i="6" s="1"/>
  <c r="I26" i="6" s="1"/>
  <c r="S26" i="6" s="1"/>
  <c r="K20" i="6"/>
  <c r="K21" i="6"/>
  <c r="K25" i="6"/>
  <c r="M25" i="6" s="1"/>
  <c r="I25" i="6" s="1"/>
  <c r="S25" i="6" s="1"/>
  <c r="C29" i="68"/>
  <c r="D27" i="68" s="1"/>
  <c r="C47" i="68"/>
  <c r="D45" i="68" s="1"/>
  <c r="AY6" i="3"/>
  <c r="E3" i="6"/>
  <c r="D3" i="39" s="1"/>
  <c r="O14" i="1"/>
  <c r="P14" i="1" s="1"/>
  <c r="P16" i="1" s="1"/>
  <c r="C11" i="12" s="1"/>
  <c r="C47" i="11"/>
  <c r="D45" i="11" s="1"/>
  <c r="C29" i="11"/>
  <c r="D27" i="11" s="1"/>
  <c r="C47" i="69"/>
  <c r="D45" i="69" s="1"/>
  <c r="C29" i="69"/>
  <c r="D27" i="69" s="1"/>
  <c r="S6" i="43"/>
  <c r="S2" i="43"/>
  <c r="C23" i="43"/>
  <c r="C21" i="43" s="1"/>
  <c r="S7" i="43"/>
  <c r="S3" i="43"/>
  <c r="S5" i="43"/>
  <c r="S4" i="43"/>
  <c r="G53" i="34"/>
  <c r="H53" i="34" s="1"/>
  <c r="G54" i="34"/>
  <c r="H54" i="34" s="1"/>
  <c r="AB7" i="35"/>
  <c r="T38" i="35" s="1"/>
  <c r="G38" i="35" s="1"/>
  <c r="U7" i="35"/>
  <c r="AC7" i="21"/>
  <c r="V48" i="21" s="1"/>
  <c r="I48" i="21" s="1"/>
  <c r="W7" i="21"/>
  <c r="R50" i="34"/>
  <c r="E49" i="34"/>
  <c r="AC7" i="37"/>
  <c r="V42" i="37" s="1"/>
  <c r="I42" i="37" s="1"/>
  <c r="W7" i="37"/>
  <c r="U7" i="36"/>
  <c r="AB7" i="36"/>
  <c r="T36" i="36" s="1"/>
  <c r="G36" i="36" s="1"/>
  <c r="E48" i="21"/>
  <c r="R49" i="21"/>
  <c r="U7" i="37"/>
  <c r="AB7" i="37"/>
  <c r="T42" i="37" s="1"/>
  <c r="G42" i="37" s="1"/>
  <c r="AA7" i="36"/>
  <c r="R36" i="36" s="1"/>
  <c r="S7" i="36"/>
  <c r="I53" i="34"/>
  <c r="J53" i="34" s="1"/>
  <c r="I54" i="34"/>
  <c r="J54" i="34" s="1"/>
  <c r="F68" i="39"/>
  <c r="E70" i="39"/>
  <c r="E42" i="37"/>
  <c r="R43" i="37"/>
  <c r="AA7" i="35"/>
  <c r="R38" i="35" s="1"/>
  <c r="S7" i="35"/>
  <c r="I42" i="35"/>
  <c r="J42" i="35" s="1"/>
  <c r="I40" i="36"/>
  <c r="J40" i="36" s="1"/>
  <c r="AB7" i="21"/>
  <c r="T48" i="21" s="1"/>
  <c r="G48" i="21" s="1"/>
  <c r="U7" i="21"/>
  <c r="D5" i="71"/>
  <c r="M20" i="43" s="1"/>
  <c r="C19" i="43" s="1"/>
  <c r="B55" i="40"/>
  <c r="F55" i="40" s="1"/>
  <c r="B53" i="40"/>
  <c r="F53" i="40" s="1"/>
  <c r="B60" i="40"/>
  <c r="F60" i="40" s="1"/>
  <c r="B57" i="40"/>
  <c r="B58" i="40"/>
  <c r="B59" i="40"/>
  <c r="B52" i="40"/>
  <c r="F52" i="40" s="1"/>
  <c r="B56" i="40"/>
  <c r="F56" i="40" s="1"/>
  <c r="B51" i="40"/>
  <c r="F51" i="40" s="1"/>
  <c r="B54" i="40"/>
  <c r="F54" i="40" s="1"/>
  <c r="C19" i="67"/>
  <c r="C20" i="67" s="1"/>
  <c r="C26" i="67" s="1"/>
  <c r="C53" i="67"/>
  <c r="C10" i="67"/>
  <c r="C5" i="67" s="1"/>
  <c r="C53" i="15"/>
  <c r="C10" i="15"/>
  <c r="C5" i="15" s="1"/>
  <c r="F24" i="67"/>
  <c r="C24" i="67" s="1"/>
  <c r="F22" i="68"/>
  <c r="F22" i="11"/>
  <c r="F22" i="69"/>
  <c r="F25" i="12"/>
  <c r="F24" i="15"/>
  <c r="C24" i="15" s="1"/>
  <c r="C17" i="15"/>
  <c r="AE6" i="1"/>
  <c r="F41" i="80" s="1"/>
  <c r="F41" i="79"/>
  <c r="F41" i="15"/>
  <c r="E13" i="3" l="1"/>
  <c r="F22" i="43"/>
  <c r="M101" i="43"/>
  <c r="Z11" i="43"/>
  <c r="Z13" i="43" s="1"/>
  <c r="B113" i="43"/>
  <c r="J22" i="43"/>
  <c r="N101" i="43"/>
  <c r="AH11" i="43"/>
  <c r="AH13" i="43" s="1"/>
  <c r="AE11" i="43"/>
  <c r="AE13" i="43" s="1"/>
  <c r="N104" i="46"/>
  <c r="H101" i="43"/>
  <c r="AA11" i="43"/>
  <c r="AA13" i="43" s="1"/>
  <c r="AD11" i="43"/>
  <c r="AD13" i="43" s="1"/>
  <c r="H22" i="43"/>
  <c r="G22" i="43"/>
  <c r="J101" i="43"/>
  <c r="Y11" i="43"/>
  <c r="Y13" i="43" s="1"/>
  <c r="AG11" i="43"/>
  <c r="AG13" i="43" s="1"/>
  <c r="AB11" i="43"/>
  <c r="AB13" i="43" s="1"/>
  <c r="AJ11" i="43"/>
  <c r="AJ13" i="43" s="1"/>
  <c r="D101" i="43"/>
  <c r="F101" i="43"/>
  <c r="C101" i="43"/>
  <c r="AI11" i="43"/>
  <c r="AI13" i="43" s="1"/>
  <c r="E101" i="43"/>
  <c r="K101" i="43"/>
  <c r="L101" i="43"/>
  <c r="G101" i="43"/>
  <c r="AC11" i="43"/>
  <c r="AC13" i="43" s="1"/>
  <c r="Z7" i="43"/>
  <c r="AF11" i="43"/>
  <c r="AF13" i="43" s="1"/>
  <c r="I101" i="43"/>
  <c r="E22" i="43"/>
  <c r="J24" i="80"/>
  <c r="C38" i="69"/>
  <c r="AA10" i="39"/>
  <c r="S10" i="39"/>
  <c r="J18" i="80"/>
  <c r="E6" i="70"/>
  <c r="H6" i="3"/>
  <c r="AC6" i="3"/>
  <c r="F69" i="80"/>
  <c r="C66" i="80"/>
  <c r="C60" i="80"/>
  <c r="C38" i="80"/>
  <c r="C33" i="80"/>
  <c r="C32" i="80"/>
  <c r="C24" i="80"/>
  <c r="J29" i="80"/>
  <c r="F69" i="79"/>
  <c r="C38" i="79"/>
  <c r="C33" i="79"/>
  <c r="C32" i="79"/>
  <c r="C66" i="79"/>
  <c r="C60" i="79"/>
  <c r="J29" i="79"/>
  <c r="F69" i="15"/>
  <c r="C48" i="15"/>
  <c r="C66" i="15" s="1"/>
  <c r="J18" i="15"/>
  <c r="C34" i="11"/>
  <c r="C38" i="11" s="1"/>
  <c r="J26" i="67"/>
  <c r="J29" i="67" s="1"/>
  <c r="C48" i="67"/>
  <c r="C60" i="67" s="1"/>
  <c r="M21" i="6"/>
  <c r="I21" i="6" s="1"/>
  <c r="S21" i="6" s="1"/>
  <c r="S8" i="1"/>
  <c r="J18" i="67"/>
  <c r="L16" i="1"/>
  <c r="M20" i="6"/>
  <c r="I20" i="6" s="1"/>
  <c r="S20" i="6" s="1"/>
  <c r="S7" i="1"/>
  <c r="T6" i="1"/>
  <c r="AR6" i="1"/>
  <c r="AQ6" i="1"/>
  <c r="J26" i="15"/>
  <c r="J29" i="15" s="1"/>
  <c r="F58" i="40"/>
  <c r="E66" i="39"/>
  <c r="O16" i="1"/>
  <c r="F59" i="40"/>
  <c r="F57" i="40"/>
  <c r="N16" i="1"/>
  <c r="F50" i="68" s="1"/>
  <c r="C15" i="12"/>
  <c r="C12" i="12"/>
  <c r="D3" i="34"/>
  <c r="D3" i="33"/>
  <c r="B2" i="33" s="1"/>
  <c r="B3" i="33" s="1"/>
  <c r="E6" i="6"/>
  <c r="C17" i="4"/>
  <c r="B4" i="52" s="1"/>
  <c r="B43" i="72" s="1"/>
  <c r="L18" i="9"/>
  <c r="D3" i="37"/>
  <c r="D3" i="21"/>
  <c r="D19" i="11"/>
  <c r="C19" i="11" s="1"/>
  <c r="C24" i="11" s="1"/>
  <c r="D14" i="12"/>
  <c r="M18" i="9"/>
  <c r="B118" i="9" s="1"/>
  <c r="B14" i="74" s="1"/>
  <c r="B1" i="74" s="1"/>
  <c r="D37" i="11"/>
  <c r="C37" i="11" s="1"/>
  <c r="C35" i="11"/>
  <c r="AY103" i="3"/>
  <c r="AY98" i="3"/>
  <c r="AY67" i="3"/>
  <c r="AY82" i="3"/>
  <c r="AY50" i="3"/>
  <c r="AY18" i="3"/>
  <c r="AY196" i="3"/>
  <c r="AY191" i="3"/>
  <c r="AY160" i="3"/>
  <c r="AY171" i="3"/>
  <c r="AY139" i="3"/>
  <c r="AY132" i="3"/>
  <c r="AY289" i="3"/>
  <c r="AY90" i="3"/>
  <c r="AY74" i="3"/>
  <c r="AY31" i="3"/>
  <c r="AY183" i="3"/>
  <c r="AY87" i="3"/>
  <c r="AY51" i="3"/>
  <c r="AY34" i="3"/>
  <c r="AY207" i="3"/>
  <c r="AY144" i="3"/>
  <c r="AY124" i="3"/>
  <c r="AY95" i="3"/>
  <c r="AY42"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66" i="3"/>
  <c r="AY176" i="3"/>
  <c r="AY115" i="3"/>
  <c r="AY188"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22" i="3"/>
  <c r="AY406" i="3"/>
  <c r="AY435" i="3"/>
  <c r="AY419" i="3"/>
  <c r="AY403" i="3"/>
  <c r="AY503" i="3"/>
  <c r="AY83" i="3"/>
  <c r="AY15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30" i="3"/>
  <c r="AY398" i="3"/>
  <c r="AY41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23" i="3"/>
  <c r="AY59"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14" i="3"/>
  <c r="AY427" i="3"/>
  <c r="AY581"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51" i="3"/>
  <c r="AY307" i="3"/>
  <c r="AY477" i="3"/>
  <c r="AY474" i="3"/>
  <c r="AY443" i="3"/>
  <c r="AY432" i="3"/>
  <c r="AY400" i="3"/>
  <c r="AY413" i="3"/>
  <c r="AY521" i="3"/>
  <c r="AY15" i="3"/>
  <c r="AY566" i="3"/>
  <c r="AY583" i="3"/>
  <c r="BT6" i="3"/>
  <c r="AY567" i="3"/>
  <c r="AY208" i="3"/>
  <c r="AY375" i="3"/>
  <c r="AY339" i="3"/>
  <c r="AY322" i="3"/>
  <c r="AY490" i="3"/>
  <c r="AY459" i="3"/>
  <c r="AY448" i="3"/>
  <c r="AY416" i="3"/>
  <c r="AY429" i="3"/>
  <c r="AY550" i="3"/>
  <c r="BD6" i="3"/>
  <c r="BC6" i="3"/>
  <c r="AY511" i="3"/>
  <c r="AY504" i="3"/>
  <c r="AY586" i="3"/>
  <c r="AY498" i="3"/>
  <c r="C38" i="68"/>
  <c r="C35" i="68"/>
  <c r="M19" i="6"/>
  <c r="K27" i="6"/>
  <c r="C42" i="37"/>
  <c r="C43" i="37"/>
  <c r="G46" i="37"/>
  <c r="H46" i="37" s="1"/>
  <c r="G47" i="37"/>
  <c r="H47" i="37" s="1"/>
  <c r="C48" i="21"/>
  <c r="C49" i="21"/>
  <c r="G40" i="36"/>
  <c r="H40" i="36" s="1"/>
  <c r="G41" i="36"/>
  <c r="H41" i="36" s="1"/>
  <c r="E54" i="34"/>
  <c r="F54" i="34" s="1"/>
  <c r="E53" i="34"/>
  <c r="F53" i="34" s="1"/>
  <c r="G52" i="21"/>
  <c r="H52" i="21" s="1"/>
  <c r="G53" i="21"/>
  <c r="H53" i="21" s="1"/>
  <c r="E38" i="35"/>
  <c r="R39" i="35"/>
  <c r="E47" i="37"/>
  <c r="F47" i="37" s="1"/>
  <c r="E46" i="37"/>
  <c r="F46" i="37" s="1"/>
  <c r="G68" i="39"/>
  <c r="F70" i="39"/>
  <c r="E36" i="36"/>
  <c r="R37" i="36"/>
  <c r="E52" i="21"/>
  <c r="F52" i="21" s="1"/>
  <c r="E53" i="21"/>
  <c r="F53" i="21" s="1"/>
  <c r="I47" i="37"/>
  <c r="J47" i="37" s="1"/>
  <c r="I46" i="37"/>
  <c r="J46" i="37" s="1"/>
  <c r="C50" i="34"/>
  <c r="B2" i="34" s="1"/>
  <c r="B3" i="34" s="1"/>
  <c r="C49" i="34"/>
  <c r="I52" i="21"/>
  <c r="J52" i="21" s="1"/>
  <c r="I53" i="21"/>
  <c r="J53" i="21" s="1"/>
  <c r="G42" i="35"/>
  <c r="H42" i="35" s="1"/>
  <c r="G43" i="35"/>
  <c r="H43"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44" i="69"/>
  <c r="D41" i="69" s="1"/>
  <c r="C26" i="69"/>
  <c r="D22" i="69" s="1"/>
  <c r="C38" i="67"/>
  <c r="C32" i="67"/>
  <c r="C14" i="15"/>
  <c r="C17" i="80"/>
  <c r="C17" i="79"/>
  <c r="I104" i="43" l="1"/>
  <c r="I106" i="43"/>
  <c r="I102" i="43"/>
  <c r="I109" i="43"/>
  <c r="I107" i="43"/>
  <c r="I105" i="43"/>
  <c r="I103" i="43"/>
  <c r="G105" i="43"/>
  <c r="G103" i="43"/>
  <c r="G107" i="43"/>
  <c r="G106" i="43"/>
  <c r="G102" i="43"/>
  <c r="G109" i="43"/>
  <c r="G104" i="43"/>
  <c r="K104" i="43"/>
  <c r="K103" i="43"/>
  <c r="K105" i="43"/>
  <c r="K107" i="43"/>
  <c r="K102" i="43"/>
  <c r="K106" i="43"/>
  <c r="K109" i="43"/>
  <c r="F106" i="43"/>
  <c r="F107" i="43"/>
  <c r="F102" i="43"/>
  <c r="F103" i="43"/>
  <c r="F104" i="43"/>
  <c r="F109" i="43"/>
  <c r="F105" i="43"/>
  <c r="J104" i="43"/>
  <c r="J106" i="43"/>
  <c r="J105" i="43"/>
  <c r="J107" i="43"/>
  <c r="J102" i="43"/>
  <c r="J109" i="43"/>
  <c r="J103" i="43"/>
  <c r="L109" i="43"/>
  <c r="L107" i="43"/>
  <c r="L102" i="43"/>
  <c r="L104" i="43"/>
  <c r="L106" i="43"/>
  <c r="L103" i="43"/>
  <c r="L105" i="43"/>
  <c r="E102" i="43"/>
  <c r="E103" i="43"/>
  <c r="E105" i="43"/>
  <c r="E107" i="43"/>
  <c r="E106" i="43"/>
  <c r="E109" i="43"/>
  <c r="E104" i="43"/>
  <c r="C104" i="43"/>
  <c r="C105" i="43"/>
  <c r="C109" i="43"/>
  <c r="C103" i="43"/>
  <c r="C106" i="43"/>
  <c r="C102" i="43"/>
  <c r="C107" i="43"/>
  <c r="D105" i="43"/>
  <c r="D109" i="43"/>
  <c r="D103" i="43"/>
  <c r="D106" i="43"/>
  <c r="D102" i="43"/>
  <c r="D107" i="43"/>
  <c r="D104" i="43"/>
  <c r="D22" i="43"/>
  <c r="H103" i="43"/>
  <c r="H102" i="43"/>
  <c r="H107" i="43"/>
  <c r="H104" i="43"/>
  <c r="H106" i="43"/>
  <c r="H109" i="43"/>
  <c r="H105" i="43"/>
  <c r="N103" i="43"/>
  <c r="N107" i="43"/>
  <c r="N105" i="43"/>
  <c r="N109" i="43"/>
  <c r="N102" i="43"/>
  <c r="N106" i="43"/>
  <c r="N104" i="43"/>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I117" i="43"/>
  <c r="J117" i="43" s="1"/>
  <c r="K117" i="43" s="1"/>
  <c r="L117" i="43" s="1"/>
  <c r="M117" i="43" s="1"/>
  <c r="B116" i="43"/>
  <c r="C116" i="43" s="1"/>
  <c r="I116" i="43"/>
  <c r="J116" i="43" s="1"/>
  <c r="K116" i="43" s="1"/>
  <c r="L116" i="43" s="1"/>
  <c r="M116" i="43" s="1"/>
  <c r="M102" i="43"/>
  <c r="M103" i="43"/>
  <c r="M104" i="43"/>
  <c r="M106" i="43"/>
  <c r="M105" i="43"/>
  <c r="M109" i="43"/>
  <c r="M107" i="43"/>
  <c r="C15" i="15"/>
  <c r="C18" i="15"/>
  <c r="S16" i="1"/>
  <c r="E7" i="70"/>
  <c r="E8" i="70"/>
  <c r="E6" i="3"/>
  <c r="C60" i="15"/>
  <c r="C66" i="67"/>
  <c r="F50" i="11"/>
  <c r="AQ7" i="1"/>
  <c r="T7" i="1"/>
  <c r="AR7" i="1"/>
  <c r="AR8" i="1"/>
  <c r="AQ8" i="1"/>
  <c r="T8" i="1"/>
  <c r="F50" i="69"/>
  <c r="C33" i="11"/>
  <c r="C42" i="11" s="1"/>
  <c r="B2" i="21"/>
  <c r="B3" i="21" s="1"/>
  <c r="D19" i="6"/>
  <c r="D26" i="6"/>
  <c r="C18" i="4"/>
  <c r="D8" i="6"/>
  <c r="D23" i="6"/>
  <c r="D14" i="6"/>
  <c r="D5" i="6"/>
  <c r="D12" i="6"/>
  <c r="D11" i="6"/>
  <c r="D13" i="6"/>
  <c r="D28" i="6"/>
  <c r="E61" i="40"/>
  <c r="F61" i="40" s="1"/>
  <c r="B2" i="40" s="1"/>
  <c r="B3" i="40" s="1"/>
  <c r="H22" i="6"/>
  <c r="H21" i="6"/>
  <c r="H24" i="6"/>
  <c r="H20" i="6"/>
  <c r="M19" i="9"/>
  <c r="C118" i="9" s="1"/>
  <c r="C14" i="74" s="1"/>
  <c r="B2" i="74" s="1"/>
  <c r="D25" i="6"/>
  <c r="D15" i="6"/>
  <c r="D22" i="6"/>
  <c r="D21" i="6"/>
  <c r="D24" i="6"/>
  <c r="D20" i="6"/>
  <c r="D6" i="6"/>
  <c r="D9" i="6"/>
  <c r="D10" i="6"/>
  <c r="L19" i="9"/>
  <c r="D29" i="6"/>
  <c r="H25" i="6"/>
  <c r="H23" i="6"/>
  <c r="H26" i="6"/>
  <c r="C8" i="74"/>
  <c r="C20" i="11"/>
  <c r="C25" i="11" s="1"/>
  <c r="C22" i="11" s="1"/>
  <c r="B2" i="37"/>
  <c r="B3" i="37" s="1"/>
  <c r="I19" i="6"/>
  <c r="H19" i="6" s="1"/>
  <c r="M27" i="6"/>
  <c r="D17" i="12"/>
  <c r="C17" i="12" s="1"/>
  <c r="C14" i="12"/>
  <c r="C16" i="12" s="1"/>
  <c r="D10" i="11"/>
  <c r="C10" i="11" s="1"/>
  <c r="D20" i="12"/>
  <c r="C20" i="12" s="1"/>
  <c r="D10" i="68"/>
  <c r="D10" i="69"/>
  <c r="C36" i="36"/>
  <c r="C37" i="36"/>
  <c r="B2" i="36" s="1"/>
  <c r="B3" i="36" s="1"/>
  <c r="C38" i="35"/>
  <c r="C39" i="35"/>
  <c r="B2" i="35" s="1"/>
  <c r="B3" i="35" s="1"/>
  <c r="E40" i="36"/>
  <c r="F40" i="36" s="1"/>
  <c r="E41" i="36"/>
  <c r="F41" i="36" s="1"/>
  <c r="I41" i="36"/>
  <c r="J41" i="36" s="1"/>
  <c r="H68" i="39"/>
  <c r="G70" i="39"/>
  <c r="E43" i="35"/>
  <c r="F43" i="35" s="1"/>
  <c r="E42" i="35"/>
  <c r="F42" i="35" s="1"/>
  <c r="I43" i="35"/>
  <c r="J43" i="35"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C31" i="67" s="1"/>
  <c r="J14" i="67"/>
  <c r="C57" i="67"/>
  <c r="C13" i="67"/>
  <c r="J19" i="67"/>
  <c r="J17" i="67" s="1"/>
  <c r="Q49" i="67"/>
  <c r="C36" i="67"/>
  <c r="J59" i="67"/>
  <c r="J60" i="67" s="1"/>
  <c r="C14" i="79"/>
  <c r="C14" i="80"/>
  <c r="D113" i="43" l="1"/>
  <c r="C19" i="15"/>
  <c r="E2" i="70"/>
  <c r="C18" i="80"/>
  <c r="C15" i="80"/>
  <c r="C18" i="79"/>
  <c r="C15" i="79"/>
  <c r="C20" i="15"/>
  <c r="C26" i="15" s="1"/>
  <c r="C39" i="11"/>
  <c r="C43" i="11" s="1"/>
  <c r="C41" i="11" s="1"/>
  <c r="H27" i="6"/>
  <c r="T16" i="1"/>
  <c r="R24" i="6"/>
  <c r="R22" i="6"/>
  <c r="D16" i="6"/>
  <c r="R25" i="6"/>
  <c r="D30" i="6"/>
  <c r="R20" i="6"/>
  <c r="R7" i="1" s="1"/>
  <c r="R21" i="6"/>
  <c r="R8" i="1" s="1"/>
  <c r="C28" i="11"/>
  <c r="C27" i="11" s="1"/>
  <c r="C31" i="11" s="1"/>
  <c r="C10" i="68"/>
  <c r="B29" i="1" s="1"/>
  <c r="C8" i="68" s="1"/>
  <c r="D19" i="68"/>
  <c r="D8" i="74"/>
  <c r="R26" i="6"/>
  <c r="C10" i="69"/>
  <c r="C8" i="69" s="1"/>
  <c r="C5" i="69" s="1"/>
  <c r="D19" i="69"/>
  <c r="S19" i="6"/>
  <c r="S27" i="6" s="1"/>
  <c r="I27" i="6"/>
  <c r="R23" i="6"/>
  <c r="C4" i="52"/>
  <c r="B45" i="72" s="1"/>
  <c r="A10" i="51"/>
  <c r="B9" i="72" s="1"/>
  <c r="A7" i="51"/>
  <c r="B7" i="72" s="1"/>
  <c r="D27" i="6"/>
  <c r="R19" i="6"/>
  <c r="I68" i="39"/>
  <c r="H70" i="39"/>
  <c r="C26" i="43"/>
  <c r="B2" i="43" s="1"/>
  <c r="C27" i="43"/>
  <c r="Q48" i="67"/>
  <c r="L46" i="67"/>
  <c r="C75" i="67"/>
  <c r="C37" i="67"/>
  <c r="C30" i="67" s="1"/>
  <c r="C39" i="67" s="1"/>
  <c r="Q70" i="67"/>
  <c r="C56" i="67"/>
  <c r="C65" i="67" s="1"/>
  <c r="J13" i="67"/>
  <c r="J23" i="67" s="1"/>
  <c r="J22" i="67"/>
  <c r="C61" i="67"/>
  <c r="C59" i="67" s="1"/>
  <c r="C64" i="67"/>
  <c r="E6" i="76"/>
  <c r="B6" i="76"/>
  <c r="C23" i="15" l="1"/>
  <c r="C29" i="15" s="1"/>
  <c r="Q49" i="15" s="1"/>
  <c r="C19" i="80"/>
  <c r="C20" i="80" s="1"/>
  <c r="C26" i="80" s="1"/>
  <c r="C19" i="79"/>
  <c r="C46" i="11"/>
  <c r="C45" i="11" s="1"/>
  <c r="C18" i="12"/>
  <c r="C21" i="12" s="1"/>
  <c r="C22" i="12" s="1"/>
  <c r="C30" i="12" s="1"/>
  <c r="C28" i="12" s="1"/>
  <c r="C49" i="11"/>
  <c r="C51" i="11" s="1"/>
  <c r="C52" i="11" s="1"/>
  <c r="B2" i="11" s="1"/>
  <c r="B3" i="11" s="1"/>
  <c r="R27" i="6"/>
  <c r="R6" i="1"/>
  <c r="D31" i="6"/>
  <c r="I5" i="6" s="1"/>
  <c r="C23" i="69"/>
  <c r="C19" i="69"/>
  <c r="C24" i="69" s="1"/>
  <c r="D37" i="69"/>
  <c r="C37" i="69" s="1"/>
  <c r="C33" i="69" s="1"/>
  <c r="C19" i="68"/>
  <c r="D37" i="68"/>
  <c r="C37" i="68" s="1"/>
  <c r="C33" i="68" s="1"/>
  <c r="J68" i="39"/>
  <c r="I70" i="39"/>
  <c r="E2" i="76"/>
  <c r="B2" i="76"/>
  <c r="B3" i="43"/>
  <c r="J16" i="67"/>
  <c r="J25" i="67" s="1"/>
  <c r="C40" i="67"/>
  <c r="Q69" i="67"/>
  <c r="Q68" i="67" s="1"/>
  <c r="C58" i="67"/>
  <c r="C67" i="67" s="1"/>
  <c r="C68" i="67" s="1"/>
  <c r="C80" i="67"/>
  <c r="C79" i="67" s="1"/>
  <c r="M21" i="80"/>
  <c r="F35" i="80"/>
  <c r="M21" i="79"/>
  <c r="F35" i="79"/>
  <c r="M21" i="15"/>
  <c r="F35" i="15"/>
  <c r="L51" i="67"/>
  <c r="J59" i="15" l="1"/>
  <c r="J60" i="15" s="1"/>
  <c r="Q48" i="15" s="1"/>
  <c r="C57" i="15"/>
  <c r="C61" i="15" s="1"/>
  <c r="C36" i="15"/>
  <c r="C13" i="15"/>
  <c r="C56" i="15" s="1"/>
  <c r="C65" i="15" s="1"/>
  <c r="J19" i="15"/>
  <c r="J14" i="15"/>
  <c r="J22" i="15" s="1"/>
  <c r="I6" i="6"/>
  <c r="C23" i="80"/>
  <c r="C29" i="80" s="1"/>
  <c r="C20" i="79"/>
  <c r="C26" i="79" s="1"/>
  <c r="F63" i="80"/>
  <c r="C62" i="80" s="1"/>
  <c r="C34" i="80"/>
  <c r="C31" i="80" s="1"/>
  <c r="J20" i="80"/>
  <c r="F63" i="79"/>
  <c r="C62" i="79" s="1"/>
  <c r="C34" i="79"/>
  <c r="C31" i="79" s="1"/>
  <c r="J20" i="79"/>
  <c r="F63" i="15"/>
  <c r="C62" i="15" s="1"/>
  <c r="C34" i="15"/>
  <c r="C31" i="15" s="1"/>
  <c r="J20" i="15"/>
  <c r="R16" i="1"/>
  <c r="C24" i="68"/>
  <c r="C20" i="69"/>
  <c r="C27" i="12"/>
  <c r="C25" i="12" s="1"/>
  <c r="C32" i="12" s="1"/>
  <c r="B2" i="12" s="1"/>
  <c r="B3" i="12" s="1"/>
  <c r="C56" i="11"/>
  <c r="C57" i="11" s="1"/>
  <c r="C39" i="68"/>
  <c r="C43" i="68" s="1"/>
  <c r="C42" i="68"/>
  <c r="C39" i="69"/>
  <c r="C42" i="69"/>
  <c r="K68" i="39"/>
  <c r="J70" i="39"/>
  <c r="B3" i="76"/>
  <c r="Q67" i="67"/>
  <c r="L57" i="67"/>
  <c r="L60" i="67" s="1"/>
  <c r="C71" i="67"/>
  <c r="C45" i="67"/>
  <c r="C46" i="67" s="1"/>
  <c r="Q56" i="67"/>
  <c r="Q47" i="67"/>
  <c r="Q53" i="67" s="1"/>
  <c r="Q65" i="67"/>
  <c r="C43" i="67"/>
  <c r="D2" i="67"/>
  <c r="C83" i="67"/>
  <c r="C82" i="67" s="1"/>
  <c r="C64" i="15" l="1"/>
  <c r="C37" i="15"/>
  <c r="C30" i="15" s="1"/>
  <c r="C39" i="15" s="1"/>
  <c r="J17" i="15"/>
  <c r="C59" i="15"/>
  <c r="J13" i="15"/>
  <c r="J23" i="15" s="1"/>
  <c r="C75" i="15"/>
  <c r="Q70" i="15"/>
  <c r="C23" i="79"/>
  <c r="C29" i="79" s="1"/>
  <c r="C36" i="80"/>
  <c r="C57" i="80"/>
  <c r="J59" i="80"/>
  <c r="J60" i="80" s="1"/>
  <c r="J19" i="80"/>
  <c r="J17" i="80" s="1"/>
  <c r="J14" i="80"/>
  <c r="C13" i="80"/>
  <c r="Q49" i="80"/>
  <c r="C41" i="68"/>
  <c r="L57" i="15"/>
  <c r="L60" i="15" s="1"/>
  <c r="L46" i="15" s="1"/>
  <c r="C46" i="69"/>
  <c r="C45" i="69" s="1"/>
  <c r="C43" i="69"/>
  <c r="C41" i="69" s="1"/>
  <c r="C46" i="68"/>
  <c r="C45" i="68" s="1"/>
  <c r="C28" i="69"/>
  <c r="C27" i="69" s="1"/>
  <c r="C25" i="69"/>
  <c r="C22" i="69" s="1"/>
  <c r="L68" i="39"/>
  <c r="K70" i="39"/>
  <c r="Q66" i="67"/>
  <c r="Q75" i="67" s="1"/>
  <c r="Q57" i="67"/>
  <c r="Q62" i="67" s="1"/>
  <c r="B2" i="67"/>
  <c r="B3" i="67"/>
  <c r="L51" i="15"/>
  <c r="C58" i="15" l="1"/>
  <c r="C67" i="15" s="1"/>
  <c r="C68" i="15" s="1"/>
  <c r="C71" i="15" s="1"/>
  <c r="C80" i="15"/>
  <c r="C79" i="15" s="1"/>
  <c r="J16" i="15"/>
  <c r="J25" i="15" s="1"/>
  <c r="Q67" i="15"/>
  <c r="Q69" i="15"/>
  <c r="Q68" i="15" s="1"/>
  <c r="C40" i="15"/>
  <c r="C57" i="79"/>
  <c r="C61" i="79" s="1"/>
  <c r="C59" i="79" s="1"/>
  <c r="J19" i="79"/>
  <c r="J17" i="79" s="1"/>
  <c r="C36" i="79"/>
  <c r="Q49" i="79"/>
  <c r="C13" i="79"/>
  <c r="Q70" i="79" s="1"/>
  <c r="J14" i="79"/>
  <c r="J22" i="79" s="1"/>
  <c r="J59" i="79"/>
  <c r="J60" i="79" s="1"/>
  <c r="Q48" i="79" s="1"/>
  <c r="J22" i="80"/>
  <c r="J13" i="80"/>
  <c r="J23" i="80" s="1"/>
  <c r="Q48" i="80"/>
  <c r="L46" i="80"/>
  <c r="Q70" i="80"/>
  <c r="C37" i="80"/>
  <c r="C30" i="80" s="1"/>
  <c r="C39" i="80" s="1"/>
  <c r="C56" i="80"/>
  <c r="C65" i="80" s="1"/>
  <c r="C75" i="80"/>
  <c r="C61" i="80"/>
  <c r="C59" i="80" s="1"/>
  <c r="C64" i="80"/>
  <c r="C31" i="69"/>
  <c r="Q57" i="15"/>
  <c r="C49" i="68"/>
  <c r="C51" i="68" s="1"/>
  <c r="C49" i="69"/>
  <c r="C51" i="69" s="1"/>
  <c r="Q66" i="15"/>
  <c r="M68" i="39"/>
  <c r="L70" i="39"/>
  <c r="L51" i="80"/>
  <c r="C46" i="15" l="1"/>
  <c r="Q65" i="15"/>
  <c r="L46" i="79"/>
  <c r="C64" i="79"/>
  <c r="C56" i="79"/>
  <c r="C65" i="79" s="1"/>
  <c r="Q56" i="15"/>
  <c r="Q62" i="15" s="1"/>
  <c r="Q47" i="15"/>
  <c r="Q53" i="15" s="1"/>
  <c r="J13" i="79"/>
  <c r="J23" i="79" s="1"/>
  <c r="J16" i="79" s="1"/>
  <c r="J25" i="79" s="1"/>
  <c r="C43" i="15"/>
  <c r="C83" i="15"/>
  <c r="C82" i="15" s="1"/>
  <c r="B2" i="15"/>
  <c r="C75" i="79"/>
  <c r="C37" i="79"/>
  <c r="C30" i="79" s="1"/>
  <c r="C39" i="79" s="1"/>
  <c r="C58" i="80"/>
  <c r="C67" i="80" s="1"/>
  <c r="C68" i="80" s="1"/>
  <c r="C71" i="80" s="1"/>
  <c r="J16" i="80"/>
  <c r="J25" i="80" s="1"/>
  <c r="Q67" i="80"/>
  <c r="Q69" i="80"/>
  <c r="Q68" i="80" s="1"/>
  <c r="C40" i="80"/>
  <c r="Q69" i="79"/>
  <c r="Q68" i="79" s="1"/>
  <c r="C80" i="80"/>
  <c r="C79" i="80" s="1"/>
  <c r="C52" i="69"/>
  <c r="B2" i="69" s="1"/>
  <c r="B3" i="69" s="1"/>
  <c r="Q75" i="15"/>
  <c r="N68" i="39"/>
  <c r="M70" i="39"/>
  <c r="AO6" i="1"/>
  <c r="L51" i="79"/>
  <c r="C57" i="69" l="1"/>
  <c r="C56" i="69" s="1"/>
  <c r="C58" i="79"/>
  <c r="C67" i="79" s="1"/>
  <c r="C68" i="79" s="1"/>
  <c r="C71" i="79" s="1"/>
  <c r="B6" i="70"/>
  <c r="B3" i="15"/>
  <c r="Q67" i="79"/>
  <c r="C80" i="79"/>
  <c r="C79" i="79" s="1"/>
  <c r="C40" i="79"/>
  <c r="B2" i="79" s="1"/>
  <c r="C83" i="80"/>
  <c r="C82" i="80" s="1"/>
  <c r="Q47" i="80"/>
  <c r="Q53" i="80" s="1"/>
  <c r="Q65" i="80"/>
  <c r="Q75" i="80" s="1"/>
  <c r="C43" i="80"/>
  <c r="C46" i="80"/>
  <c r="B2" i="80"/>
  <c r="Q56" i="80"/>
  <c r="Q62" i="80" s="1"/>
  <c r="O68" i="39"/>
  <c r="O70" i="39" s="1"/>
  <c r="N70" i="39"/>
  <c r="AO7" i="1"/>
  <c r="AO8" i="1"/>
  <c r="C46" i="79" l="1"/>
  <c r="C43" i="79"/>
  <c r="C83" i="79"/>
  <c r="C82" i="79" s="1"/>
  <c r="Q47" i="79"/>
  <c r="Q53" i="79" s="1"/>
  <c r="Q56" i="79"/>
  <c r="Q62" i="79" s="1"/>
  <c r="Q65" i="79"/>
  <c r="Q75" i="79" s="1"/>
  <c r="B8" i="70"/>
  <c r="B7" i="70"/>
  <c r="B3" i="80"/>
  <c r="B3" i="79"/>
  <c r="J7" i="39"/>
  <c r="F7" i="39"/>
  <c r="H7" i="39"/>
  <c r="B2" i="70" l="1"/>
  <c r="AB7" i="39"/>
  <c r="T47" i="39" s="1"/>
  <c r="G47" i="39" s="1"/>
  <c r="U7" i="39"/>
  <c r="S7" i="39"/>
  <c r="AA7" i="39"/>
  <c r="R47" i="39" s="1"/>
  <c r="AC7" i="39"/>
  <c r="V47" i="39" s="1"/>
  <c r="I47" i="39" s="1"/>
  <c r="W7" i="39"/>
  <c r="D19" i="9"/>
  <c r="D102" i="9" l="1"/>
  <c r="D21" i="9"/>
  <c r="B3" i="70"/>
  <c r="I51" i="39"/>
  <c r="J51" i="39" s="1"/>
  <c r="E47" i="39"/>
  <c r="I52" i="39" s="1"/>
  <c r="J52" i="39" s="1"/>
  <c r="R48" i="39"/>
  <c r="G51" i="39"/>
  <c r="H51" i="39" s="1"/>
  <c r="G52" i="39"/>
  <c r="H52" i="39" s="1"/>
  <c r="D20" i="9"/>
  <c r="D103" i="9" l="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5" i="68" s="1"/>
  <c r="C28" i="68" l="1"/>
  <c r="C27" i="68" s="1"/>
  <c r="C22" i="68"/>
  <c r="C31" i="68" l="1"/>
  <c r="C52" i="68" s="1"/>
  <c r="B2" i="68" s="1"/>
  <c r="C19" i="9"/>
  <c r="C57" i="68" l="1"/>
  <c r="C56" i="68" s="1"/>
  <c r="C21" i="9"/>
  <c r="C102" i="9"/>
  <c r="D22" i="9"/>
  <c r="G19" i="9"/>
  <c r="B3" i="68"/>
  <c r="D34" i="9"/>
  <c r="D35" i="9"/>
  <c r="C20" i="9"/>
  <c r="C103" i="9" l="1"/>
  <c r="G20" i="9"/>
  <c r="C32" i="9"/>
  <c r="G21" i="9"/>
  <c r="C35" i="9" l="1"/>
  <c r="F118" i="9" s="1"/>
  <c r="H118" i="9"/>
  <c r="C34" i="9" l="1"/>
  <c r="D118" i="9" s="1"/>
  <c r="D119" i="9" s="1"/>
  <c r="D5" i="52" s="1"/>
  <c r="F119" i="9"/>
  <c r="F5" i="52" s="1"/>
  <c r="G118" i="9"/>
  <c r="G4" i="52" s="1"/>
  <c r="F4" i="52"/>
  <c r="H4" i="52"/>
  <c r="H119" i="9"/>
  <c r="H5" i="52" s="1"/>
  <c r="I118" i="9"/>
  <c r="H101" i="9"/>
  <c r="H109" i="9" s="1"/>
  <c r="D14" i="74"/>
  <c r="C104" i="9"/>
  <c r="D124" i="9" l="1"/>
  <c r="H110" i="9"/>
  <c r="D18" i="53" s="1"/>
  <c r="B35" i="72" s="1"/>
  <c r="D16" i="53"/>
  <c r="B52" i="72"/>
  <c r="B49" i="72"/>
  <c r="B51" i="72"/>
  <c r="B53" i="72"/>
  <c r="D4" i="52"/>
  <c r="M48" i="9"/>
  <c r="D5" i="53"/>
  <c r="D45" i="9"/>
  <c r="H107" i="9"/>
  <c r="E14" i="74"/>
  <c r="F14" i="74"/>
  <c r="B5" i="74"/>
  <c r="C105" i="9"/>
  <c r="E118" i="9"/>
  <c r="E4" i="52" s="1"/>
  <c r="I4" i="52"/>
  <c r="H102" i="9"/>
  <c r="D7" i="53" s="1"/>
  <c r="B34" i="72" l="1"/>
  <c r="D17" i="53"/>
  <c r="B36" i="72" s="1"/>
  <c r="H14" i="74"/>
  <c r="B7" i="74" s="1"/>
  <c r="D10" i="52"/>
  <c r="D125" i="9"/>
  <c r="D11" i="52" s="1"/>
  <c r="B47" i="72"/>
  <c r="B21" i="72"/>
  <c r="B48" i="72"/>
  <c r="C5" i="74"/>
  <c r="D5" i="74"/>
  <c r="C78" i="9"/>
  <c r="C73" i="9" s="1"/>
  <c r="D52" i="9"/>
  <c r="C72" i="9"/>
  <c r="D53" i="9"/>
  <c r="C93" i="9"/>
  <c r="C86" i="9" s="1"/>
  <c r="C64" i="9"/>
  <c r="C63" i="9" s="1"/>
  <c r="C67" i="9" s="1"/>
  <c r="C68" i="9" s="1"/>
  <c r="D54" i="9" s="1"/>
  <c r="C85" i="9"/>
  <c r="D55" i="9"/>
  <c r="M53" i="9" s="1"/>
  <c r="H108" i="9"/>
  <c r="D15" i="53" s="1"/>
  <c r="D13" i="53"/>
  <c r="M49" i="9"/>
  <c r="D122" i="9"/>
  <c r="D6" i="53"/>
  <c r="B20" i="72"/>
  <c r="C79" i="9" l="1"/>
  <c r="C7" i="74"/>
  <c r="D7" i="74"/>
  <c r="B22" i="72"/>
  <c r="B31" i="72"/>
  <c r="C95" i="9"/>
  <c r="C96" i="9" s="1"/>
  <c r="E96" i="9" s="1"/>
  <c r="E97" i="9" s="1"/>
  <c r="L68" i="9"/>
  <c r="M68" i="9" s="1"/>
  <c r="L63" i="9"/>
  <c r="M63" i="9" s="1"/>
  <c r="L64" i="9"/>
  <c r="M64" i="9" s="1"/>
  <c r="L66" i="9"/>
  <c r="M66" i="9" s="1"/>
  <c r="L65" i="9"/>
  <c r="M65" i="9" s="1"/>
  <c r="L67" i="9"/>
  <c r="M67" i="9" s="1"/>
  <c r="C80" i="9"/>
  <c r="E80" i="9" s="1"/>
  <c r="E81" i="9" s="1"/>
  <c r="D8" i="52"/>
  <c r="G14" i="74"/>
  <c r="B6" i="74" s="1"/>
  <c r="D123" i="9"/>
  <c r="D9" i="52" s="1"/>
  <c r="D14" i="53"/>
  <c r="B30" i="72"/>
  <c r="B32" i="72" l="1"/>
  <c r="C81" i="9"/>
  <c r="C97" i="9"/>
  <c r="D58" i="9" s="1"/>
  <c r="D56" i="9" s="1"/>
  <c r="M54" i="9" s="1"/>
  <c r="N57" i="9" s="1"/>
  <c r="P57" i="9" s="1"/>
  <c r="M69" i="9"/>
  <c r="N69" i="9" s="1"/>
  <c r="D6" i="74"/>
  <c r="C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<sst xmlns="http://schemas.openxmlformats.org/spreadsheetml/2006/main" count="14744" uniqueCount="5208">
  <si>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</si>
  <si>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</si>
  <si>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</si>
  <si>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</si>
  <si>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</si>
  <si>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</si>
  <si>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</si>
  <si>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</si>
  <si>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</si>
  <si>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</si>
  <si>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</si>
  <si>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</si>
  <si>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</si>
  <si>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</si>
  <si>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</si>
  <si>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</si>
  <si>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</si>
  <si>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</si>
  <si>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</si>
  <si>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</si>
  <si>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</si>
  <si>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</si>
  <si>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</si>
  <si>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</si>
  <si>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</si>
  <si>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</si>
  <si>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</si>
  <si>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</si>
  <si>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</si>
  <si>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</si>
  <si>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</si>
  <si>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</si>
  <si>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</si>
  <si>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</si>
  <si>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</si>
  <si>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</si>
  <si>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</si>
  <si>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</si>
  <si>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</si>
  <si>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</si>
  <si>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</si>
  <si>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</si>
  <si>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</si>
  <si>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</si>
  <si>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</si>
  <si>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</si>
  <si>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</si>
  <si>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</si>
  <si>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</si>
  <si>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</si>
  <si>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</si>
  <si>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</si>
  <si>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</si>
  <si>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</si>
  <si>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</si>
  <si>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</si>
  <si>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</si>
  <si>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</si>
  <si>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</si>
  <si>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</si>
  <si>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</si>
  <si>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</si>
  <si>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</si>
  <si>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</si>
  <si>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</si>
  <si>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</si>
  <si>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</si>
  <si>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</si>
  <si>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</si>
  <si>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</si>
  <si>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</si>
  <si>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</si>
  <si>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</si>
  <si>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</si>
  <si>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</si>
  <si>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</si>
  <si>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</si>
  <si>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</si>
  <si>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</si>
  <si>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</si>
  <si>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</si>
  <si>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</si>
  <si>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</si>
  <si>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</si>
  <si>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</si>
  <si>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</si>
  <si>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</si>
  <si>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</si>
  <si>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</si>
  <si>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</si>
  <si>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</si>
  <si>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</si>
  <si>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</si>
  <si>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</si>
  <si>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</si>
  <si>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</si>
  <si>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</si>
  <si>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</si>
  <si>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</si>
  <si>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</si>
  <si>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</si>
  <si>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</si>
  <si>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</si>
  <si>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</si>
  <si>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</si>
  <si>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</si>
  <si>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</si>
  <si>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</si>
  <si>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</si>
  <si>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</si>
  <si>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</si>
  <si>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</si>
  <si>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</si>
  <si>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</si>
  <si>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</si>
  <si>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</si>
  <si>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</si>
  <si>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</si>
  <si>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</si>
  <si>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</si>
  <si>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</si>
  <si>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</si>
  <si>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</si>
  <si>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</si>
  <si>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</si>
  <si>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</si>
  <si>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</si>
  <si>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</si>
  <si>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</si>
  <si>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</si>
  <si>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</si>
  <si>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</si>
  <si>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</si>
  <si>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</si>
  <si>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</si>
  <si>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</si>
  <si>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</si>
  <si>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</si>
  <si>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</si>
  <si>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</si>
  <si>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</si>
  <si>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</si>
  <si>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</si>
  <si>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</si>
  <si>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</si>
  <si>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</si>
  <si>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</si>
  <si>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</si>
  <si>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</si>
  <si>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</si>
  <si>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</si>
  <si>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</si>
  <si>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</si>
  <si>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</si>
  <si>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</si>
  <si>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</si>
  <si>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</si>
  <si>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</si>
  <si>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</si>
  <si>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</si>
  <si>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</si>
  <si>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</si>
  <si>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</si>
  <si>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</si>
  <si>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</si>
  <si>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</si>
  <si>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</si>
  <si>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</si>
  <si>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</si>
  <si>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</si>
  <si>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</si>
  <si>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</si>
  <si>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</si>
  <si>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</si>
  <si>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</si>
  <si>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</si>
  <si>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</si>
  <si>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</si>
  <si>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</si>
  <si>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</si>
  <si>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</si>
  <si>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</si>
  <si>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</si>
  <si>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</si>
  <si>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</si>
  <si>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</si>
  <si>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</si>
  <si>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</si>
  <si>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</si>
  <si>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</si>
  <si>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</si>
  <si>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</si>
  <si>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</si>
  <si>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</si>
  <si>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</si>
  <si>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</si>
  <si>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</si>
  <si>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</si>
  <si>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</si>
  <si>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</si>
  <si>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</si>
  <si>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</si>
  <si>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</si>
  <si>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</si>
  <si>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</si>
  <si>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</si>
  <si>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</si>
  <si>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</si>
  <si>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</si>
  <si>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</si>
  <si>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</si>
  <si>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</si>
  <si>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</si>
  <si>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</si>
  <si>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</si>
  <si>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</si>
  <si>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</si>
  <si>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</si>
  <si>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</si>
  <si>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</si>
  <si>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</si>
  <si>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</si>
  <si>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</si>
  <si>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</si>
  <si>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</si>
  <si>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</si>
  <si>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</si>
  <si>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</si>
  <si>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</si>
  <si>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</si>
  <si>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</si>
  <si>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</si>
  <si>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</si>
  <si>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</si>
  <si>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</si>
  <si>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</si>
  <si>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</si>
  <si>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</si>
  <si>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</si>
  <si>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</si>
  <si>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</si>
  <si>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</si>
  <si>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</si>
  <si>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</si>
  <si>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</si>
  <si>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</si>
  <si>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</si>
  <si>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</si>
  <si>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</si>
  <si>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</si>
  <si>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</si>
  <si>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</si>
  <si>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</si>
  <si>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</si>
  <si>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</si>
  <si>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</si>
  <si>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</si>
  <si>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</si>
  <si>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</si>
  <si>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</si>
  <si>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</si>
  <si>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</si>
  <si>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</si>
  <si>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</si>
  <si>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</si>
  <si>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</si>
  <si>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</si>
  <si>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</si>
  <si>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</si>
  <si>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</si>
  <si>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</si>
  <si>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</si>
  <si>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</si>
  <si>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</si>
  <si>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</si>
  <si>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</si>
  <si>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</si>
  <si>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</si>
  <si>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</si>
  <si>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</si>
  <si>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</si>
  <si>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</si>
  <si>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</si>
  <si>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</si>
  <si>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</si>
  <si>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</si>
  <si>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</si>
  <si>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</si>
  <si>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</si>
  <si>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</si>
  <si>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</si>
  <si>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</si>
  <si>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</si>
  <si>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</si>
  <si>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</si>
  <si>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</si>
  <si>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</si>
  <si>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</si>
  <si>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</si>
  <si>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</si>
  <si>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</si>
  <si>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</si>
  <si>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</si>
  <si>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</si>
  <si>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</si>
  <si>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</si>
  <si>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</si>
  <si>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</si>
  <si>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</si>
  <si>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</si>
  <si>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</si>
  <si>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</si>
  <si>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</si>
  <si>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</si>
  <si>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</si>
  <si>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</si>
  <si>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</si>
  <si>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</si>
  <si>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</si>
  <si>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</si>
  <si>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</si>
  <si>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</si>
  <si>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</si>
  <si>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</si>
  <si>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</si>
  <si>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</si>
  <si>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</si>
  <si>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</si>
  <si>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</si>
  <si>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</si>
  <si>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</si>
  <si>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</si>
  <si>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</si>
  <si>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</si>
  <si>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</si>
  <si>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</si>
  <si>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</si>
  <si>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</si>
  <si>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</si>
  <si>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</si>
  <si>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</si>
  <si>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</si>
  <si>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</si>
  <si>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</si>
  <si>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</si>
  <si>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</si>
  <si>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</si>
  <si>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</si>
  <si>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</si>
  <si>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</si>
  <si>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</si>
  <si>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</si>
  <si>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</si>
  <si>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</si>
  <si>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</si>
  <si>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</si>
  <si>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</si>
  <si>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</si>
  <si>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</si>
  <si>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</si>
  <si>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</si>
  <si>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</si>
  <si>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</si>
  <si>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</si>
  <si>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</si>
  <si>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</si>
  <si>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</si>
  <si>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</si>
  <si>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</si>
  <si>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</si>
  <si>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</si>
  <si>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</si>
  <si>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</si>
  <si>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</si>
  <si>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</si>
  <si>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</si>
  <si>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</si>
  <si>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</si>
  <si>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</si>
  <si>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</si>
  <si>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</si>
  <si>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</si>
  <si>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</si>
  <si>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</si>
  <si>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</si>
  <si>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</si>
  <si>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</si>
  <si>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</si>
  <si>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</si>
  <si>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</si>
  <si>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</si>
  <si>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</si>
  <si>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</si>
  <si>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</si>
  <si>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</si>
  <si>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</si>
  <si>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</si>
  <si>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</si>
  <si>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</si>
  <si>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</si>
  <si>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</si>
  <si>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</si>
  <si>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</si>
  <si>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</si>
  <si>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</si>
  <si>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</si>
  <si>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</si>
  <si>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</si>
  <si>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</si>
  <si>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</si>
  <si>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</si>
  <si>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</si>
  <si>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</si>
  <si>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</si>
  <si>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</si>
  <si>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</si>
  <si>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</si>
  <si>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</si>
  <si>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</si>
  <si>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</si>
  <si>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</si>
  <si>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</si>
  <si>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</si>
  <si>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</si>
  <si>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</si>
  <si>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</si>
  <si>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</si>
  <si>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</si>
  <si>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</si>
  <si>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</si>
  <si>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</si>
  <si>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</si>
  <si>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</si>
  <si>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</si>
  <si>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</si>
  <si>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</si>
  <si>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</si>
  <si>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</si>
  <si>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</si>
  <si>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</si>
  <si>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</si>
  <si>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</si>
  <si>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</si>
  <si>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</si>
  <si>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</si>
  <si>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</si>
  <si>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</si>
  <si>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</si>
  <si>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</si>
  <si>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</si>
  <si>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</si>
  <si>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</si>
  <si>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</si>
  <si>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</si>
  <si>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</si>
  <si>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</si>
  <si>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</si>
  <si>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</si>
  <si>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</si>
  <si>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</si>
  <si>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</si>
  <si>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</si>
  <si>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</si>
  <si>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</si>
  <si>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</si>
  <si>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</si>
  <si>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</si>
  <si>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</si>
  <si>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</si>
  <si>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</si>
  <si>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</si>
  <si>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</si>
  <si>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</si>
  <si>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</si>
  <si>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</si>
  <si>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</si>
  <si>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</si>
  <si>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</si>
  <si>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</si>
  <si>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</si>
  <si>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</si>
  <si>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</si>
  <si>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</si>
  <si>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</si>
  <si>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</si>
  <si>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</si>
  <si>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</si>
  <si>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</si>
  <si>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</si>
  <si>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</si>
  <si>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</si>
  <si>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</si>
  <si>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</si>
  <si>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</si>
  <si>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</si>
  <si>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</si>
  <si>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</si>
  <si>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</si>
  <si>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</si>
  <si>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</si>
  <si>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</si>
  <si>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</si>
  <si>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</si>
  <si>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</si>
  <si>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</si>
  <si>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</si>
  <si>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</si>
  <si>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</si>
  <si>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</si>
  <si>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</si>
  <si>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</si>
  <si>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</si>
  <si>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</si>
  <si>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</si>
  <si>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</si>
  <si>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</si>
  <si>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</si>
  <si>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</si>
  <si>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</si>
  <si>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</si>
  <si>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</si>
  <si>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</si>
  <si>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</si>
  <si>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</si>
  <si>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</si>
  <si>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</si>
  <si>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</si>
  <si>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</si>
  <si>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</si>
  <si>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</si>
  <si>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</si>
  <si>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</si>
  <si>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</si>
  <si>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</si>
  <si>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</si>
  <si>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</si>
  <si>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</si>
  <si>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</si>
  <si>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</si>
  <si>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</si>
  <si>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</si>
  <si>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</si>
  <si>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</si>
  <si>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</si>
  <si>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</si>
  <si>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</si>
  <si>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</si>
  <si>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</si>
  <si>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</si>
  <si>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</si>
  <si>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</si>
  <si>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</si>
  <si>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</si>
  <si>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</si>
  <si>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</si>
  <si>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</si>
  <si>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</si>
  <si>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</si>
  <si>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</si>
  <si>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</si>
  <si>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</si>
  <si>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</si>
  <si>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</si>
  <si>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</si>
  <si>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</si>
  <si>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</si>
  <si>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</si>
  <si>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</si>
  <si>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</si>
  <si>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</si>
  <si>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</si>
  <si>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</si>
  <si>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</si>
  <si>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</si>
  <si>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</si>
  <si>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</si>
  <si>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</si>
  <si>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</si>
  <si>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</si>
  <si>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</si>
  <si>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</si>
  <si>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</si>
  <si>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</si>
  <si>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</si>
  <si>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</si>
  <si>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</si>
  <si>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</si>
  <si>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</si>
  <si>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</si>
  <si>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</si>
  <si>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</si>
  <si>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</si>
  <si>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</si>
  <si>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</si>
  <si>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</si>
  <si>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</si>
  <si>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</si>
  <si>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</si>
  <si>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</si>
  <si>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</si>
  <si>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</si>
  <si>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</si>
  <si>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</si>
  <si>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</si>
  <si>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</si>
  <si>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</si>
  <si>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</si>
  <si>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</si>
  <si>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</si>
  <si>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</si>
  <si>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</si>
  <si>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</si>
  <si>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</si>
  <si>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</si>
  <si>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</si>
  <si>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</si>
  <si>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</si>
  <si>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</si>
  <si>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</si>
  <si>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</si>
  <si>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</si>
  <si>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</si>
  <si>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</si>
  <si>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</si>
  <si>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</si>
  <si>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</si>
  <si>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</si>
  <si>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</si>
  <si>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</si>
  <si>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</si>
  <si>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</si>
  <si>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</si>
  <si>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</si>
  <si>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</si>
  <si>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</si>
  <si>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</si>
  <si>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</si>
  <si>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</si>
  <si>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</si>
  <si>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</si>
  <si>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</si>
  <si>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</si>
  <si>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</si>
  <si>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</si>
  <si>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</si>
  <si>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</si>
  <si>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</si>
  <si>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</si>
  <si>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</si>
  <si>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</si>
  <si>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</si>
  <si>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</si>
  <si>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</si>
  <si>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</si>
  <si>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</si>
  <si>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</si>
  <si>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</si>
  <si>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</si>
  <si>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</si>
  <si>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</si>
  <si>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</si>
  <si>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</si>
  <si>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</si>
  <si>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</si>
  <si>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</si>
  <si>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</si>
  <si>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</si>
  <si>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</si>
  <si>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</si>
  <si>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</si>
  <si>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</si>
  <si>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</si>
  <si>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</si>
  <si>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</si>
  <si>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</si>
  <si>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</si>
  <si>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</si>
  <si>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</si>
  <si>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</si>
  <si>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</si>
  <si>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</si>
  <si>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</si>
  <si>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</si>
  <si>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</si>
  <si>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</si>
  <si>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</si>
  <si>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</si>
  <si>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</si>
  <si>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</si>
  <si>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</si>
  <si>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</si>
  <si>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</si>
  <si>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</si>
  <si>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</si>
  <si>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</si>
  <si>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</si>
  <si>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</si>
  <si>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</si>
  <si>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</si>
  <si>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</si>
  <si>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</si>
  <si>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</si>
  <si>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</si>
  <si>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</si>
  <si>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</si>
  <si>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</si>
  <si>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</si>
  <si>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</si>
  <si>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</si>
  <si>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</si>
  <si>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</si>
  <si>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</si>
  <si>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</si>
  <si>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</si>
  <si>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</si>
  <si>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</si>
  <si>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</si>
  <si>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</si>
  <si>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</si>
  <si>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</si>
  <si>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</si>
  <si>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</si>
  <si>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</si>
  <si>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</si>
  <si>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</si>
  <si>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</si>
  <si>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</si>
  <si>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</si>
  <si>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</si>
  <si>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</si>
  <si>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</si>
  <si>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</si>
  <si>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</si>
  <si>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</si>
  <si>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</si>
  <si>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</si>
  <si>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</si>
  <si>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</si>
  <si>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</si>
  <si>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</si>
  <si>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</si>
  <si>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</si>
  <si>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</si>
  <si>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</si>
  <si>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</si>
  <si>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</si>
  <si>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</si>
  <si>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</si>
  <si>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</si>
  <si>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</si>
  <si>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</si>
  <si>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</si>
  <si>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</si>
  <si>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</si>
  <si>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</si>
  <si>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</si>
  <si>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</si>
  <si>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</si>
  <si>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</si>
  <si>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</si>
  <si>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</si>
  <si>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</si>
  <si>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</si>
  <si>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</si>
  <si>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</si>
  <si>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</si>
  <si>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</si>
  <si>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</si>
  <si>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</si>
  <si>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</si>
  <si>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</si>
  <si>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</si>
  <si>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</si>
  <si>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</si>
  <si>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</si>
  <si>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</si>
  <si>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</si>
  <si>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</si>
  <si>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</si>
  <si>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</si>
  <si>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</si>
  <si>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</si>
  <si>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</si>
  <si>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</si>
  <si>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</si>
  <si>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</si>
  <si>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</si>
  <si>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</si>
  <si>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</si>
  <si>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</si>
  <si>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</si>
  <si>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</si>
  <si>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</si>
  <si>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</si>
  <si>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</si>
  <si>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</si>
  <si>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</si>
  <si>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</si>
  <si>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</si>
  <si>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</si>
  <si>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</si>
  <si>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</si>
  <si>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</si>
  <si>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</si>
  <si>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</si>
  <si>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</si>
  <si>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</si>
  <si>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</si>
  <si>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</si>
  <si>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</si>
  <si>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</si>
  <si>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</si>
  <si>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</si>
  <si>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</si>
  <si>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</si>
  <si>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</si>
  <si>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</si>
  <si>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</si>
  <si>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</si>
  <si>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</si>
  <si>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</si>
  <si>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</si>
  <si>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</si>
  <si>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</si>
  <si>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</si>
  <si>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</si>
  <si>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</si>
  <si>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</si>
  <si>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</si>
  <si>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</si>
  <si>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</si>
  <si>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</si>
  <si>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</si>
  <si>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</si>
  <si>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</si>
  <si>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</si>
  <si>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</si>
  <si>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</si>
  <si>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</si>
  <si>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</si>
  <si>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</si>
  <si>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</si>
  <si>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</si>
  <si>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</si>
  <si>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</si>
  <si>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</si>
  <si>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</si>
  <si>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</si>
  <si>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</si>
  <si>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</si>
  <si>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</si>
  <si>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</si>
  <si>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</si>
  <si>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</si>
  <si>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</si>
  <si>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</si>
  <si>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</si>
  <si>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</si>
  <si>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</si>
  <si>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</si>
  <si>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</si>
  <si>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</si>
  <si>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</si>
  <si>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</si>
  <si>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</si>
  <si>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</si>
  <si>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</si>
  <si>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</si>
  <si>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</si>
  <si>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</si>
  <si>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</si>
  <si>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</si>
  <si>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</si>
  <si>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</si>
  <si>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</si>
  <si>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</si>
  <si>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</si>
  <si>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</si>
  <si>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</si>
  <si>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</si>
  <si>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</si>
  <si>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</si>
  <si>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</si>
  <si>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</si>
  <si>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</si>
  <si>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</si>
  <si>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</si>
  <si>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</si>
  <si>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</si>
  <si>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</si>
  <si>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</si>
  <si>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</si>
  <si>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</si>
  <si>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</si>
  <si>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</si>
  <si>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</si>
  <si>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</si>
  <si>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</si>
  <si>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</si>
  <si>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</si>
  <si>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</si>
  <si>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</si>
  <si>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</si>
  <si>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</si>
  <si>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</si>
  <si>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</si>
  <si>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</si>
  <si>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</si>
  <si>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</si>
  <si>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</si>
  <si>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</si>
  <si>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</si>
  <si>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</si>
  <si>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</si>
  <si>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</si>
  <si>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</si>
  <si>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</si>
  <si>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</si>
  <si>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</si>
  <si>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</si>
  <si>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</si>
  <si>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</si>
  <si>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</si>
  <si>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</si>
  <si>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</si>
  <si>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</si>
  <si>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</si>
  <si>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</si>
  <si>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</si>
  <si>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</si>
  <si>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</si>
  <si>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</si>
  <si>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</si>
  <si>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</si>
  <si>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</si>
  <si>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</si>
  <si>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</si>
  <si>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</si>
  <si>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</si>
  <si>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</si>
  <si>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</si>
  <si>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</si>
  <si>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</si>
  <si>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</si>
  <si>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</si>
  <si>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</si>
  <si>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</si>
  <si>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</si>
  <si>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</si>
  <si>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</si>
  <si>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</si>
  <si>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</si>
  <si>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</si>
  <si>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</si>
  <si>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</si>
  <si>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</si>
  <si>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</si>
  <si>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</si>
  <si>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</si>
  <si>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</si>
  <si>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</si>
  <si>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</si>
  <si>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</si>
  <si>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</si>
  <si>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</si>
  <si>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</si>
  <si>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</si>
  <si>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</si>
  <si>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</si>
  <si>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</si>
  <si>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</si>
  <si>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</si>
  <si>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</si>
  <si>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</si>
  <si>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</si>
  <si>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</si>
  <si>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</si>
  <si>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</si>
  <si>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</si>
  <si>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</si>
  <si>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</si>
  <si>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</si>
  <si>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</si>
  <si>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</si>
  <si>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</si>
  <si>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</si>
  <si>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</si>
  <si>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</si>
  <si>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</si>
  <si>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</si>
  <si>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</si>
  <si>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</si>
  <si>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</si>
  <si>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</si>
  <si>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</si>
  <si>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</si>
  <si>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</si>
  <si>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</si>
  <si>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</si>
  <si>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</si>
  <si>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</si>
  <si>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</si>
  <si>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</si>
  <si>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</si>
  <si>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</si>
  <si>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</si>
  <si>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</si>
  <si>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</si>
  <si>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</si>
  <si>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</si>
  <si>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</si>
  <si>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</si>
  <si>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</si>
  <si>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</si>
  <si>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</si>
  <si>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</si>
  <si>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</si>
  <si>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</si>
  <si>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</si>
  <si>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</si>
  <si>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</si>
  <si>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</si>
  <si>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</si>
  <si>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</si>
  <si>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</si>
  <si>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</si>
  <si>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</si>
  <si>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</si>
  <si>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</si>
  <si>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</si>
  <si>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</si>
  <si>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</si>
  <si>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</si>
  <si>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</si>
  <si>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</si>
  <si>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</si>
  <si>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</si>
  <si>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</si>
  <si>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</si>
  <si>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</si>
  <si>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</si>
  <si>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</si>
  <si>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</si>
  <si>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</si>
  <si>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</si>
  <si>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</si>
  <si>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</si>
  <si>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</si>
  <si>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</si>
  <si>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</si>
  <si>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</si>
  <si>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</si>
  <si>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</si>
  <si>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</si>
  <si>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</si>
  <si>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</si>
  <si>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</si>
  <si>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</si>
  <si>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</si>
  <si>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</si>
  <si>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</si>
  <si>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</si>
  <si>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</si>
  <si>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</si>
  <si>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</si>
  <si>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</si>
  <si>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</si>
  <si>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</si>
  <si>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</si>
  <si>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</si>
  <si>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</si>
  <si>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</si>
  <si>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</si>
  <si>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</si>
  <si>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</si>
  <si>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</si>
  <si>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</si>
  <si>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</si>
  <si>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</si>
  <si>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</si>
  <si>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</si>
  <si>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</si>
  <si>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</si>
  <si>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</si>
  <si>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</si>
  <si>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</si>
  <si>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</si>
  <si>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</si>
  <si>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</si>
  <si>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</si>
  <si>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</si>
  <si>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</si>
  <si>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</si>
  <si>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</si>
  <si>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</si>
  <si>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</si>
  <si>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</si>
  <si>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</si>
  <si>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</si>
  <si>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</si>
  <si>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</si>
  <si>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</si>
  <si>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</si>
  <si>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</si>
  <si>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</si>
  <si>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</si>
  <si>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</si>
  <si>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</si>
  <si>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</si>
  <si>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</si>
  <si>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</si>
  <si>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</si>
  <si>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</si>
  <si>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</si>
  <si>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</si>
  <si>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</si>
  <si>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</si>
  <si>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</si>
  <si>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</si>
  <si>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</si>
  <si>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</si>
  <si>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</si>
  <si>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</si>
  <si>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</si>
  <si>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</si>
  <si>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</si>
  <si>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</si>
  <si>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</si>
  <si>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</si>
  <si>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</si>
  <si>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</si>
  <si>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</si>
  <si>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</si>
  <si>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</si>
  <si>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</si>
  <si>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</si>
  <si>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</si>
  <si>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</si>
  <si>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</si>
  <si>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</si>
  <si>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</si>
  <si>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</si>
  <si>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</si>
  <si>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</si>
  <si>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</si>
  <si>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</si>
  <si>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</si>
  <si>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</si>
  <si>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</si>
  <si>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</si>
  <si>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</si>
  <si>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</si>
  <si>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</si>
  <si>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</si>
  <si>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</si>
  <si>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</si>
  <si>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</si>
  <si>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</si>
  <si>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</si>
  <si>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</si>
  <si>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</si>
  <si>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</si>
  <si>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</si>
  <si>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</si>
  <si>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</si>
  <si>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</si>
  <si>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</si>
  <si>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</si>
  <si>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</si>
  <si>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</si>
  <si>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</si>
  <si>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</si>
  <si>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</si>
  <si>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</si>
  <si>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</si>
  <si>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</si>
  <si>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</si>
  <si>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</si>
  <si>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</si>
  <si>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</si>
  <si>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</si>
  <si>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</si>
  <si>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</si>
  <si>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</si>
  <si>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</si>
  <si>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</si>
  <si>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</si>
  <si>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</si>
  <si>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</si>
  <si>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</si>
  <si>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</si>
  <si>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</si>
  <si>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</si>
  <si>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</si>
  <si>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</si>
  <si>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</si>
  <si>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</si>
  <si>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</si>
  <si>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</si>
  <si>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</si>
  <si>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</si>
  <si>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</si>
  <si>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</si>
  <si>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</si>
  <si>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</si>
  <si>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</si>
  <si>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</si>
  <si>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</si>
  <si>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</si>
  <si>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</si>
  <si>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</si>
  <si>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</si>
  <si>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</si>
  <si>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</si>
  <si>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</si>
  <si>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</si>
  <si>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</si>
  <si>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</si>
  <si>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</si>
  <si>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</si>
  <si>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</si>
  <si>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</si>
  <si>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</si>
  <si>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</si>
  <si>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</si>
  <si>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</si>
  <si>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</si>
  <si>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</si>
  <si>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</si>
  <si>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</si>
  <si>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</si>
  <si>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</si>
  <si>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</si>
  <si>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</si>
  <si>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</si>
  <si>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</si>
  <si>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</si>
  <si>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</si>
  <si>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</si>
  <si>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</si>
  <si>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</si>
  <si>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</si>
  <si>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</si>
  <si>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</si>
  <si>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</si>
  <si>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</si>
  <si>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</si>
  <si>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</si>
  <si>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</si>
  <si>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</si>
  <si>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</si>
  <si>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</si>
  <si>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</si>
  <si>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</si>
  <si>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</si>
  <si>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</si>
  <si>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</si>
  <si>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</si>
  <si>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</si>
  <si>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</si>
  <si>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</si>
  <si>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</si>
  <si>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</si>
  <si>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</si>
  <si>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</si>
  <si>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</si>
  <si>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</si>
  <si>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</si>
  <si>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</si>
  <si>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</si>
  <si>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</si>
  <si>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</si>
  <si>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</si>
  <si>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</si>
  <si>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</si>
  <si>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</si>
  <si>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</si>
  <si>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</si>
  <si>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</si>
  <si>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</si>
  <si>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</si>
  <si>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</si>
  <si>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</si>
  <si>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</si>
  <si>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</si>
  <si>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</si>
  <si>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</si>
  <si>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</si>
  <si>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</si>
  <si>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</si>
  <si>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</si>
  <si>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</si>
  <si>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</si>
  <si>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</si>
  <si>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</si>
  <si>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</si>
  <si>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</si>
  <si>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</si>
  <si>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</si>
  <si>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</si>
  <si>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</si>
  <si>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</si>
  <si>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</si>
  <si>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</si>
  <si>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</si>
  <si>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</si>
  <si>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</si>
  <si>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</si>
  <si>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</si>
  <si>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</si>
  <si>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</si>
  <si>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</si>
  <si>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</si>
  <si>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</si>
  <si>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</si>
  <si>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</si>
  <si>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</si>
  <si>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</si>
  <si>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</si>
  <si>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</si>
  <si>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</si>
  <si>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</si>
  <si>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</si>
  <si>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</si>
  <si>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</si>
  <si>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</si>
  <si>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</si>
  <si>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</si>
  <si>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</si>
  <si>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</si>
  <si>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</si>
  <si>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</si>
  <si>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</si>
  <si>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</si>
  <si>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</si>
  <si>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</si>
  <si>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</si>
  <si>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</si>
  <si>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</si>
  <si>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</si>
  <si>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</si>
  <si>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</si>
  <si>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</si>
  <si>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</si>
  <si>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</si>
  <si>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</si>
  <si>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</si>
  <si>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</si>
  <si>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</si>
  <si>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</si>
  <si>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</si>
  <si>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</si>
  <si>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</si>
  <si>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</si>
  <si>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</si>
  <si>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</si>
  <si>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</si>
  <si>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</si>
  <si>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</si>
  <si>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</si>
  <si>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</si>
  <si>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</si>
  <si>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</si>
  <si>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</si>
  <si>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</si>
  <si>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</si>
  <si>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</si>
  <si>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</si>
  <si>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</si>
  <si>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</si>
  <si>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</si>
  <si>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</si>
  <si>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</si>
  <si>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</si>
  <si>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</si>
  <si>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</si>
  <si>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</si>
  <si>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</si>
  <si>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</si>
  <si>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</si>
  <si>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</si>
  <si>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</si>
  <si>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</si>
  <si>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</si>
  <si>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</si>
  <si>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</si>
  <si>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</si>
  <si>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</si>
  <si>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</si>
  <si>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</si>
  <si>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</si>
  <si>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</si>
  <si>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</si>
  <si>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</si>
  <si>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</si>
  <si>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</si>
  <si>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</si>
  <si>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</si>
  <si>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</si>
  <si>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</si>
  <si>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</si>
  <si>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</si>
  <si>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</si>
  <si>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</si>
  <si>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</si>
  <si>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</si>
  <si>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</si>
  <si>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</si>
  <si>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</si>
  <si>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</si>
  <si>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</si>
  <si>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</si>
  <si>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</si>
  <si>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</si>
  <si>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</si>
  <si>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</si>
  <si>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</si>
  <si>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</si>
  <si>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</si>
  <si>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</si>
  <si>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</si>
  <si>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</si>
  <si>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</si>
  <si>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</si>
  <si>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</si>
  <si>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</si>
  <si>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</si>
  <si>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</si>
  <si>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</si>
  <si>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</si>
  <si>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</si>
  <si>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</si>
  <si>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</si>
  <si>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</si>
  <si>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</si>
  <si>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</si>
  <si>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</si>
  <si>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</si>
  <si>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</si>
  <si>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</si>
  <si>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</si>
  <si>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</si>
  <si>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</si>
  <si>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</si>
  <si>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</si>
  <si>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</si>
  <si>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</si>
  <si>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</si>
  <si>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</si>
  <si>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</si>
  <si>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</si>
  <si>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</si>
  <si>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</si>
  <si>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</si>
  <si>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</si>
  <si>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</si>
  <si>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</si>
  <si>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</si>
  <si>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</si>
  <si>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</si>
  <si>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</si>
  <si>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</si>
  <si>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</si>
  <si>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</si>
  <si>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</si>
  <si>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</si>
  <si>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</si>
  <si>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</si>
  <si>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</si>
  <si>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</si>
  <si>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</si>
  <si>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</si>
  <si>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</si>
  <si>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</si>
  <si>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</si>
  <si>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</si>
  <si>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</si>
  <si>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</si>
  <si>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</si>
  <si>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</si>
  <si>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</si>
  <si>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</si>
  <si>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</si>
  <si>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</si>
  <si>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</si>
  <si>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</si>
  <si>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</si>
  <si>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</si>
  <si>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</si>
  <si>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</si>
  <si>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</si>
  <si>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</si>
  <si>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</si>
  <si>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</si>
  <si>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</si>
  <si>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</si>
  <si>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</si>
  <si>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</si>
  <si>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</si>
  <si>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</si>
  <si>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</si>
  <si>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</si>
  <si>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</si>
  <si>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</si>
  <si>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</si>
  <si>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</si>
  <si>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</si>
  <si>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</si>
  <si>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</si>
  <si>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</si>
  <si>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</si>
  <si>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</si>
  <si>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</si>
  <si>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</si>
  <si>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</si>
  <si>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</si>
  <si>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</si>
  <si>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</si>
  <si>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</si>
  <si>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</si>
  <si>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</si>
  <si>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</si>
  <si>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</si>
  <si>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</si>
  <si>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</si>
  <si>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</si>
  <si>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</si>
  <si>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</si>
  <si>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</si>
  <si>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</si>
  <si>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</si>
  <si>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</si>
  <si>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</si>
  <si>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</si>
  <si>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</si>
  <si>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</si>
  <si>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</si>
  <si>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</si>
  <si>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</si>
  <si>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</si>
  <si>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</si>
  <si>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</si>
  <si>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</si>
  <si>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</si>
  <si>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</si>
  <si>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</si>
  <si>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</si>
  <si>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</si>
  <si>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</si>
  <si>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</si>
  <si>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</si>
  <si>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</si>
  <si>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</si>
  <si>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</si>
  <si>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</si>
  <si>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</si>
  <si>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</si>
  <si>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</si>
  <si>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</si>
  <si>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</si>
  <si>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</si>
  <si>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</si>
  <si>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</si>
  <si>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</si>
  <si>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</si>
  <si>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</si>
  <si>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</si>
  <si>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</si>
  <si>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</si>
  <si>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</si>
  <si>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</si>
  <si>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</si>
  <si>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</si>
  <si>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</si>
  <si>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</si>
  <si>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</si>
  <si>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</si>
  <si>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</si>
  <si>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</si>
  <si>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</si>
  <si>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</si>
  <si>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</si>
  <si>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</si>
  <si>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</si>
  <si>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</si>
  <si>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</si>
  <si>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</si>
  <si>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</si>
  <si>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</si>
  <si>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</si>
  <si>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</si>
  <si>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</si>
  <si>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</si>
  <si>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</si>
  <si>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</si>
  <si>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</si>
  <si>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</si>
  <si>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</si>
  <si>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</si>
  <si>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</si>
  <si>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</si>
  <si>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</si>
  <si>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</si>
  <si>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</si>
  <si>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</si>
  <si>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</si>
  <si>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</si>
  <si>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</si>
  <si>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</si>
  <si>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</si>
  <si>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</si>
  <si>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</si>
  <si>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</si>
  <si>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</si>
  <si>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</si>
  <si>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</si>
  <si>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</si>
  <si>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</si>
  <si>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</si>
  <si>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</si>
  <si>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</si>
  <si>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</si>
  <si>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</si>
  <si>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</si>
  <si>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</si>
  <si>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</si>
  <si>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</si>
  <si>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</si>
  <si>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</si>
  <si>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</si>
  <si>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</si>
  <si>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</si>
  <si>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</si>
  <si>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</si>
  <si>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</si>
  <si>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</si>
  <si>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</si>
  <si>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</si>
  <si>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</si>
  <si>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</si>
  <si>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</si>
  <si>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</si>
  <si>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</si>
  <si>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</si>
  <si>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</si>
  <si>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</si>
  <si>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</si>
  <si>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</si>
  <si>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</si>
  <si>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</si>
  <si>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</si>
  <si>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</si>
  <si>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</si>
  <si>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</si>
  <si>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</si>
  <si>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</si>
  <si>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</si>
  <si>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</si>
  <si>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</si>
  <si>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</si>
  <si>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</si>
  <si>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</si>
  <si>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</si>
  <si>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</si>
  <si>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</si>
  <si>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</si>
  <si>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</si>
  <si>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</si>
  <si>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</si>
  <si>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</si>
  <si>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</si>
  <si>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</si>
  <si>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</si>
  <si>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</si>
  <si>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</si>
  <si>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</si>
  <si>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</si>
  <si>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</si>
  <si>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</si>
  <si>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</si>
  <si>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</si>
  <si>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</si>
  <si>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</si>
  <si>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</si>
  <si>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</si>
  <si>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</si>
  <si>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</si>
  <si>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</si>
  <si>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</si>
  <si>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</si>
  <si>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</si>
  <si>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</si>
  <si>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</si>
  <si>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</si>
  <si>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</si>
  <si>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</si>
  <si>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</si>
  <si>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</si>
  <si>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</si>
  <si>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</si>
  <si>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</si>
  <si>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</si>
  <si>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</si>
  <si>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</si>
  <si>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</si>
  <si>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</si>
  <si>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</si>
  <si>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</si>
  <si>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</si>
  <si>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</si>
  <si>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</si>
  <si>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</si>
  <si>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</si>
  <si>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</si>
  <si>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</si>
  <si>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</si>
  <si>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</si>
  <si>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</si>
  <si>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</si>
  <si>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</si>
  <si>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</si>
  <si>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</si>
  <si>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</si>
  <si>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</si>
  <si>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</si>
  <si>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</si>
  <si>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</si>
  <si>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</si>
  <si>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</si>
  <si>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</si>
  <si>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</si>
  <si>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</si>
  <si>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</si>
  <si>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</si>
  <si>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</si>
  <si>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</si>
  <si>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</si>
  <si>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</si>
  <si>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</si>
  <si>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</si>
  <si>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</si>
  <si>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</si>
  <si>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</si>
  <si>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</si>
  <si>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</si>
  <si>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</si>
  <si>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</si>
  <si>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</si>
  <si>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</si>
  <si>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</si>
  <si>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</si>
  <si>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</si>
  <si>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</si>
  <si>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</si>
  <si>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</si>
  <si>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</si>
  <si>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</si>
  <si>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</si>
  <si>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</si>
  <si>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</si>
  <si>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</si>
  <si>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</si>
  <si>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</si>
  <si>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</si>
  <si>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</si>
  <si>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</si>
  <si>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</si>
  <si>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</si>
  <si>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</si>
  <si>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</si>
  <si>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</si>
  <si>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</si>
  <si>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</si>
  <si>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</si>
  <si>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</si>
  <si>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</si>
  <si>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</si>
  <si>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</si>
  <si>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</si>
  <si>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</si>
  <si>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</si>
  <si>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</si>
  <si>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</si>
  <si>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</si>
  <si>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</si>
  <si>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</si>
  <si>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</si>
  <si>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</si>
  <si>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</si>
  <si>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</si>
  <si>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</si>
  <si>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</si>
  <si>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</si>
  <si>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</si>
  <si>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</si>
  <si>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</si>
  <si>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</si>
  <si>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</si>
  <si>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</si>
  <si>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</si>
  <si>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</si>
  <si>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</si>
  <si>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</si>
  <si>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</si>
  <si>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</si>
  <si>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</si>
  <si>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</si>
  <si>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</si>
  <si>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</si>
  <si>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</si>
  <si>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</si>
  <si>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</si>
  <si>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</si>
  <si>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</si>
  <si>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</si>
  <si>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</si>
  <si>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</si>
  <si>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</si>
  <si>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</si>
  <si>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</si>
  <si>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</si>
  <si>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</si>
  <si>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</si>
  <si>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</si>
  <si>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</si>
  <si>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</si>
  <si>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</si>
  <si>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</si>
  <si>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</si>
  <si>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</si>
  <si>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</si>
  <si>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</si>
  <si>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</si>
  <si>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</si>
  <si>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</si>
  <si>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</si>
  <si>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</si>
  <si>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</si>
  <si>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</si>
  <si>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</si>
  <si>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</si>
  <si>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</si>
  <si>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</si>
  <si>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</si>
  <si>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</si>
  <si>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</si>
  <si>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</si>
  <si>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</si>
  <si>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</si>
  <si>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</si>
  <si>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</si>
  <si>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</si>
  <si>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</si>
  <si>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</si>
  <si>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</si>
  <si>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</si>
  <si>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</si>
  <si>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</si>
  <si>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</si>
  <si>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</si>
  <si>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</si>
  <si>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</si>
  <si>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</si>
  <si>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</si>
  <si>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</si>
  <si>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</si>
  <si>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</si>
  <si>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</si>
  <si>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</si>
  <si>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</si>
  <si>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</si>
  <si>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</si>
  <si>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</si>
  <si>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</si>
  <si>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</si>
  <si>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</si>
  <si>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</si>
  <si>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</si>
  <si>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</si>
  <si>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</si>
  <si>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</si>
  <si>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</si>
  <si>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</si>
  <si>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</si>
  <si>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</si>
  <si>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</si>
  <si>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</si>
  <si>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</si>
  <si>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</si>
  <si>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</si>
  <si>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</si>
  <si>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</si>
  <si>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</si>
  <si>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</si>
  <si>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</si>
  <si>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</si>
  <si>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</si>
  <si>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</si>
  <si>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</si>
  <si>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</si>
  <si>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</si>
  <si>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</si>
  <si>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</si>
  <si>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</si>
  <si>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</si>
  <si>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</si>
  <si>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</si>
  <si>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</si>
  <si>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</si>
  <si>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</si>
  <si>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</si>
  <si>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</si>
  <si>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</si>
  <si>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</si>
  <si>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</si>
  <si>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</si>
  <si>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</si>
  <si>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</si>
  <si>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</si>
  <si>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</si>
  <si>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</si>
  <si>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</si>
  <si>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</si>
  <si>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</si>
  <si>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</si>
  <si>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</si>
  <si>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</si>
  <si>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</si>
  <si>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</si>
  <si>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</si>
  <si>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</si>
  <si>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</si>
  <si>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</si>
  <si>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</si>
  <si>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</si>
  <si>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</si>
  <si>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</si>
  <si>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</si>
  <si>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</si>
  <si>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</si>
  <si>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</si>
  <si>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</si>
  <si>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</si>
  <si>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</si>
  <si>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</si>
  <si>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</si>
  <si>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</si>
  <si>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</si>
  <si>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</si>
  <si>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</si>
  <si>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</si>
  <si>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</si>
  <si>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</si>
  <si>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</si>
  <si>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</si>
  <si>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</si>
  <si>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</si>
  <si>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</si>
  <si>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</si>
  <si>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</si>
  <si>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</si>
  <si>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</si>
  <si>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</si>
  <si>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</si>
  <si>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</si>
  <si>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</si>
  <si>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</si>
  <si>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</si>
  <si>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</si>
  <si>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</si>
  <si>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</si>
  <si>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</si>
  <si>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</si>
  <si>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</si>
  <si>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</si>
  <si>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</si>
  <si>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</si>
  <si>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</si>
  <si>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</si>
  <si>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</si>
  <si>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</si>
  <si>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</si>
  <si>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</si>
  <si>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</si>
  <si>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</si>
  <si>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</si>
  <si>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</si>
  <si>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</si>
  <si>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</si>
  <si>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</si>
  <si>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</si>
  <si>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</si>
  <si>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</si>
  <si>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</si>
  <si>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</si>
  <si>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</si>
  <si>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</si>
  <si>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</si>
  <si>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</si>
  <si>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</si>
  <si>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</si>
  <si>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</si>
  <si>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</si>
  <si>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</si>
  <si>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</si>
  <si>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</si>
  <si>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</si>
  <si>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</si>
  <si>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</si>
  <si>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</si>
  <si>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</si>
  <si>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</si>
  <si>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</si>
  <si>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</si>
  <si>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</si>
  <si>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</si>
  <si>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</si>
  <si>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</si>
  <si>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</si>
  <si>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</si>
  <si>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</si>
  <si>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</si>
  <si>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</si>
  <si>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</si>
  <si>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</si>
  <si>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</si>
  <si>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</si>
  <si>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</si>
  <si>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</si>
  <si>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</si>
  <si>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</si>
  <si>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</si>
  <si>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</si>
  <si>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</si>
  <si>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</si>
  <si>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</si>
  <si>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</si>
  <si>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</si>
  <si>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</si>
  <si>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</si>
  <si>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</si>
  <si>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</si>
  <si>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</si>
  <si>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</si>
  <si>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</si>
  <si>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</si>
  <si>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</si>
  <si>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</si>
  <si>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</si>
  <si>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</si>
  <si>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</si>
  <si>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</si>
  <si>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</si>
  <si>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</si>
  <si>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</si>
  <si>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</si>
  <si>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</si>
  <si>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</si>
  <si>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</si>
  <si>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</si>
  <si>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</si>
  <si>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</si>
  <si>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</si>
  <si>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</si>
  <si>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</si>
  <si>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</si>
  <si>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</si>
  <si>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</si>
  <si>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</si>
  <si>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</si>
  <si>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</si>
  <si>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</si>
  <si>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</si>
  <si>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</si>
  <si>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</si>
  <si>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</si>
  <si>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</si>
  <si>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</si>
  <si>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</si>
  <si>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</si>
  <si>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</si>
  <si>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</si>
  <si>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</si>
  <si>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</si>
  <si>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</si>
  <si>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</si>
  <si>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</si>
  <si>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</si>
  <si>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</si>
  <si>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</si>
  <si>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</si>
  <si>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</si>
  <si>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</si>
  <si>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</si>
  <si>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</si>
  <si>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</si>
  <si>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</si>
  <si>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</si>
  <si>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</si>
  <si>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</si>
  <si>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</si>
  <si>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</si>
  <si>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</si>
  <si>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</si>
  <si>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</si>
  <si>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</si>
  <si>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</si>
  <si>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</si>
  <si>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</si>
  <si>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</si>
  <si>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</si>
  <si>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</si>
  <si>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</si>
  <si>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</si>
  <si>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</si>
  <si>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</si>
  <si>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</si>
  <si>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</si>
  <si>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</si>
  <si>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</si>
  <si>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</si>
  <si>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</si>
  <si>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</si>
  <si>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</si>
  <si>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</si>
  <si>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</si>
  <si>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</si>
  <si>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</si>
  <si>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</si>
  <si>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</si>
  <si>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</si>
  <si>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</si>
  <si>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</si>
  <si>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</si>
  <si>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</si>
  <si>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</si>
  <si>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</si>
  <si>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</si>
  <si>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</si>
  <si>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</si>
  <si>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</si>
  <si>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</si>
  <si>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</si>
  <si>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</si>
  <si>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</si>
  <si>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</si>
  <si>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</si>
  <si>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</si>
  <si>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</si>
  <si>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</si>
  <si>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</si>
  <si>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</si>
  <si>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</si>
  <si>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</si>
  <si>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</si>
  <si>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</si>
  <si>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</si>
  <si>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</si>
  <si>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</si>
  <si>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</si>
  <si>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</si>
  <si>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</si>
  <si>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</si>
  <si>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</si>
  <si>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</si>
  <si>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</si>
  <si>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</si>
  <si>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</si>
  <si>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</si>
  <si>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</si>
  <si>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</si>
  <si>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</si>
  <si>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</si>
  <si>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</si>
  <si>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</si>
  <si>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</si>
  <si>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</si>
  <si>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</si>
  <si>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</si>
  <si>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</si>
  <si>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</si>
  <si>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</si>
  <si>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</si>
  <si>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</si>
  <si>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</si>
  <si>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</si>
  <si>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</si>
  <si>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</si>
  <si>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</si>
  <si>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</si>
  <si>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</si>
  <si>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</si>
  <si>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</si>
  <si>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</si>
  <si>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</si>
  <si>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</si>
  <si>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</si>
  <si>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</si>
  <si>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</si>
  <si>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</si>
  <si>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</si>
  <si>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</si>
  <si>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</si>
  <si>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</si>
  <si>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</si>
  <si>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</si>
  <si>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</si>
  <si>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</si>
  <si>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</si>
  <si>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</si>
  <si>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</si>
  <si>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</si>
  <si>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</si>
  <si>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</si>
  <si>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</si>
  <si>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</si>
  <si>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</si>
  <si>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</si>
  <si>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</si>
  <si>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</si>
  <si>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</si>
  <si>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</si>
  <si>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</si>
  <si>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</si>
  <si>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</si>
  <si>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</si>
  <si>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</si>
  <si>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</si>
  <si>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</si>
  <si>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</si>
  <si>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</si>
  <si>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</si>
  <si>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</si>
  <si>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</si>
  <si>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</si>
  <si>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</si>
  <si>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</si>
  <si>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</si>
  <si>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</si>
  <si>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</si>
  <si>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</si>
  <si>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</si>
  <si>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</si>
  <si>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</si>
  <si>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</si>
  <si>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</si>
  <si>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</si>
  <si>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</si>
  <si>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</si>
  <si>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</si>
  <si>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</si>
  <si>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</si>
  <si>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</si>
  <si>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</si>
  <si>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</si>
  <si>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</si>
  <si>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</si>
  <si>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</si>
  <si>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</si>
  <si>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</si>
  <si>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</si>
  <si>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</si>
  <si>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</si>
  <si>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</si>
  <si>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</si>
  <si>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</si>
  <si>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</si>
  <si>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</si>
  <si>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</si>
  <si>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</si>
  <si>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</si>
  <si>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</si>
  <si>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</si>
  <si>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</si>
  <si>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</si>
  <si>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</si>
  <si>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</si>
  <si>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</si>
  <si>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</si>
  <si>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</si>
  <si>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</si>
  <si>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</si>
  <si>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</si>
  <si>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</si>
  <si>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</si>
  <si>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</si>
  <si>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</si>
  <si>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</si>
  <si>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</si>
  <si>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</si>
  <si>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</si>
  <si>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</si>
  <si>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</si>
  <si>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</si>
  <si>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</si>
  <si>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</si>
  <si>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</si>
  <si>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</si>
  <si>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</si>
  <si>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</si>
  <si>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</si>
  <si>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</si>
  <si>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</si>
  <si>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</si>
  <si>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</si>
  <si>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</si>
  <si>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</si>
  <si>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</si>
  <si>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</si>
  <si>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</si>
  <si>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</si>
  <si>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</si>
  <si>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</si>
  <si>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</si>
  <si>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</si>
  <si>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</si>
  <si>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</si>
  <si>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</si>
  <si>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</si>
  <si>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</si>
  <si>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</si>
  <si>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</si>
  <si>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</si>
  <si>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</si>
  <si>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</si>
  <si>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</si>
  <si>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</si>
  <si>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</si>
  <si>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</si>
  <si>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</si>
  <si>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</si>
  <si>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</si>
  <si>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</si>
  <si>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</si>
  <si>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</si>
  <si>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</si>
  <si>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</si>
  <si>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</si>
  <si>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</si>
  <si>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</si>
  <si>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</si>
  <si>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</si>
  <si>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</si>
  <si>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</si>
  <si>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</si>
  <si>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</si>
  <si>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</si>
  <si>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</si>
  <si>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</si>
  <si>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</si>
  <si>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</si>
  <si>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</si>
  <si>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</si>
  <si>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</si>
  <si>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</si>
  <si>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</si>
  <si>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</si>
  <si>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</si>
  <si>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</si>
  <si>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</si>
  <si>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</si>
  <si>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</si>
  <si>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</si>
  <si>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</si>
  <si>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</si>
  <si>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</si>
  <si>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</si>
  <si>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</si>
  <si>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</si>
  <si>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</si>
  <si>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</si>
  <si>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</si>
  <si>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</si>
  <si>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</si>
  <si>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</si>
  <si>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</si>
  <si>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</si>
  <si>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</si>
  <si>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</si>
  <si>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</si>
  <si>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</si>
  <si>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</si>
  <si>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</si>
  <si>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</si>
  <si>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</si>
  <si>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</si>
  <si>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</si>
  <si>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</si>
  <si>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</si>
  <si>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</si>
  <si>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</si>
  <si>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</si>
  <si>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</si>
  <si>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</si>
  <si>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</si>
  <si>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</si>
  <si>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</si>
  <si>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</si>
  <si>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</si>
  <si>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</si>
  <si>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</si>
  <si>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</si>
  <si>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</si>
  <si>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</si>
  <si>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</si>
  <si>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</si>
  <si>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</si>
  <si>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</si>
  <si>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</si>
  <si>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</si>
  <si>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</si>
  <si>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</si>
  <si>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</si>
  <si>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</si>
  <si>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</si>
  <si>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</si>
  <si>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</si>
  <si>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</si>
  <si>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</si>
  <si>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</si>
  <si>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</si>
  <si>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</si>
  <si>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</si>
  <si>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</si>
  <si>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</si>
  <si>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</si>
  <si>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</si>
  <si>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</si>
  <si>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</si>
  <si>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</si>
  <si>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</si>
  <si>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</si>
  <si>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</si>
  <si>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</si>
  <si>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</si>
  <si>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</si>
  <si>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</si>
  <si>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</si>
  <si>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</si>
  <si>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</si>
  <si>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</si>
  <si>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</si>
  <si>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</si>
  <si>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</si>
  <si>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</si>
  <si>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</si>
  <si>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</si>
  <si>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</si>
  <si>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</si>
  <si>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</si>
  <si>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</si>
  <si>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</si>
  <si>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</si>
  <si>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</si>
  <si>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</si>
  <si>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</si>
  <si>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</si>
  <si>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</si>
  <si>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</si>
  <si>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</si>
  <si>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</si>
  <si>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</si>
  <si>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</si>
  <si>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</si>
  <si>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</si>
  <si>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</si>
  <si>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</si>
  <si>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</si>
  <si>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</si>
  <si>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</si>
  <si>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</si>
  <si>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</si>
  <si>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</si>
  <si>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</si>
  <si>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</si>
  <si>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</si>
  <si>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</si>
  <si>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</si>
  <si>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</si>
  <si>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</si>
  <si>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</si>
  <si>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</si>
  <si>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</si>
  <si>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</si>
  <si>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</si>
  <si>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</si>
  <si>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</si>
  <si>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</si>
  <si>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</si>
  <si>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</si>
  <si>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</si>
  <si>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</si>
  <si>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</si>
  <si>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</si>
  <si>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</si>
  <si>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</si>
  <si>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</si>
  <si>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</si>
  <si>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</si>
  <si>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</si>
  <si>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</si>
  <si>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</si>
  <si>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</si>
  <si>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</si>
  <si>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</si>
  <si>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</si>
  <si>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</si>
  <si>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</si>
  <si>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</si>
  <si>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</si>
  <si>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</si>
  <si>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</si>
  <si>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</si>
  <si>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</si>
  <si>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</si>
  <si>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</si>
  <si>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</si>
  <si>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</si>
  <si>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</si>
  <si>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</si>
  <si>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</si>
  <si>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</si>
  <si>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</si>
  <si>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</si>
  <si>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</si>
  <si>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</si>
  <si>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</si>
  <si>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</si>
  <si>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</si>
  <si>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</si>
  <si>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</si>
  <si>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</si>
  <si>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</si>
  <si>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</si>
  <si>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</si>
  <si>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</si>
  <si>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</si>
  <si>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</si>
  <si>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</si>
  <si>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</si>
  <si>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</si>
  <si>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</si>
  <si>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</si>
  <si>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</si>
  <si>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</si>
  <si>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</si>
  <si>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</si>
  <si>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</si>
  <si>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</si>
  <si>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</si>
  <si>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</si>
  <si>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</si>
  <si>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</si>
  <si>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</si>
  <si>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</si>
  <si>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</si>
  <si>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</si>
  <si>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</si>
  <si>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</si>
  <si>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</si>
  <si>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</si>
  <si>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</si>
  <si>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</si>
  <si>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</si>
  <si>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</si>
  <si>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</si>
  <si>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</si>
  <si>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</si>
  <si>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</si>
  <si>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</si>
  <si>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</si>
  <si>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</si>
  <si>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</si>
  <si>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</si>
  <si>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</si>
  <si>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</si>
  <si>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</si>
  <si>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</si>
  <si>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</si>
  <si>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</si>
  <si>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</si>
  <si>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</si>
  <si>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</si>
  <si>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</si>
  <si>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</si>
  <si>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</si>
  <si>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</si>
  <si>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</si>
  <si>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</si>
  <si>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</si>
  <si>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</si>
  <si>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</si>
  <si>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</si>
  <si>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</si>
  <si>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</si>
  <si>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</si>
  <si>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</si>
  <si>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</si>
  <si>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</si>
  <si>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</si>
  <si>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</si>
  <si>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</si>
  <si>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</si>
  <si>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</si>
  <si>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</si>
  <si>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</si>
  <si>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</si>
  <si>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</si>
  <si>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</si>
  <si>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</si>
  <si>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</si>
  <si>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</si>
  <si>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</si>
  <si>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</si>
  <si>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</si>
  <si>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</si>
  <si>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</si>
  <si>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</si>
  <si>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</si>
  <si>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</si>
  <si>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</si>
  <si>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</si>
  <si>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</si>
  <si>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</si>
  <si>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</si>
  <si>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</si>
  <si>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</si>
  <si>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</si>
  <si>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</si>
  <si>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</si>
  <si>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</si>
  <si>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</si>
  <si>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</si>
  <si>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</si>
  <si>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</si>
  <si>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</si>
  <si>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</si>
  <si>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</si>
  <si>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</si>
  <si>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</si>
  <si>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</si>
  <si>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</si>
  <si>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</si>
  <si>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</si>
  <si>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</si>
  <si>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</si>
  <si>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</si>
  <si>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</si>
  <si>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</si>
  <si>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</si>
  <si>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</si>
  <si>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</si>
  <si>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</si>
  <si>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</si>
  <si>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</si>
  <si>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</si>
  <si>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</si>
  <si>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</si>
  <si>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</si>
  <si>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</si>
  <si>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</si>
  <si>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</si>
  <si>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</si>
  <si>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</si>
  <si>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</si>
  <si>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</si>
  <si>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</si>
  <si>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</si>
  <si>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</si>
  <si>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</si>
  <si>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</si>
  <si>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</si>
  <si>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</si>
  <si>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</si>
  <si>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</si>
  <si>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</si>
  <si>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</si>
  <si>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</si>
  <si>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</si>
  <si>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</si>
  <si>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</si>
  <si>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</si>
  <si>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</si>
  <si>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</si>
  <si>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</si>
  <si>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</si>
  <si>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</si>
  <si>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</si>
  <si>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</si>
  <si>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</si>
  <si>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</si>
  <si>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</si>
  <si>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</si>
  <si>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</si>
  <si>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</si>
  <si>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</si>
  <si>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</si>
  <si>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</si>
  <si>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</si>
  <si>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</si>
  <si>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</si>
  <si>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</si>
  <si>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</si>
  <si>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</si>
  <si>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</si>
  <si>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</si>
  <si>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</si>
  <si>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</si>
  <si>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</si>
  <si>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</si>
  <si>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</si>
  <si>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</si>
  <si>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</si>
  <si>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</si>
  <si>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</si>
  <si>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</si>
  <si>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</si>
  <si>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</si>
  <si>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</si>
  <si>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</si>
  <si>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</si>
  <si>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</si>
  <si>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</si>
  <si>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</si>
  <si>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</si>
  <si>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</si>
  <si>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</si>
  <si>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</si>
  <si>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</si>
  <si>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</si>
  <si>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</si>
  <si>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</si>
  <si>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</si>
  <si>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</si>
  <si>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</si>
  <si>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</si>
  <si>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</si>
  <si>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</si>
  <si>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</si>
  <si>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</si>
  <si>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</si>
  <si>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</si>
  <si>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</si>
  <si>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</si>
  <si>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</si>
  <si>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</si>
  <si>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</si>
  <si>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</si>
  <si>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</si>
  <si>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</si>
  <si>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</si>
  <si>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</si>
  <si>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</si>
  <si>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</si>
  <si>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</si>
  <si>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</si>
  <si>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</si>
  <si>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</si>
  <si>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</si>
  <si>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</si>
  <si>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</si>
  <si>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</si>
  <si>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</si>
  <si>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</si>
  <si>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</si>
  <si>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</si>
  <si>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</si>
  <si>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</si>
  <si>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</si>
  <si>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</si>
  <si>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</si>
  <si>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</si>
  <si>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</si>
  <si>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</si>
  <si>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</si>
  <si>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</si>
  <si>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</si>
  <si>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</si>
  <si>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</si>
  <si>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</si>
  <si>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</si>
  <si>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</si>
  <si>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</si>
  <si>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</si>
  <si>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</si>
  <si>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</si>
  <si>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</si>
  <si>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</si>
  <si>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</si>
  <si>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</si>
  <si>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</si>
  <si>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</si>
  <si>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</si>
  <si>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</si>
  <si>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</si>
  <si>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</si>
  <si>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</si>
  <si>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</si>
  <si>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</si>
  <si>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</si>
  <si>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</si>
  <si>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</si>
  <si>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</si>
  <si>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</si>
  <si>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</si>
  <si>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</si>
  <si>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</si>
  <si>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</si>
  <si>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</si>
  <si>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</si>
  <si>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</si>
  <si>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</si>
  <si>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</si>
  <si>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</si>
  <si>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</si>
  <si>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</si>
  <si>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</si>
  <si>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</si>
  <si>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</si>
  <si>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</si>
  <si>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</si>
  <si>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</si>
  <si>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</si>
  <si>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</si>
  <si>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</si>
  <si>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</si>
  <si>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</si>
  <si>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</si>
  <si>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</si>
  <si>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</si>
  <si>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</si>
  <si>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</si>
  <si>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</si>
  <si>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</si>
  <si>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</si>
  <si>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</si>
  <si>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</si>
  <si>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</si>
  <si>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</si>
  <si>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</si>
  <si>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</si>
  <si>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</si>
  <si>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</si>
  <si>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</si>
  <si>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</si>
  <si>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</si>
  <si>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</si>
  <si>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</si>
  <si>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</si>
  <si>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</si>
  <si>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</si>
  <si>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</si>
  <si>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</si>
  <si>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</si>
  <si>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</si>
  <si>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</si>
  <si>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</si>
  <si>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</si>
  <si>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</si>
  <si>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</si>
  <si>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</si>
  <si>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</si>
  <si>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</si>
  <si>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</si>
  <si>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</si>
  <si>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</si>
  <si>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</si>
  <si>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</si>
  <si>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</si>
  <si>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</si>
  <si>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</si>
  <si>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</si>
  <si>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</si>
  <si>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</si>
  <si>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</si>
  <si>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</si>
  <si>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</si>
  <si>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</si>
  <si>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</si>
  <si>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</si>
  <si>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</si>
  <si>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</si>
  <si>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</si>
  <si>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</si>
  <si>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</si>
  <si>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</si>
  <si>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</si>
  <si>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</si>
  <si>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</si>
  <si>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</si>
  <si>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</si>
  <si>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</si>
  <si>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</si>
  <si>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</si>
  <si>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</si>
  <si>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</si>
  <si>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</si>
  <si>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</si>
  <si>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</si>
  <si>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</si>
  <si>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</si>
  <si>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</si>
  <si>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</si>
  <si>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</si>
  <si>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</si>
  <si>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</si>
  <si>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</si>
  <si>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</si>
  <si>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</si>
  <si>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</si>
  <si>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</si>
  <si>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</si>
  <si>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</si>
  <si>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</si>
  <si>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</si>
  <si>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</si>
  <si>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</si>
  <si>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</si>
  <si>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</si>
  <si>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</si>
  <si>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</si>
  <si>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</si>
  <si>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</si>
  <si>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</si>
  <si>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</si>
  <si>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</si>
  <si>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</si>
  <si>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</si>
  <si>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</si>
  <si>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</si>
  <si>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</si>
  <si>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</si>
  <si>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</si>
  <si>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</si>
  <si>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</si>
  <si>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</si>
  <si>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</si>
  <si>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</si>
  <si>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</si>
  <si>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</si>
  <si>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</si>
  <si>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</si>
  <si>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</si>
  <si>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</si>
  <si>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</si>
  <si>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</si>
  <si>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</si>
  <si>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</si>
  <si>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</si>
  <si>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</si>
  <si>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</si>
  <si>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</si>
  <si>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</si>
  <si>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</si>
  <si>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</si>
  <si>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</si>
  <si>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</si>
  <si>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</si>
  <si>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</si>
  <si>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</si>
  <si>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</si>
  <si>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</si>
  <si>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</si>
  <si>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</si>
  <si>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</si>
  <si>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</si>
  <si>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</si>
  <si>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</si>
  <si>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</si>
  <si>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</si>
  <si>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</si>
  <si>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</si>
  <si>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</si>
  <si>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</si>
  <si>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</si>
  <si>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</si>
  <si>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</si>
  <si>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</si>
  <si>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</si>
  <si>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</si>
  <si>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</si>
  <si>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</si>
  <si>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</si>
  <si>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</si>
  <si>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</si>
  <si>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</si>
  <si>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</si>
  <si>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</si>
  <si>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</si>
  <si>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</si>
  <si>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</si>
  <si>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</si>
  <si>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</si>
  <si>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</si>
  <si>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</si>
  <si>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</si>
  <si>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</si>
  <si>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</si>
  <si>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</si>
  <si>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</si>
  <si>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</si>
  <si>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</si>
  <si>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</si>
  <si>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</si>
  <si>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</si>
  <si>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</si>
  <si>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</si>
  <si>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</si>
  <si>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</si>
  <si>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</si>
  <si>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</si>
  <si>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</si>
  <si>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</si>
  <si>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</si>
  <si>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</si>
  <si>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</si>
  <si>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</si>
  <si>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</si>
  <si>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</si>
  <si>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</si>
  <si>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</si>
  <si>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</si>
  <si>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</si>
  <si>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</si>
  <si>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</si>
  <si>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</si>
  <si>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</si>
  <si>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</si>
  <si>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</si>
  <si>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</si>
  <si>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</si>
  <si>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</si>
  <si>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</si>
  <si>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</si>
  <si>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</si>
  <si>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</si>
  <si>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</si>
  <si>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</si>
  <si>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</si>
  <si>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</si>
  <si>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</si>
  <si>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</si>
  <si>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</si>
  <si>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</si>
  <si>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</si>
  <si>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</si>
  <si>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</si>
  <si>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序号</t>
    <phoneticPr fontId="255" type="noConversion"/>
  </si>
  <si>
    <t>地块</t>
    <phoneticPr fontId="255" type="noConversion"/>
  </si>
  <si>
    <t>楼号</t>
    <phoneticPr fontId="255" type="noConversion"/>
  </si>
  <si>
    <t xml:space="preserve"> 房号  </t>
    <phoneticPr fontId="255" type="noConversion"/>
  </si>
  <si>
    <t>组合房号</t>
    <phoneticPr fontId="255" type="noConversion"/>
  </si>
  <si>
    <t>预测组合房号</t>
    <phoneticPr fontId="255" type="noConversion"/>
  </si>
  <si>
    <t>产品形式</t>
    <phoneticPr fontId="255" type="noConversion"/>
  </si>
  <si>
    <t>户型</t>
    <phoneticPr fontId="255" type="noConversion"/>
  </si>
  <si>
    <t>实测建面</t>
    <phoneticPr fontId="255" type="noConversion"/>
  </si>
  <si>
    <t>实测套内</t>
    <phoneticPr fontId="255" type="noConversion"/>
  </si>
  <si>
    <t>南</t>
    <phoneticPr fontId="255" type="noConversion"/>
  </si>
  <si>
    <t>1-30</t>
    <phoneticPr fontId="255" type="noConversion"/>
  </si>
  <si>
    <t>商业</t>
    <phoneticPr fontId="255" type="noConversion"/>
  </si>
  <si>
    <t>1-28</t>
    <phoneticPr fontId="255" type="noConversion"/>
  </si>
  <si>
    <t>1-26</t>
    <phoneticPr fontId="255" type="noConversion"/>
  </si>
  <si>
    <t>1-27</t>
    <phoneticPr fontId="255" type="noConversion"/>
  </si>
  <si>
    <t>1-25</t>
    <phoneticPr fontId="255" type="noConversion"/>
  </si>
  <si>
    <t>1-17</t>
    <phoneticPr fontId="255" type="noConversion"/>
  </si>
  <si>
    <t>1-18</t>
    <phoneticPr fontId="255" type="noConversion"/>
  </si>
  <si>
    <t>1-19</t>
    <phoneticPr fontId="255" type="noConversion"/>
  </si>
  <si>
    <t>1-20</t>
    <phoneticPr fontId="255" type="noConversion"/>
  </si>
  <si>
    <t>1-21</t>
    <phoneticPr fontId="255" type="noConversion"/>
  </si>
  <si>
    <t>1-22</t>
    <phoneticPr fontId="255" type="noConversion"/>
  </si>
  <si>
    <t>1-23</t>
    <phoneticPr fontId="255" type="noConversion"/>
  </si>
  <si>
    <t>1-24</t>
    <phoneticPr fontId="255" type="noConversion"/>
  </si>
  <si>
    <t>1-14</t>
    <phoneticPr fontId="255" type="noConversion"/>
  </si>
  <si>
    <t>1-15</t>
    <phoneticPr fontId="255" type="noConversion"/>
  </si>
  <si>
    <t>1-16</t>
    <phoneticPr fontId="255" type="noConversion"/>
  </si>
  <si>
    <t>1-1</t>
    <phoneticPr fontId="255" type="noConversion"/>
  </si>
  <si>
    <t>1-4</t>
    <phoneticPr fontId="255" type="noConversion"/>
  </si>
  <si>
    <t>1-5</t>
    <phoneticPr fontId="255" type="noConversion"/>
  </si>
  <si>
    <t>1-13</t>
    <phoneticPr fontId="255" type="noConversion"/>
  </si>
  <si>
    <t>1-32</t>
    <phoneticPr fontId="255" type="noConversion"/>
  </si>
  <si>
    <t>1-36</t>
    <phoneticPr fontId="255" type="noConversion"/>
  </si>
  <si>
    <t>1-40</t>
    <phoneticPr fontId="255" type="noConversion"/>
  </si>
  <si>
    <t>5-11</t>
    <phoneticPr fontId="255" type="noConversion"/>
  </si>
  <si>
    <t>5-23</t>
    <phoneticPr fontId="255" type="noConversion"/>
  </si>
  <si>
    <t>5-24</t>
    <phoneticPr fontId="255" type="noConversion"/>
  </si>
  <si>
    <t>5-26</t>
    <phoneticPr fontId="255" type="noConversion"/>
  </si>
  <si>
    <t>5-30</t>
    <phoneticPr fontId="255" type="noConversion"/>
  </si>
  <si>
    <t>5-32</t>
    <phoneticPr fontId="255" type="noConversion"/>
  </si>
  <si>
    <t>5-33</t>
    <phoneticPr fontId="255" type="noConversion"/>
  </si>
  <si>
    <t>5-8</t>
    <phoneticPr fontId="255" type="noConversion"/>
  </si>
  <si>
    <t>5-9</t>
    <phoneticPr fontId="255" type="noConversion"/>
  </si>
  <si>
    <t>5-10</t>
    <phoneticPr fontId="255" type="noConversion"/>
  </si>
  <si>
    <t>5-7</t>
    <phoneticPr fontId="255" type="noConversion"/>
  </si>
  <si>
    <t>5-6</t>
    <phoneticPr fontId="255" type="noConversion"/>
  </si>
  <si>
    <t>5-5</t>
    <phoneticPr fontId="255" type="noConversion"/>
  </si>
  <si>
    <t>5-4</t>
    <phoneticPr fontId="255" type="noConversion"/>
  </si>
  <si>
    <t>5-3</t>
    <phoneticPr fontId="255" type="noConversion"/>
  </si>
  <si>
    <t>5-2</t>
    <phoneticPr fontId="255" type="noConversion"/>
  </si>
  <si>
    <t>5-1</t>
    <phoneticPr fontId="255" type="noConversion"/>
  </si>
  <si>
    <t>5-12</t>
    <phoneticPr fontId="255" type="noConversion"/>
  </si>
  <si>
    <t>5-22</t>
    <phoneticPr fontId="255" type="noConversion"/>
  </si>
  <si>
    <t>5-21</t>
    <phoneticPr fontId="255" type="noConversion"/>
  </si>
  <si>
    <t>5-20</t>
    <phoneticPr fontId="255" type="noConversion"/>
  </si>
  <si>
    <t>5-19</t>
    <phoneticPr fontId="255" type="noConversion"/>
  </si>
  <si>
    <t>5-18</t>
    <phoneticPr fontId="255" type="noConversion"/>
  </si>
  <si>
    <t>5-17</t>
    <phoneticPr fontId="255" type="noConversion"/>
  </si>
  <si>
    <t>5-16</t>
    <phoneticPr fontId="255" type="noConversion"/>
  </si>
  <si>
    <t>5-15</t>
    <phoneticPr fontId="255" type="noConversion"/>
  </si>
  <si>
    <t>5-14</t>
    <phoneticPr fontId="255" type="noConversion"/>
  </si>
  <si>
    <t>5-13</t>
    <phoneticPr fontId="255" type="noConversion"/>
  </si>
  <si>
    <t>9-2</t>
    <phoneticPr fontId="255" type="noConversion"/>
  </si>
  <si>
    <t>9-3</t>
    <phoneticPr fontId="255" type="noConversion"/>
  </si>
  <si>
    <t>9-4</t>
    <phoneticPr fontId="255" type="noConversion"/>
  </si>
  <si>
    <t>9-5</t>
    <phoneticPr fontId="255" type="noConversion"/>
  </si>
  <si>
    <t>9-6</t>
    <phoneticPr fontId="255" type="noConversion"/>
  </si>
  <si>
    <t>9-7</t>
    <phoneticPr fontId="255" type="noConversion"/>
  </si>
  <si>
    <t>9-11</t>
    <phoneticPr fontId="255" type="noConversion"/>
  </si>
  <si>
    <t>南-1-314</t>
    <phoneticPr fontId="255" type="noConversion"/>
  </si>
  <si>
    <t>loft</t>
    <phoneticPr fontId="255" type="noConversion"/>
  </si>
  <si>
    <t>L3-G1</t>
    <phoneticPr fontId="255" type="noConversion"/>
  </si>
  <si>
    <t>南-2-703</t>
    <phoneticPr fontId="255" type="noConversion"/>
  </si>
  <si>
    <t>L2-G3</t>
    <phoneticPr fontId="255" type="noConversion"/>
  </si>
  <si>
    <t>南-4-114</t>
    <phoneticPr fontId="255" type="noConversion"/>
  </si>
  <si>
    <t>L2-G2-S</t>
    <phoneticPr fontId="255" type="noConversion"/>
  </si>
  <si>
    <t>南-4-204</t>
    <phoneticPr fontId="255" type="noConversion"/>
  </si>
  <si>
    <t>南</t>
  </si>
  <si>
    <t>南-4-301</t>
  </si>
  <si>
    <t>loft</t>
  </si>
  <si>
    <t>L2-G2S</t>
    <phoneticPr fontId="255" type="noConversion"/>
  </si>
  <si>
    <t>南-4-405</t>
    <phoneticPr fontId="255" type="noConversion"/>
  </si>
  <si>
    <t>南-4-604</t>
    <phoneticPr fontId="255" type="noConversion"/>
  </si>
  <si>
    <t>南-4-703</t>
    <phoneticPr fontId="255" type="noConversion"/>
  </si>
  <si>
    <t>南-4-705</t>
  </si>
  <si>
    <t>L3-G1</t>
  </si>
  <si>
    <t>南-4-715</t>
    <phoneticPr fontId="255" type="noConversion"/>
  </si>
  <si>
    <t>L2-G1L</t>
    <phoneticPr fontId="255" type="noConversion"/>
  </si>
  <si>
    <t>南-4-804</t>
    <phoneticPr fontId="255" type="noConversion"/>
  </si>
  <si>
    <t>南-4-814</t>
    <phoneticPr fontId="255" type="noConversion"/>
  </si>
  <si>
    <t>L2-G4</t>
    <phoneticPr fontId="255" type="noConversion"/>
  </si>
  <si>
    <t>南-4-903</t>
    <phoneticPr fontId="255" type="noConversion"/>
  </si>
  <si>
    <t>南-4-904</t>
    <phoneticPr fontId="255" type="noConversion"/>
  </si>
  <si>
    <t>南-4-915</t>
    <phoneticPr fontId="255" type="noConversion"/>
  </si>
  <si>
    <t>南-4-916</t>
    <phoneticPr fontId="255" type="noConversion"/>
  </si>
  <si>
    <t>L2-C1L</t>
    <phoneticPr fontId="255" type="noConversion"/>
  </si>
  <si>
    <t>南-4-1004</t>
    <phoneticPr fontId="255" type="noConversion"/>
  </si>
  <si>
    <t>南-4-1005</t>
    <phoneticPr fontId="255" type="noConversion"/>
  </si>
  <si>
    <t>南-4-1014</t>
    <phoneticPr fontId="255" type="noConversion"/>
  </si>
  <si>
    <t>南-4-1103</t>
  </si>
  <si>
    <t>南-4-1104</t>
  </si>
  <si>
    <t>南-4-1114</t>
    <phoneticPr fontId="255" type="noConversion"/>
  </si>
  <si>
    <t>南-4-1203</t>
  </si>
  <si>
    <t>南-4-1204</t>
    <phoneticPr fontId="255" type="noConversion"/>
  </si>
  <si>
    <t>loft</t>
    <phoneticPr fontId="255" type="noConversion"/>
  </si>
  <si>
    <t>L3-G1</t>
    <phoneticPr fontId="255" type="noConversion"/>
  </si>
  <si>
    <t>南</t>
    <phoneticPr fontId="255" type="noConversion"/>
  </si>
  <si>
    <t>南-4-1207</t>
    <phoneticPr fontId="255" type="noConversion"/>
  </si>
  <si>
    <t>L2-C2L</t>
    <phoneticPr fontId="255" type="noConversion"/>
  </si>
  <si>
    <t>南-4-1211</t>
  </si>
  <si>
    <t>L1-D1</t>
    <phoneticPr fontId="255" type="noConversion"/>
  </si>
  <si>
    <t>南-4-1214</t>
    <phoneticPr fontId="255" type="noConversion"/>
  </si>
  <si>
    <t>L2-G4</t>
    <phoneticPr fontId="255" type="noConversion"/>
  </si>
  <si>
    <t>南-4-1303</t>
    <phoneticPr fontId="255" type="noConversion"/>
  </si>
  <si>
    <t>南-4-1304</t>
    <phoneticPr fontId="255" type="noConversion"/>
  </si>
  <si>
    <t>南-4-1305</t>
    <phoneticPr fontId="255" type="noConversion"/>
  </si>
  <si>
    <t>南-4-1314</t>
    <phoneticPr fontId="255" type="noConversion"/>
  </si>
  <si>
    <t>L2-G3</t>
    <phoneticPr fontId="255" type="noConversion"/>
  </si>
  <si>
    <t>南-4-1316</t>
    <phoneticPr fontId="255" type="noConversion"/>
  </si>
  <si>
    <t>L2-C1L</t>
    <phoneticPr fontId="255" type="noConversion"/>
  </si>
  <si>
    <t>南-4-1404</t>
    <phoneticPr fontId="255" type="noConversion"/>
  </si>
  <si>
    <t>南-4-1405</t>
    <phoneticPr fontId="255" type="noConversion"/>
  </si>
  <si>
    <t>南-4-1407</t>
    <phoneticPr fontId="255" type="noConversion"/>
  </si>
  <si>
    <t>南-4-1503</t>
    <phoneticPr fontId="255" type="noConversion"/>
  </si>
  <si>
    <t>南-4-1504</t>
    <phoneticPr fontId="255" type="noConversion"/>
  </si>
  <si>
    <t>南-4-1505</t>
    <phoneticPr fontId="255" type="noConversion"/>
  </si>
  <si>
    <t>南-4-1507</t>
    <phoneticPr fontId="255" type="noConversion"/>
  </si>
  <si>
    <t>loft</t>
    <phoneticPr fontId="255" type="noConversion"/>
  </si>
  <si>
    <t>L2-C1L</t>
    <phoneticPr fontId="255" type="noConversion"/>
  </si>
  <si>
    <t>南</t>
    <phoneticPr fontId="255" type="noConversion"/>
  </si>
  <si>
    <t>南-4-1511</t>
    <phoneticPr fontId="255" type="noConversion"/>
  </si>
  <si>
    <t>L1-D1</t>
    <phoneticPr fontId="255" type="noConversion"/>
  </si>
  <si>
    <t>南-4-1514</t>
    <phoneticPr fontId="255" type="noConversion"/>
  </si>
  <si>
    <t>L2-G3</t>
    <phoneticPr fontId="255" type="noConversion"/>
  </si>
  <si>
    <t>南-4-1516</t>
    <phoneticPr fontId="255" type="noConversion"/>
  </si>
  <si>
    <t>南-4-1604</t>
    <phoneticPr fontId="255" type="noConversion"/>
  </si>
  <si>
    <t>L3-G1</t>
    <phoneticPr fontId="255" type="noConversion"/>
  </si>
  <si>
    <t>南-4-1605</t>
    <phoneticPr fontId="255" type="noConversion"/>
  </si>
  <si>
    <t>南-4-1607</t>
    <phoneticPr fontId="255" type="noConversion"/>
  </si>
  <si>
    <t>L2-C2L</t>
    <phoneticPr fontId="255" type="noConversion"/>
  </si>
  <si>
    <t>南-4-1614</t>
    <phoneticPr fontId="255" type="noConversion"/>
  </si>
  <si>
    <t>L2-G4</t>
    <phoneticPr fontId="255" type="noConversion"/>
  </si>
  <si>
    <t>南-4-1615</t>
    <phoneticPr fontId="255" type="noConversion"/>
  </si>
  <si>
    <t>L2-G2L</t>
    <phoneticPr fontId="255" type="noConversion"/>
  </si>
  <si>
    <t>南-4-1616</t>
    <phoneticPr fontId="255" type="noConversion"/>
  </si>
  <si>
    <t>南-4-1703</t>
    <phoneticPr fontId="255" type="noConversion"/>
  </si>
  <si>
    <t>南-4-1704</t>
    <phoneticPr fontId="255" type="noConversion"/>
  </si>
  <si>
    <t>南-4-1705</t>
    <phoneticPr fontId="255" type="noConversion"/>
  </si>
  <si>
    <t>南-4-1707</t>
    <phoneticPr fontId="255" type="noConversion"/>
  </si>
  <si>
    <t>南-4-1708</t>
    <phoneticPr fontId="255" type="noConversion"/>
  </si>
  <si>
    <t>南-4-1714</t>
    <phoneticPr fontId="255" type="noConversion"/>
  </si>
  <si>
    <t>南-4-1716</t>
    <phoneticPr fontId="255" type="noConversion"/>
  </si>
  <si>
    <t>南-5-103</t>
    <phoneticPr fontId="255" type="noConversion"/>
  </si>
  <si>
    <t>L1-D-S</t>
    <phoneticPr fontId="255" type="noConversion"/>
  </si>
  <si>
    <t>南-5-104</t>
    <phoneticPr fontId="255" type="noConversion"/>
  </si>
  <si>
    <t>南-5-107</t>
    <phoneticPr fontId="255" type="noConversion"/>
  </si>
  <si>
    <t>L2-G3-S-Y1</t>
    <phoneticPr fontId="255" type="noConversion"/>
  </si>
  <si>
    <t>南-5-201</t>
    <phoneticPr fontId="255" type="noConversion"/>
  </si>
  <si>
    <t>L2-G2L</t>
    <phoneticPr fontId="255" type="noConversion"/>
  </si>
  <si>
    <t>南-5-202</t>
    <phoneticPr fontId="255" type="noConversion"/>
  </si>
  <si>
    <t>南-5-204</t>
    <phoneticPr fontId="255" type="noConversion"/>
  </si>
  <si>
    <t>L1-D1</t>
    <phoneticPr fontId="255" type="noConversion"/>
  </si>
  <si>
    <t>南-5-208</t>
    <phoneticPr fontId="255" type="noConversion"/>
  </si>
  <si>
    <t>南-5-209</t>
    <phoneticPr fontId="255" type="noConversion"/>
  </si>
  <si>
    <t>L2-C2S</t>
    <phoneticPr fontId="255" type="noConversion"/>
  </si>
  <si>
    <t>南-5-210</t>
    <phoneticPr fontId="255" type="noConversion"/>
  </si>
  <si>
    <t>南-5-211</t>
    <phoneticPr fontId="255" type="noConversion"/>
  </si>
  <si>
    <t>南-5-212</t>
    <phoneticPr fontId="255" type="noConversion"/>
  </si>
  <si>
    <t>南-5-213</t>
    <phoneticPr fontId="255" type="noConversion"/>
  </si>
  <si>
    <t>南-5-301</t>
    <phoneticPr fontId="255" type="noConversion"/>
  </si>
  <si>
    <t>南-5-302</t>
    <phoneticPr fontId="255" type="noConversion"/>
  </si>
  <si>
    <t>南-5-306</t>
    <phoneticPr fontId="255" type="noConversion"/>
  </si>
  <si>
    <t>南-5-307</t>
    <phoneticPr fontId="255" type="noConversion"/>
  </si>
  <si>
    <t>南-5-308</t>
    <phoneticPr fontId="255" type="noConversion"/>
  </si>
  <si>
    <t>L2-G2L</t>
    <phoneticPr fontId="255" type="noConversion"/>
  </si>
  <si>
    <t>南-5-309</t>
    <phoneticPr fontId="255" type="noConversion"/>
  </si>
  <si>
    <t>L2-C1S</t>
    <phoneticPr fontId="255" type="noConversion"/>
  </si>
  <si>
    <t>南-5-311</t>
    <phoneticPr fontId="255" type="noConversion"/>
  </si>
  <si>
    <t>南-5-313</t>
    <phoneticPr fontId="255" type="noConversion"/>
  </si>
  <si>
    <t>南-5-315</t>
    <phoneticPr fontId="255" type="noConversion"/>
  </si>
  <si>
    <t>南-5-401</t>
    <phoneticPr fontId="255" type="noConversion"/>
  </si>
  <si>
    <t>南-5-402</t>
    <phoneticPr fontId="255" type="noConversion"/>
  </si>
  <si>
    <t>南-5-405</t>
  </si>
  <si>
    <t>L1-D1</t>
  </si>
  <si>
    <t>南-5-407</t>
    <phoneticPr fontId="255" type="noConversion"/>
  </si>
  <si>
    <t>南-5-408</t>
    <phoneticPr fontId="255" type="noConversion"/>
  </si>
  <si>
    <t>南-5-409</t>
    <phoneticPr fontId="255" type="noConversion"/>
  </si>
  <si>
    <t>南-5-411</t>
    <phoneticPr fontId="255" type="noConversion"/>
  </si>
  <si>
    <t>南-5-414</t>
    <phoneticPr fontId="255" type="noConversion"/>
  </si>
  <si>
    <t>L1-D2</t>
    <phoneticPr fontId="255" type="noConversion"/>
  </si>
  <si>
    <t>南-5-415</t>
    <phoneticPr fontId="255" type="noConversion"/>
  </si>
  <si>
    <t>L2-G1S</t>
    <phoneticPr fontId="255" type="noConversion"/>
  </si>
  <si>
    <t>南-5-507</t>
    <phoneticPr fontId="255" type="noConversion"/>
  </si>
  <si>
    <t>南-5-509</t>
    <phoneticPr fontId="255" type="noConversion"/>
  </si>
  <si>
    <t>南-5-511</t>
    <phoneticPr fontId="255" type="noConversion"/>
  </si>
  <si>
    <t>南-5-604</t>
    <phoneticPr fontId="255" type="noConversion"/>
  </si>
  <si>
    <t>南-5-605</t>
    <phoneticPr fontId="255" type="noConversion"/>
  </si>
  <si>
    <t>南-5-606</t>
    <phoneticPr fontId="255" type="noConversion"/>
  </si>
  <si>
    <t>南-5-607</t>
    <phoneticPr fontId="255" type="noConversion"/>
  </si>
  <si>
    <t>南-5-611</t>
    <phoneticPr fontId="255" type="noConversion"/>
  </si>
  <si>
    <t>南-5-612</t>
    <phoneticPr fontId="255" type="noConversion"/>
  </si>
  <si>
    <t>南-5-613</t>
    <phoneticPr fontId="255" type="noConversion"/>
  </si>
  <si>
    <t>南-5-614</t>
    <phoneticPr fontId="255" type="noConversion"/>
  </si>
  <si>
    <t>南-5-701</t>
    <phoneticPr fontId="255" type="noConversion"/>
  </si>
  <si>
    <t>南-5-702</t>
    <phoneticPr fontId="255" type="noConversion"/>
  </si>
  <si>
    <t>南-5-705</t>
    <phoneticPr fontId="255" type="noConversion"/>
  </si>
  <si>
    <t>南-5-706</t>
    <phoneticPr fontId="255" type="noConversion"/>
  </si>
  <si>
    <t>南-5-707</t>
    <phoneticPr fontId="255" type="noConversion"/>
  </si>
  <si>
    <t>南-5-711</t>
    <phoneticPr fontId="255" type="noConversion"/>
  </si>
  <si>
    <t>南-5-712</t>
    <phoneticPr fontId="255" type="noConversion"/>
  </si>
  <si>
    <t>南-5-713</t>
    <phoneticPr fontId="255" type="noConversion"/>
  </si>
  <si>
    <t>南-5-716</t>
    <phoneticPr fontId="255" type="noConversion"/>
  </si>
  <si>
    <t>loft</t>
    <phoneticPr fontId="255" type="noConversion"/>
  </si>
  <si>
    <t>L2-C1L</t>
    <phoneticPr fontId="255" type="noConversion"/>
  </si>
  <si>
    <t>南</t>
    <phoneticPr fontId="255" type="noConversion"/>
  </si>
  <si>
    <t>南-5-804</t>
    <phoneticPr fontId="255" type="noConversion"/>
  </si>
  <si>
    <t>L1-D1</t>
    <phoneticPr fontId="255" type="noConversion"/>
  </si>
  <si>
    <t>南-5-805</t>
    <phoneticPr fontId="255" type="noConversion"/>
  </si>
  <si>
    <t>南-5-806</t>
    <phoneticPr fontId="255" type="noConversion"/>
  </si>
  <si>
    <t>南-5-807</t>
    <phoneticPr fontId="255" type="noConversion"/>
  </si>
  <si>
    <t>loft</t>
    <phoneticPr fontId="255" type="noConversion"/>
  </si>
  <si>
    <t>L1-D1</t>
    <phoneticPr fontId="255" type="noConversion"/>
  </si>
  <si>
    <t>南</t>
    <phoneticPr fontId="255" type="noConversion"/>
  </si>
  <si>
    <t>南-5-808</t>
    <phoneticPr fontId="255" type="noConversion"/>
  </si>
  <si>
    <t>L2-G1L</t>
    <phoneticPr fontId="255" type="noConversion"/>
  </si>
  <si>
    <t>南-5-809</t>
    <phoneticPr fontId="255" type="noConversion"/>
  </si>
  <si>
    <t>L2-C2S</t>
    <phoneticPr fontId="255" type="noConversion"/>
  </si>
  <si>
    <t>南-5-811</t>
    <phoneticPr fontId="255" type="noConversion"/>
  </si>
  <si>
    <t>L3-G1</t>
    <phoneticPr fontId="255" type="noConversion"/>
  </si>
  <si>
    <t>南-5-813</t>
    <phoneticPr fontId="255" type="noConversion"/>
  </si>
  <si>
    <t>南-5-814</t>
    <phoneticPr fontId="255" type="noConversion"/>
  </si>
  <si>
    <t>L1-D2</t>
    <phoneticPr fontId="255" type="noConversion"/>
  </si>
  <si>
    <t>南-5-815</t>
    <phoneticPr fontId="255" type="noConversion"/>
  </si>
  <si>
    <t>L2-G1S</t>
    <phoneticPr fontId="255" type="noConversion"/>
  </si>
  <si>
    <t>南-5-901</t>
    <phoneticPr fontId="255" type="noConversion"/>
  </si>
  <si>
    <t>南-5-902</t>
    <phoneticPr fontId="255" type="noConversion"/>
  </si>
  <si>
    <t>L2-G3</t>
    <phoneticPr fontId="255" type="noConversion"/>
  </si>
  <si>
    <t>南-5-903</t>
  </si>
  <si>
    <t>南-5-904</t>
    <phoneticPr fontId="255" type="noConversion"/>
  </si>
  <si>
    <t>南-5-905</t>
    <phoneticPr fontId="255" type="noConversion"/>
  </si>
  <si>
    <t>南-5-906</t>
    <phoneticPr fontId="255" type="noConversion"/>
  </si>
  <si>
    <t>南-5-907</t>
    <phoneticPr fontId="255" type="noConversion"/>
  </si>
  <si>
    <t>南-5-908</t>
    <phoneticPr fontId="255" type="noConversion"/>
  </si>
  <si>
    <t>L2-G2L</t>
    <phoneticPr fontId="255" type="noConversion"/>
  </si>
  <si>
    <t>南-5-911</t>
    <phoneticPr fontId="255" type="noConversion"/>
  </si>
  <si>
    <t>L3-G1</t>
    <phoneticPr fontId="255" type="noConversion"/>
  </si>
  <si>
    <t>南-5-912</t>
    <phoneticPr fontId="255" type="noConversion"/>
  </si>
  <si>
    <t>南-5-913</t>
    <phoneticPr fontId="255" type="noConversion"/>
  </si>
  <si>
    <t>南-5-914</t>
    <phoneticPr fontId="255" type="noConversion"/>
  </si>
  <si>
    <t>L1-D2</t>
    <phoneticPr fontId="255" type="noConversion"/>
  </si>
  <si>
    <t>南-5-915</t>
    <phoneticPr fontId="255" type="noConversion"/>
  </si>
  <si>
    <t>L2-G2S</t>
    <phoneticPr fontId="255" type="noConversion"/>
  </si>
  <si>
    <t>南-5-916</t>
    <phoneticPr fontId="255" type="noConversion"/>
  </si>
  <si>
    <t>L2-C1L</t>
    <phoneticPr fontId="255" type="noConversion"/>
  </si>
  <si>
    <t>南-5-1001</t>
    <phoneticPr fontId="255" type="noConversion"/>
  </si>
  <si>
    <t>L2-G2L</t>
    <phoneticPr fontId="255" type="noConversion"/>
  </si>
  <si>
    <t>南-5-1006</t>
    <phoneticPr fontId="255" type="noConversion"/>
  </si>
  <si>
    <t>南-5-1007</t>
    <phoneticPr fontId="255" type="noConversion"/>
  </si>
  <si>
    <t>南-5-1008</t>
    <phoneticPr fontId="255" type="noConversion"/>
  </si>
  <si>
    <t>L2-G1L</t>
    <phoneticPr fontId="255" type="noConversion"/>
  </si>
  <si>
    <t>南-5-1009</t>
    <phoneticPr fontId="255" type="noConversion"/>
  </si>
  <si>
    <t>L2-C2S</t>
    <phoneticPr fontId="255" type="noConversion"/>
  </si>
  <si>
    <t>南-5-1011</t>
    <phoneticPr fontId="255" type="noConversion"/>
  </si>
  <si>
    <t>南-5-1012</t>
    <phoneticPr fontId="255" type="noConversion"/>
  </si>
  <si>
    <t>南-5-1013</t>
    <phoneticPr fontId="255" type="noConversion"/>
  </si>
  <si>
    <t>南-5-1016</t>
    <phoneticPr fontId="255" type="noConversion"/>
  </si>
  <si>
    <t>L2-C2L</t>
    <phoneticPr fontId="255" type="noConversion"/>
  </si>
  <si>
    <t>南-5-1101</t>
    <phoneticPr fontId="255" type="noConversion"/>
  </si>
  <si>
    <t>南-5-1102</t>
    <phoneticPr fontId="255" type="noConversion"/>
  </si>
  <si>
    <t>南-5-1103</t>
    <phoneticPr fontId="255" type="noConversion"/>
  </si>
  <si>
    <t>南-5-1104</t>
    <phoneticPr fontId="255" type="noConversion"/>
  </si>
  <si>
    <t>南-5-1105</t>
    <phoneticPr fontId="255" type="noConversion"/>
  </si>
  <si>
    <t>南-5-1106</t>
    <phoneticPr fontId="255" type="noConversion"/>
  </si>
  <si>
    <t>南-5-1107</t>
    <phoneticPr fontId="255" type="noConversion"/>
  </si>
  <si>
    <t>南-5-1108</t>
    <phoneticPr fontId="255" type="noConversion"/>
  </si>
  <si>
    <t>南-5-1109</t>
    <phoneticPr fontId="255" type="noConversion"/>
  </si>
  <si>
    <t>L2-C1S</t>
    <phoneticPr fontId="255" type="noConversion"/>
  </si>
  <si>
    <t>南-5-1110</t>
    <phoneticPr fontId="255" type="noConversion"/>
  </si>
  <si>
    <t>L2-G1S</t>
    <phoneticPr fontId="255" type="noConversion"/>
  </si>
  <si>
    <t>南-5-1111</t>
    <phoneticPr fontId="255" type="noConversion"/>
  </si>
  <si>
    <t>南-5-1112</t>
    <phoneticPr fontId="255" type="noConversion"/>
  </si>
  <si>
    <t>南-5-1113</t>
    <phoneticPr fontId="255" type="noConversion"/>
  </si>
  <si>
    <t>南-5-1114</t>
    <phoneticPr fontId="255" type="noConversion"/>
  </si>
  <si>
    <t>L1-D2</t>
    <phoneticPr fontId="255" type="noConversion"/>
  </si>
  <si>
    <t>南-5-1115</t>
    <phoneticPr fontId="255" type="noConversion"/>
  </si>
  <si>
    <t>L2-G2S</t>
    <phoneticPr fontId="255" type="noConversion"/>
  </si>
  <si>
    <t>南-5-1116</t>
    <phoneticPr fontId="255" type="noConversion"/>
  </si>
  <si>
    <t>南-5-1201</t>
    <phoneticPr fontId="255" type="noConversion"/>
  </si>
  <si>
    <t>南-5-1202</t>
    <phoneticPr fontId="255" type="noConversion"/>
  </si>
  <si>
    <t>南-5-1203</t>
    <phoneticPr fontId="255" type="noConversion"/>
  </si>
  <si>
    <t>南-5-1204</t>
    <phoneticPr fontId="255" type="noConversion"/>
  </si>
  <si>
    <t>南-5-1205</t>
    <phoneticPr fontId="255" type="noConversion"/>
  </si>
  <si>
    <t>南-5-1206</t>
    <phoneticPr fontId="255" type="noConversion"/>
  </si>
  <si>
    <t>南-5-1207</t>
    <phoneticPr fontId="255" type="noConversion"/>
  </si>
  <si>
    <t>南-5-1208</t>
    <phoneticPr fontId="255" type="noConversion"/>
  </si>
  <si>
    <t>L2-G1L</t>
    <phoneticPr fontId="255" type="noConversion"/>
  </si>
  <si>
    <t>南-5-1209</t>
    <phoneticPr fontId="255" type="noConversion"/>
  </si>
  <si>
    <t>L2-C2S</t>
    <phoneticPr fontId="255" type="noConversion"/>
  </si>
  <si>
    <t>南-5-1211</t>
    <phoneticPr fontId="255" type="noConversion"/>
  </si>
  <si>
    <t>南-5-1212</t>
    <phoneticPr fontId="255" type="noConversion"/>
  </si>
  <si>
    <t>南-5-1213</t>
    <phoneticPr fontId="255" type="noConversion"/>
  </si>
  <si>
    <t>南-5-1214</t>
    <phoneticPr fontId="255" type="noConversion"/>
  </si>
  <si>
    <t>南-5-1215</t>
    <phoneticPr fontId="255" type="noConversion"/>
  </si>
  <si>
    <t>L2-G1S</t>
    <phoneticPr fontId="255" type="noConversion"/>
  </si>
  <si>
    <t>南-5-1216</t>
    <phoneticPr fontId="255" type="noConversion"/>
  </si>
  <si>
    <t>南-5-1301</t>
    <phoneticPr fontId="255" type="noConversion"/>
  </si>
  <si>
    <t>L2-G1L</t>
    <phoneticPr fontId="255" type="noConversion"/>
  </si>
  <si>
    <t>南-5-1302</t>
    <phoneticPr fontId="255" type="noConversion"/>
  </si>
  <si>
    <t>南-5-1305</t>
    <phoneticPr fontId="255" type="noConversion"/>
  </si>
  <si>
    <t>南-5-1306</t>
    <phoneticPr fontId="255" type="noConversion"/>
  </si>
  <si>
    <t>南-5-1307</t>
    <phoneticPr fontId="255" type="noConversion"/>
  </si>
  <si>
    <t>南-5-1309</t>
    <phoneticPr fontId="255" type="noConversion"/>
  </si>
  <si>
    <t>L2-C1S</t>
    <phoneticPr fontId="255" type="noConversion"/>
  </si>
  <si>
    <t>南-5-1311</t>
    <phoneticPr fontId="255" type="noConversion"/>
  </si>
  <si>
    <t>南-5-1312</t>
    <phoneticPr fontId="255" type="noConversion"/>
  </si>
  <si>
    <t>南-5-1313</t>
    <phoneticPr fontId="255" type="noConversion"/>
  </si>
  <si>
    <t>南-5-1314</t>
    <phoneticPr fontId="255" type="noConversion"/>
  </si>
  <si>
    <t>南-5-1315</t>
    <phoneticPr fontId="255" type="noConversion"/>
  </si>
  <si>
    <t>南-5-1316</t>
    <phoneticPr fontId="255" type="noConversion"/>
  </si>
  <si>
    <t>南-5-1401</t>
    <phoneticPr fontId="255" type="noConversion"/>
  </si>
  <si>
    <t>南-5-1402</t>
    <phoneticPr fontId="255" type="noConversion"/>
  </si>
  <si>
    <t>南-5-1405</t>
    <phoneticPr fontId="255" type="noConversion"/>
  </si>
  <si>
    <t>南-5-1406</t>
    <phoneticPr fontId="255" type="noConversion"/>
  </si>
  <si>
    <t>南-5-1408</t>
    <phoneticPr fontId="255" type="noConversion"/>
  </si>
  <si>
    <t>南-5-1409</t>
    <phoneticPr fontId="255" type="noConversion"/>
  </si>
  <si>
    <t>南-5-1410</t>
    <phoneticPr fontId="255" type="noConversion"/>
  </si>
  <si>
    <t>南-5-1411</t>
    <phoneticPr fontId="255" type="noConversion"/>
  </si>
  <si>
    <t>南-5-1412</t>
    <phoneticPr fontId="255" type="noConversion"/>
  </si>
  <si>
    <t>南-5-1413</t>
    <phoneticPr fontId="255" type="noConversion"/>
  </si>
  <si>
    <t>南-5-1414</t>
    <phoneticPr fontId="255" type="noConversion"/>
  </si>
  <si>
    <t>南-5-1415</t>
    <phoneticPr fontId="255" type="noConversion"/>
  </si>
  <si>
    <t>南-5-1416</t>
    <phoneticPr fontId="255" type="noConversion"/>
  </si>
  <si>
    <t>南-5-1502</t>
    <phoneticPr fontId="255" type="noConversion"/>
  </si>
  <si>
    <t>南-5-1504</t>
    <phoneticPr fontId="255" type="noConversion"/>
  </si>
  <si>
    <t>南-5-1505</t>
    <phoneticPr fontId="255" type="noConversion"/>
  </si>
  <si>
    <t>南-5-1506</t>
    <phoneticPr fontId="255" type="noConversion"/>
  </si>
  <si>
    <t>南-5-1507</t>
    <phoneticPr fontId="255" type="noConversion"/>
  </si>
  <si>
    <t>南-5-1509</t>
    <phoneticPr fontId="255" type="noConversion"/>
  </si>
  <si>
    <t>南-5-1510</t>
    <phoneticPr fontId="255" type="noConversion"/>
  </si>
  <si>
    <t>南-5-1511</t>
    <phoneticPr fontId="255" type="noConversion"/>
  </si>
  <si>
    <t>南-5-1512</t>
    <phoneticPr fontId="255" type="noConversion"/>
  </si>
  <si>
    <t>南-5-1513</t>
    <phoneticPr fontId="255" type="noConversion"/>
  </si>
  <si>
    <t>南-5-1514</t>
    <phoneticPr fontId="255" type="noConversion"/>
  </si>
  <si>
    <t>南-5-1515</t>
    <phoneticPr fontId="255" type="noConversion"/>
  </si>
  <si>
    <t>南-5-1516</t>
    <phoneticPr fontId="255" type="noConversion"/>
  </si>
  <si>
    <t>南-5-1601</t>
    <phoneticPr fontId="255" type="noConversion"/>
  </si>
  <si>
    <t>南-5-1602</t>
    <phoneticPr fontId="255" type="noConversion"/>
  </si>
  <si>
    <t>南-5-1603</t>
    <phoneticPr fontId="255" type="noConversion"/>
  </si>
  <si>
    <t>南-5-1604</t>
    <phoneticPr fontId="255" type="noConversion"/>
  </si>
  <si>
    <t>南-5-1605</t>
    <phoneticPr fontId="255" type="noConversion"/>
  </si>
  <si>
    <t>南-5-1606</t>
    <phoneticPr fontId="255" type="noConversion"/>
  </si>
  <si>
    <t>南-5-1607</t>
    <phoneticPr fontId="255" type="noConversion"/>
  </si>
  <si>
    <t>南-5-1608</t>
    <phoneticPr fontId="255" type="noConversion"/>
  </si>
  <si>
    <t>南-5-1609</t>
    <phoneticPr fontId="255" type="noConversion"/>
  </si>
  <si>
    <t>南-5-1610</t>
    <phoneticPr fontId="255" type="noConversion"/>
  </si>
  <si>
    <t>南-5-1611</t>
    <phoneticPr fontId="255" type="noConversion"/>
  </si>
  <si>
    <t>南-5-1614</t>
    <phoneticPr fontId="255" type="noConversion"/>
  </si>
  <si>
    <t>南-5-1615</t>
    <phoneticPr fontId="255" type="noConversion"/>
  </si>
  <si>
    <t>南-5-1702</t>
    <phoneticPr fontId="255" type="noConversion"/>
  </si>
  <si>
    <t>南-5-1704</t>
    <phoneticPr fontId="255" type="noConversion"/>
  </si>
  <si>
    <t>南-5-1705</t>
    <phoneticPr fontId="255" type="noConversion"/>
  </si>
  <si>
    <t>南-5-1706</t>
    <phoneticPr fontId="255" type="noConversion"/>
  </si>
  <si>
    <t>南-5-1708</t>
    <phoneticPr fontId="255" type="noConversion"/>
  </si>
  <si>
    <t>南-5-1709</t>
    <phoneticPr fontId="255" type="noConversion"/>
  </si>
  <si>
    <t>南-5-1710</t>
    <phoneticPr fontId="255" type="noConversion"/>
  </si>
  <si>
    <t>南-5-1711</t>
    <phoneticPr fontId="255" type="noConversion"/>
  </si>
  <si>
    <t>南-5-1712</t>
    <phoneticPr fontId="255" type="noConversion"/>
  </si>
  <si>
    <t>南-5-1713</t>
    <phoneticPr fontId="255" type="noConversion"/>
  </si>
  <si>
    <t>南-5-1714</t>
    <phoneticPr fontId="255" type="noConversion"/>
  </si>
  <si>
    <t>南-5-1715</t>
    <phoneticPr fontId="255" type="noConversion"/>
  </si>
  <si>
    <t>南-5-1716</t>
    <phoneticPr fontId="255" type="noConversion"/>
  </si>
  <si>
    <t>南-6-101</t>
  </si>
  <si>
    <t>平层</t>
    <phoneticPr fontId="255" type="noConversion"/>
  </si>
  <si>
    <t>南-6-102</t>
  </si>
  <si>
    <t>南-6-103</t>
  </si>
  <si>
    <t>南-6-104</t>
  </si>
  <si>
    <t>南-6-105</t>
  </si>
  <si>
    <t>平层</t>
    <phoneticPr fontId="255" type="noConversion"/>
  </si>
  <si>
    <t>南-6-106</t>
  </si>
  <si>
    <t>南-6-201</t>
  </si>
  <si>
    <t>平层</t>
    <phoneticPr fontId="255" type="noConversion"/>
  </si>
  <si>
    <t>南-6-202</t>
  </si>
  <si>
    <t>平层</t>
    <phoneticPr fontId="255" type="noConversion"/>
  </si>
  <si>
    <t>南-6-203</t>
  </si>
  <si>
    <t>南-6-204</t>
  </si>
  <si>
    <t>南-6-205</t>
  </si>
  <si>
    <t>南-6-206</t>
  </si>
  <si>
    <t>南-6-207</t>
  </si>
  <si>
    <t>南-6-208</t>
  </si>
  <si>
    <t>南-6-209</t>
  </si>
  <si>
    <t>平层</t>
    <phoneticPr fontId="255" type="noConversion"/>
  </si>
  <si>
    <t>南</t>
    <phoneticPr fontId="255" type="noConversion"/>
  </si>
  <si>
    <t>南-6-210</t>
  </si>
  <si>
    <t>平层</t>
    <phoneticPr fontId="255" type="noConversion"/>
  </si>
  <si>
    <t>南</t>
    <phoneticPr fontId="255" type="noConversion"/>
  </si>
  <si>
    <t>南-6-211</t>
  </si>
  <si>
    <t>南-6-212</t>
  </si>
  <si>
    <t>南-6-213</t>
  </si>
  <si>
    <t>平层</t>
    <phoneticPr fontId="255" type="noConversion"/>
  </si>
  <si>
    <t>南</t>
    <phoneticPr fontId="255" type="noConversion"/>
  </si>
  <si>
    <t>南-6-214</t>
  </si>
  <si>
    <t>南-6-215</t>
  </si>
  <si>
    <t>平层</t>
    <phoneticPr fontId="255" type="noConversion"/>
  </si>
  <si>
    <t>南</t>
    <phoneticPr fontId="255" type="noConversion"/>
  </si>
  <si>
    <t>南-6-216</t>
  </si>
  <si>
    <t>南-6-301</t>
  </si>
  <si>
    <t>南-6-302</t>
  </si>
  <si>
    <t>南-6-303</t>
  </si>
  <si>
    <t>平层</t>
    <phoneticPr fontId="255" type="noConversion"/>
  </si>
  <si>
    <t>南</t>
    <phoneticPr fontId="255" type="noConversion"/>
  </si>
  <si>
    <t>南-6-304</t>
  </si>
  <si>
    <t>南-6-305</t>
  </si>
  <si>
    <t>南-6-306</t>
  </si>
  <si>
    <t>南-6-307</t>
  </si>
  <si>
    <t>南-6-308</t>
  </si>
  <si>
    <t>平层</t>
    <phoneticPr fontId="255" type="noConversion"/>
  </si>
  <si>
    <t>南</t>
    <phoneticPr fontId="255" type="noConversion"/>
  </si>
  <si>
    <t>南-6-309</t>
  </si>
  <si>
    <t>南-6-310</t>
  </si>
  <si>
    <t>南-6-311</t>
  </si>
  <si>
    <t>南-6-312</t>
  </si>
  <si>
    <t>南-6-313</t>
  </si>
  <si>
    <t>南-6-314</t>
  </si>
  <si>
    <t>南-6-315</t>
  </si>
  <si>
    <t>南-6-316</t>
  </si>
  <si>
    <t>南-6-401</t>
  </si>
  <si>
    <t>南-6-402</t>
  </si>
  <si>
    <t>南-6-403</t>
  </si>
  <si>
    <t>南-6-404</t>
  </si>
  <si>
    <t>南-6-405</t>
  </si>
  <si>
    <t>南-6-406</t>
  </si>
  <si>
    <t>南-6-407</t>
  </si>
  <si>
    <t>南-6-408</t>
  </si>
  <si>
    <t>南-6-409</t>
  </si>
  <si>
    <t>南-6-410</t>
  </si>
  <si>
    <t>南-6-411</t>
  </si>
  <si>
    <t>南-6-412</t>
  </si>
  <si>
    <t>南-6-413</t>
  </si>
  <si>
    <t>南-6-414</t>
  </si>
  <si>
    <t>南-6-415</t>
  </si>
  <si>
    <t>南-6-416</t>
  </si>
  <si>
    <t>南-6-501</t>
  </si>
  <si>
    <t>南-6-502</t>
  </si>
  <si>
    <t>南-6-503</t>
  </si>
  <si>
    <t>南-6-504</t>
  </si>
  <si>
    <t>南-6-505</t>
  </si>
  <si>
    <t>南-6-506</t>
  </si>
  <si>
    <t>南-6-507</t>
  </si>
  <si>
    <t>南-6-508</t>
  </si>
  <si>
    <t>平层</t>
    <phoneticPr fontId="255" type="noConversion"/>
  </si>
  <si>
    <t>南</t>
    <phoneticPr fontId="255" type="noConversion"/>
  </si>
  <si>
    <t>南-6-509</t>
  </si>
  <si>
    <t>南-6-510</t>
  </si>
  <si>
    <t>南-6-511</t>
  </si>
  <si>
    <t>南-6-512</t>
  </si>
  <si>
    <t>南-6-513</t>
  </si>
  <si>
    <t>南-6-514</t>
  </si>
  <si>
    <t>南-6-515</t>
  </si>
  <si>
    <t>南-6-516</t>
  </si>
  <si>
    <t>南-6-601</t>
  </si>
  <si>
    <t>平层</t>
    <phoneticPr fontId="255" type="noConversion"/>
  </si>
  <si>
    <t>南</t>
    <phoneticPr fontId="255" type="noConversion"/>
  </si>
  <si>
    <t>南-6-602</t>
  </si>
  <si>
    <t>南-6-603</t>
  </si>
  <si>
    <t>南-6-604</t>
  </si>
  <si>
    <t>南-6-605</t>
  </si>
  <si>
    <t>南-6-606</t>
  </si>
  <si>
    <t>南-6-607</t>
  </si>
  <si>
    <t>南-6-608</t>
  </si>
  <si>
    <t>南-6-609</t>
  </si>
  <si>
    <t>南-6-610</t>
  </si>
  <si>
    <t>南-6-611</t>
  </si>
  <si>
    <t>南-6-612</t>
  </si>
  <si>
    <t>南-6-613</t>
  </si>
  <si>
    <t>南-6-614</t>
  </si>
  <si>
    <t>南-6-615</t>
  </si>
  <si>
    <t>南-6-616</t>
  </si>
  <si>
    <t>南-6-701</t>
  </si>
  <si>
    <t>南-6-702</t>
  </si>
  <si>
    <t>南-6-703</t>
  </si>
  <si>
    <t>南-6-704</t>
  </si>
  <si>
    <t>南-6-705</t>
  </si>
  <si>
    <t>南-6-706</t>
  </si>
  <si>
    <t>南-6-707</t>
  </si>
  <si>
    <t>南-6-708</t>
  </si>
  <si>
    <t>南-6-709</t>
  </si>
  <si>
    <t>南-6-710</t>
  </si>
  <si>
    <t>南-6-711</t>
  </si>
  <si>
    <t>南-6-712</t>
  </si>
  <si>
    <t>南-6-713</t>
  </si>
  <si>
    <t>南-6-714</t>
  </si>
  <si>
    <t>南-6-715</t>
  </si>
  <si>
    <t>南-6-716</t>
  </si>
  <si>
    <t>南-6-801</t>
  </si>
  <si>
    <t>南-6-802</t>
  </si>
  <si>
    <t>南-6-803</t>
  </si>
  <si>
    <t>南-6-804</t>
  </si>
  <si>
    <t>南-6-805</t>
  </si>
  <si>
    <t>南-6-806</t>
  </si>
  <si>
    <t>南-6-807</t>
  </si>
  <si>
    <t>南-6-808</t>
  </si>
  <si>
    <t>南-6-809</t>
  </si>
  <si>
    <t>南-6-810</t>
  </si>
  <si>
    <t>南-6-811</t>
  </si>
  <si>
    <t>平层</t>
    <phoneticPr fontId="255" type="noConversion"/>
  </si>
  <si>
    <t>南-6-812</t>
  </si>
  <si>
    <t>南-6-813</t>
  </si>
  <si>
    <t>南-6-814</t>
  </si>
  <si>
    <t>南-6-815</t>
  </si>
  <si>
    <t>南-6-816</t>
  </si>
  <si>
    <t>南-6-901</t>
  </si>
  <si>
    <t>南-6-902</t>
  </si>
  <si>
    <t>南-6-903</t>
  </si>
  <si>
    <t>南-6-904</t>
  </si>
  <si>
    <t>南-6-905</t>
  </si>
  <si>
    <t>南-6-906</t>
  </si>
  <si>
    <t>南-6-907</t>
  </si>
  <si>
    <t>南-6-908</t>
  </si>
  <si>
    <t>南-6-909</t>
  </si>
  <si>
    <t>南-6-910</t>
  </si>
  <si>
    <t>南-6-911</t>
  </si>
  <si>
    <t>南-6-912</t>
  </si>
  <si>
    <t>南-6-913</t>
  </si>
  <si>
    <t>南-6-914</t>
  </si>
  <si>
    <t>南-6-915</t>
  </si>
  <si>
    <t>南-6-916</t>
  </si>
  <si>
    <t>南-6-1001</t>
  </si>
  <si>
    <t>南-6-1002</t>
  </si>
  <si>
    <t>南-6-1003</t>
  </si>
  <si>
    <t>南-6-1004</t>
  </si>
  <si>
    <t>南-6-1005</t>
  </si>
  <si>
    <t>南-6-1006</t>
  </si>
  <si>
    <t>南-6-1007</t>
  </si>
  <si>
    <t>南-6-1008</t>
  </si>
  <si>
    <t>南-6-1009</t>
  </si>
  <si>
    <t>南-6-1010</t>
  </si>
  <si>
    <t>南-6-1011</t>
  </si>
  <si>
    <t>南-6-1012</t>
  </si>
  <si>
    <t>南-6-1013</t>
  </si>
  <si>
    <t>南-6-1014</t>
  </si>
  <si>
    <t>南-6-1015</t>
  </si>
  <si>
    <t>南-6-1016</t>
  </si>
  <si>
    <t>南-6-1101</t>
  </si>
  <si>
    <t>南-6-1102</t>
  </si>
  <si>
    <t>南-6-1103</t>
  </si>
  <si>
    <t>南-6-1104</t>
  </si>
  <si>
    <t>南-6-1105</t>
  </si>
  <si>
    <t>南-6-1106</t>
  </si>
  <si>
    <t>南-6-1107</t>
  </si>
  <si>
    <t>南-6-1108</t>
  </si>
  <si>
    <t>南-6-1109</t>
  </si>
  <si>
    <t>南-6-1110</t>
  </si>
  <si>
    <t>南-6-1111</t>
  </si>
  <si>
    <t>南-6-1112</t>
  </si>
  <si>
    <t>南-6-1113</t>
  </si>
  <si>
    <t>南-6-1114</t>
  </si>
  <si>
    <t>南-6-1115</t>
  </si>
  <si>
    <t>南-6-1116</t>
  </si>
  <si>
    <t>南-6-1201</t>
  </si>
  <si>
    <t>南-6-1202</t>
  </si>
  <si>
    <t>南-6-1203</t>
  </si>
  <si>
    <t>南-6-1204</t>
  </si>
  <si>
    <t>南-6-1205</t>
  </si>
  <si>
    <t>南-6-1206</t>
  </si>
  <si>
    <t>南-6-1207</t>
  </si>
  <si>
    <t>南-6-1208</t>
  </si>
  <si>
    <t>南-6-1209</t>
  </si>
  <si>
    <t>南-6-1210</t>
  </si>
  <si>
    <t>南-6-1211</t>
  </si>
  <si>
    <t>南-6-1212</t>
  </si>
  <si>
    <t>南-6-1213</t>
  </si>
  <si>
    <t>南-6-1214</t>
  </si>
  <si>
    <t>南-6-1215</t>
  </si>
  <si>
    <t>南-6-1216</t>
  </si>
  <si>
    <t>南-6-1301</t>
  </si>
  <si>
    <t>南-6-1302</t>
  </si>
  <si>
    <t>南-6-1303</t>
  </si>
  <si>
    <t>南-6-1304</t>
  </si>
  <si>
    <t>南-6-1305</t>
  </si>
  <si>
    <t>南-6-1306</t>
  </si>
  <si>
    <t>南-6-1307</t>
  </si>
  <si>
    <t>南-6-1308</t>
  </si>
  <si>
    <t>南-6-1309</t>
  </si>
  <si>
    <t>南-6-1310</t>
  </si>
  <si>
    <t>南-6-1311</t>
  </si>
  <si>
    <t>南-6-1312</t>
  </si>
  <si>
    <t>南-6-1313</t>
  </si>
  <si>
    <t>南-6-1314</t>
  </si>
  <si>
    <t>南-6-1315</t>
  </si>
  <si>
    <t>南-6-1316</t>
  </si>
  <si>
    <t>南-6-1401</t>
  </si>
  <si>
    <t>南-6-1402</t>
  </si>
  <si>
    <t>南-6-1403</t>
  </si>
  <si>
    <t>南-6-1404</t>
  </si>
  <si>
    <t>南-6-1405</t>
  </si>
  <si>
    <t>南-6-1406</t>
  </si>
  <si>
    <t>南-6-1407</t>
  </si>
  <si>
    <t>南-6-1408</t>
  </si>
  <si>
    <t>南-6-1409</t>
  </si>
  <si>
    <t>南-6-1410</t>
  </si>
  <si>
    <t>南-6-1411</t>
  </si>
  <si>
    <t>南-6-1412</t>
  </si>
  <si>
    <t>南-6-1413</t>
  </si>
  <si>
    <t>南-6-1414</t>
  </si>
  <si>
    <t>南-6-1415</t>
  </si>
  <si>
    <t>南-6-1416</t>
  </si>
  <si>
    <t>南-6-1501</t>
  </si>
  <si>
    <t>南-6-1502</t>
  </si>
  <si>
    <t>南-6-1503</t>
  </si>
  <si>
    <t>南-6-1504</t>
  </si>
  <si>
    <t>南-6-1505</t>
  </si>
  <si>
    <t>南-6-1506</t>
  </si>
  <si>
    <t>南-6-1507</t>
  </si>
  <si>
    <t>南-6-1508</t>
  </si>
  <si>
    <t>南-6-1509</t>
  </si>
  <si>
    <t>南-6-1510</t>
  </si>
  <si>
    <t>南-6-1511</t>
  </si>
  <si>
    <t>南-6-1512</t>
  </si>
  <si>
    <t>南-6-1513</t>
  </si>
  <si>
    <t>南-6-1514</t>
  </si>
  <si>
    <t>南-6-1515</t>
  </si>
  <si>
    <t>南-6-1516</t>
  </si>
  <si>
    <t>南-6-1601</t>
  </si>
  <si>
    <t>南-6-1602</t>
  </si>
  <si>
    <t>南-6-1603</t>
  </si>
  <si>
    <t>南-6-1604</t>
  </si>
  <si>
    <t>南-6-1605</t>
  </si>
  <si>
    <t>南-6-1606</t>
  </si>
  <si>
    <t>南-6-1607</t>
  </si>
  <si>
    <t>南-6-1608</t>
  </si>
  <si>
    <t>南-6-1609</t>
  </si>
  <si>
    <t>南-6-1610</t>
  </si>
  <si>
    <t>南-6-1611</t>
  </si>
  <si>
    <t>南-6-1612</t>
  </si>
  <si>
    <t>南-6-1613</t>
  </si>
  <si>
    <t>南-6-1614</t>
  </si>
  <si>
    <t>南-6-1615</t>
  </si>
  <si>
    <t>南-6-1616</t>
  </si>
  <si>
    <t>南-7-201</t>
  </si>
  <si>
    <t>南-7-202</t>
  </si>
  <si>
    <t>南-7-203</t>
  </si>
  <si>
    <t>南-7-204</t>
  </si>
  <si>
    <t>南-7-205</t>
  </si>
  <si>
    <t>南-7-206</t>
  </si>
  <si>
    <t>南-7-207</t>
  </si>
  <si>
    <t>南-7-208</t>
  </si>
  <si>
    <t>南-7-209</t>
  </si>
  <si>
    <t>南-7-210</t>
  </si>
  <si>
    <t>南-7-211</t>
  </si>
  <si>
    <t>南-7-212</t>
  </si>
  <si>
    <t>南-7-213</t>
  </si>
  <si>
    <t>南-7-214</t>
  </si>
  <si>
    <t>南-7-215</t>
  </si>
  <si>
    <t>南-7-216</t>
  </si>
  <si>
    <t>南-7-217</t>
  </si>
  <si>
    <t>南-7-301</t>
  </si>
  <si>
    <t>南-7-302</t>
  </si>
  <si>
    <t>南-7-303</t>
  </si>
  <si>
    <t>南-7-304</t>
  </si>
  <si>
    <t>南-7-305</t>
  </si>
  <si>
    <t>南-7-306</t>
  </si>
  <si>
    <t>南-7-307</t>
  </si>
  <si>
    <t>南-7-308</t>
  </si>
  <si>
    <t>南-7-309</t>
  </si>
  <si>
    <t>南-7-310</t>
  </si>
  <si>
    <t>南-7-311</t>
  </si>
  <si>
    <t>南-7-312</t>
  </si>
  <si>
    <t>南-7-313</t>
  </si>
  <si>
    <t>南-7-314</t>
  </si>
  <si>
    <t>南-7-315</t>
  </si>
  <si>
    <t>南-7-316</t>
  </si>
  <si>
    <t>南-7-317</t>
  </si>
  <si>
    <t>南-7-401</t>
  </si>
  <si>
    <t>南-7-402</t>
  </si>
  <si>
    <t>南-7-403</t>
  </si>
  <si>
    <t>南-7-404</t>
  </si>
  <si>
    <t>南-7-405</t>
  </si>
  <si>
    <t>南-7-406</t>
  </si>
  <si>
    <t>南-7-407</t>
  </si>
  <si>
    <t>南-7-408</t>
  </si>
  <si>
    <t>南-7-409</t>
  </si>
  <si>
    <t>南-7-410</t>
  </si>
  <si>
    <t>南-7-411</t>
  </si>
  <si>
    <t>南-7-412</t>
  </si>
  <si>
    <t>南-7-413</t>
  </si>
  <si>
    <t>南-7-414</t>
  </si>
  <si>
    <t>南-7-415</t>
  </si>
  <si>
    <t>南-7-416</t>
  </si>
  <si>
    <t>南-7-417</t>
  </si>
  <si>
    <t>南-7-501</t>
  </si>
  <si>
    <t>南-7-502</t>
  </si>
  <si>
    <t>南-7-503</t>
  </si>
  <si>
    <t>南-7-504</t>
  </si>
  <si>
    <t>南-7-505</t>
  </si>
  <si>
    <t>南-7-506</t>
  </si>
  <si>
    <t>南-7-507</t>
  </si>
  <si>
    <t>南-7-508</t>
  </si>
  <si>
    <t>南-7-509</t>
  </si>
  <si>
    <t>南-7-510</t>
  </si>
  <si>
    <t>南-7-511</t>
  </si>
  <si>
    <t>南-7-512</t>
  </si>
  <si>
    <t>南-7-513</t>
  </si>
  <si>
    <t>南-7-514</t>
  </si>
  <si>
    <t>南-7-515</t>
  </si>
  <si>
    <t>南-7-516</t>
  </si>
  <si>
    <t>南-7-517</t>
  </si>
  <si>
    <t>南-7-601</t>
  </si>
  <si>
    <t>南-7-602</t>
  </si>
  <si>
    <t>南-7-603</t>
  </si>
  <si>
    <t>南-7-604</t>
  </si>
  <si>
    <t>南-7-605</t>
  </si>
  <si>
    <t>南-7-606</t>
  </si>
  <si>
    <t>南-7-607</t>
  </si>
  <si>
    <t>南-7-608</t>
  </si>
  <si>
    <t>南-7-609</t>
  </si>
  <si>
    <t>南-7-610</t>
  </si>
  <si>
    <t>南-7-611</t>
  </si>
  <si>
    <t>南-7-612</t>
  </si>
  <si>
    <t>南-7-613</t>
  </si>
  <si>
    <t>南-7-614</t>
  </si>
  <si>
    <t>南-7-615</t>
  </si>
  <si>
    <t>南-7-616</t>
  </si>
  <si>
    <t>南-7-617</t>
  </si>
  <si>
    <t>南-7-701</t>
  </si>
  <si>
    <t>南-7-702</t>
  </si>
  <si>
    <t>南-7-703</t>
  </si>
  <si>
    <t>南-7-704</t>
  </si>
  <si>
    <t>南-7-705</t>
  </si>
  <si>
    <t>南-7-706</t>
  </si>
  <si>
    <t>南-7-707</t>
  </si>
  <si>
    <t>南-7-708</t>
  </si>
  <si>
    <t>南-7-709</t>
  </si>
  <si>
    <t>南-7-710</t>
  </si>
  <si>
    <t>南-7-711</t>
  </si>
  <si>
    <t>南-7-712</t>
  </si>
  <si>
    <t>南-7-713</t>
  </si>
  <si>
    <t>南-7-714</t>
  </si>
  <si>
    <t>南-7-715</t>
  </si>
  <si>
    <t>南-7-716</t>
  </si>
  <si>
    <t>南-7-717</t>
  </si>
  <si>
    <t>南-7-801</t>
  </si>
  <si>
    <t>南-7-802</t>
  </si>
  <si>
    <t>南-7-803</t>
  </si>
  <si>
    <t>南-7-804</t>
  </si>
  <si>
    <t>南-7-805</t>
  </si>
  <si>
    <t>南-7-806</t>
  </si>
  <si>
    <t>南-7-807</t>
  </si>
  <si>
    <t>南-7-808</t>
  </si>
  <si>
    <t>南-7-809</t>
  </si>
  <si>
    <t>南-7-810</t>
  </si>
  <si>
    <t>南-7-811</t>
  </si>
  <si>
    <t>南-7-812</t>
  </si>
  <si>
    <t>南-7-813</t>
  </si>
  <si>
    <t>南-7-814</t>
  </si>
  <si>
    <t>南-7-815</t>
  </si>
  <si>
    <t>南-7-816</t>
  </si>
  <si>
    <t>南-7-817</t>
  </si>
  <si>
    <t>南-7-901</t>
  </si>
  <si>
    <t>南-7-902</t>
  </si>
  <si>
    <t>南-7-903</t>
  </si>
  <si>
    <t>南-7-904</t>
  </si>
  <si>
    <t>南-7-905</t>
  </si>
  <si>
    <t>南-7-906</t>
  </si>
  <si>
    <t>南-7-907</t>
  </si>
  <si>
    <t>南-7-908</t>
  </si>
  <si>
    <t>南-7-909</t>
  </si>
  <si>
    <t>南-7-910</t>
  </si>
  <si>
    <t>南-7-911</t>
  </si>
  <si>
    <t>南-7-912</t>
  </si>
  <si>
    <t>南-7-913</t>
  </si>
  <si>
    <t>南-7-914</t>
  </si>
  <si>
    <t>南-7-915</t>
  </si>
  <si>
    <t>南-7-916</t>
  </si>
  <si>
    <t>南-7-917</t>
  </si>
  <si>
    <t>南-7-1001</t>
  </si>
  <si>
    <t>南-7-1002</t>
  </si>
  <si>
    <t>南-7-1003</t>
  </si>
  <si>
    <t>南-7-1004</t>
  </si>
  <si>
    <t>南-7-1005</t>
  </si>
  <si>
    <t>南-7-1006</t>
  </si>
  <si>
    <t>南-7-1007</t>
  </si>
  <si>
    <t>南-7-1008</t>
  </si>
  <si>
    <t>南-7-1009</t>
  </si>
  <si>
    <t>南-7-1010</t>
  </si>
  <si>
    <t>南-7-1011</t>
  </si>
  <si>
    <t>南-7-1012</t>
  </si>
  <si>
    <t>南-7-1013</t>
  </si>
  <si>
    <t>南-7-1014</t>
  </si>
  <si>
    <t>南-7-1015</t>
  </si>
  <si>
    <t>南-7-1016</t>
  </si>
  <si>
    <t>南-7-1017</t>
  </si>
  <si>
    <t>南-7-1101</t>
  </si>
  <si>
    <t>南-7-1102</t>
  </si>
  <si>
    <t>南-7-1103</t>
  </si>
  <si>
    <t>南-7-1104</t>
  </si>
  <si>
    <t>南-7-1105</t>
  </si>
  <si>
    <t>南-7-1106</t>
  </si>
  <si>
    <t>南-7-1107</t>
  </si>
  <si>
    <t>南-7-1108</t>
  </si>
  <si>
    <t>南-7-1109</t>
  </si>
  <si>
    <t>南-7-1110</t>
  </si>
  <si>
    <t>南-7-1111</t>
  </si>
  <si>
    <t>南-7-1112</t>
  </si>
  <si>
    <t>南-7-1113</t>
  </si>
  <si>
    <t>南-7-1114</t>
  </si>
  <si>
    <t>南-7-1115</t>
  </si>
  <si>
    <t>南-7-1116</t>
  </si>
  <si>
    <t>南-7-1117</t>
  </si>
  <si>
    <t>南-7-1201</t>
  </si>
  <si>
    <t>南-7-1202</t>
  </si>
  <si>
    <t>南-7-1203</t>
  </si>
  <si>
    <t>南-7-1204</t>
  </si>
  <si>
    <t>南-7-1205</t>
  </si>
  <si>
    <t>南-7-1206</t>
  </si>
  <si>
    <t>南-7-1207</t>
  </si>
  <si>
    <t>南-7-1208</t>
  </si>
  <si>
    <t>南-7-1209</t>
  </si>
  <si>
    <t>南-7-1210</t>
  </si>
  <si>
    <t>南-7-1211</t>
  </si>
  <si>
    <t>南-7-1212</t>
  </si>
  <si>
    <t>南-7-1213</t>
  </si>
  <si>
    <t>南-7-1214</t>
  </si>
  <si>
    <t>南-7-1215</t>
  </si>
  <si>
    <t>南-7-1216</t>
  </si>
  <si>
    <t>南-7-1217</t>
  </si>
  <si>
    <t>南-7-1301</t>
  </si>
  <si>
    <t>南-7-1302</t>
  </si>
  <si>
    <t>南-7-1303</t>
  </si>
  <si>
    <t>南-7-1304</t>
  </si>
  <si>
    <t>南-7-1305</t>
  </si>
  <si>
    <t>南-7-1306</t>
  </si>
  <si>
    <t>南-7-1307</t>
  </si>
  <si>
    <t>南-7-1308</t>
  </si>
  <si>
    <t>南-7-1309</t>
  </si>
  <si>
    <t>南-7-1310</t>
  </si>
  <si>
    <t>南-7-1311</t>
  </si>
  <si>
    <t>南-7-1312</t>
  </si>
  <si>
    <t>南-7-1313</t>
  </si>
  <si>
    <t>南-7-1314</t>
  </si>
  <si>
    <t>南-7-1315</t>
  </si>
  <si>
    <t>南-7-1316</t>
  </si>
  <si>
    <t>南-7-1317</t>
  </si>
  <si>
    <t>南-7-1401</t>
  </si>
  <si>
    <t>南-7-1402</t>
  </si>
  <si>
    <t>南-7-1403</t>
  </si>
  <si>
    <t>南-7-1404</t>
  </si>
  <si>
    <t>南-7-1405</t>
  </si>
  <si>
    <t>南-7-1406</t>
  </si>
  <si>
    <t>南-7-1407</t>
  </si>
  <si>
    <t>南-7-1408</t>
  </si>
  <si>
    <t>南-7-1409</t>
  </si>
  <si>
    <t>南-7-1410</t>
  </si>
  <si>
    <t>南-7-1411</t>
  </si>
  <si>
    <t>南-7-1412</t>
  </si>
  <si>
    <t>南-7-1413</t>
  </si>
  <si>
    <t>南-7-1414</t>
  </si>
  <si>
    <t>南-7-1415</t>
  </si>
  <si>
    <t>平层</t>
    <phoneticPr fontId="255" type="noConversion"/>
  </si>
  <si>
    <t>南</t>
    <phoneticPr fontId="255" type="noConversion"/>
  </si>
  <si>
    <t>南-7-1416</t>
  </si>
  <si>
    <t>南-7-1417</t>
  </si>
  <si>
    <t>南-7-1501</t>
  </si>
  <si>
    <t>南-7-1502</t>
  </si>
  <si>
    <t>南-7-1503</t>
  </si>
  <si>
    <t>南-7-1504</t>
  </si>
  <si>
    <t>南-7-1505</t>
  </si>
  <si>
    <t>南-7-1506</t>
  </si>
  <si>
    <t>南-7-1507</t>
  </si>
  <si>
    <t>南-7-1508</t>
  </si>
  <si>
    <t>南-7-1509</t>
  </si>
  <si>
    <t>南-7-1510</t>
  </si>
  <si>
    <t>南-7-1511</t>
  </si>
  <si>
    <t>南-7-1512</t>
  </si>
  <si>
    <t>南-7-1513</t>
  </si>
  <si>
    <t>南-7-1514</t>
  </si>
  <si>
    <t>南-7-1515</t>
  </si>
  <si>
    <t>南-7-1516</t>
  </si>
  <si>
    <t>南-7-1517</t>
  </si>
  <si>
    <t>南-7-1601</t>
  </si>
  <si>
    <t>南-7-1602</t>
  </si>
  <si>
    <t>南-7-1603</t>
  </si>
  <si>
    <t>南-7-1604</t>
  </si>
  <si>
    <t>南-7-1605</t>
  </si>
  <si>
    <t>南-7-1606</t>
  </si>
  <si>
    <t>南-7-1607</t>
  </si>
  <si>
    <t>南-7-1608</t>
  </si>
  <si>
    <t>南-7-1609</t>
  </si>
  <si>
    <t>南-7-1610</t>
  </si>
  <si>
    <t>南-7-1611</t>
  </si>
  <si>
    <t>南-7-1612</t>
  </si>
  <si>
    <t>南-7-1613</t>
  </si>
  <si>
    <t>南-7-1614</t>
  </si>
  <si>
    <t>南-7-1615</t>
  </si>
  <si>
    <t>南-7-1616</t>
  </si>
  <si>
    <t>南-7-1617</t>
  </si>
  <si>
    <t>南-7-1701</t>
  </si>
  <si>
    <t>南-7-1702</t>
  </si>
  <si>
    <t>南-7-1703</t>
  </si>
  <si>
    <t>南-7-1704</t>
  </si>
  <si>
    <t>南-7-1705</t>
  </si>
  <si>
    <t>南-7-1706</t>
  </si>
  <si>
    <t>南-7-1707</t>
  </si>
  <si>
    <t>南-7-1708</t>
  </si>
  <si>
    <t>南-7-1709</t>
  </si>
  <si>
    <t>南-7-1710</t>
  </si>
  <si>
    <t>南-7-1711</t>
  </si>
  <si>
    <t>南-7-1712</t>
  </si>
  <si>
    <t>南-7-1713</t>
  </si>
  <si>
    <t>南-7-1714</t>
  </si>
  <si>
    <t>南-7-1715</t>
  </si>
  <si>
    <t>南-7-1716</t>
  </si>
  <si>
    <t>南-7-1717</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</si>
  <si>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</si>
  <si>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</si>
  <si>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</si>
  <si>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</si>
  <si>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</si>
  <si>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</si>
  <si>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</si>
  <si>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</si>
  <si>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</si>
  <si>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</si>
  <si>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</si>
  <si>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</si>
  <si>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</si>
  <si>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</si>
  <si>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</si>
  <si>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</si>
  <si>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</si>
  <si>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</si>
  <si>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</si>
  <si>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</si>
  <si>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北京市昌平区沙河镇七里渠南北村土地一级开发项目QLQ-004地块B4综合性商业金融服务业用地</t>
  </si>
  <si>
    <t>北京市</t>
  </si>
  <si>
    <t>商业/办公用地</t>
  </si>
  <si>
    <t>昌平区沙河镇七里渠南北村</t>
  </si>
  <si>
    <t>挂牌</t>
  </si>
  <si>
    <t>京土整储挂(昌)[2018]040号</t>
  </si>
  <si>
    <t>B4综合性商业金融服务业用地</t>
  </si>
  <si>
    <t>2018-11-26</t>
  </si>
  <si>
    <t>时代好未来教育科技(北京)有限公司</t>
  </si>
  <si>
    <t>商业40年、办公50年</t>
  </si>
  <si>
    <t>3星</t>
  </si>
  <si>
    <t>北京市延庆区延庆新城03街区会展中心东侧地块土地一级开发项目(二期)YQ00-0003-0024地块B4综合性商业金融服务业用地</t>
  </si>
  <si>
    <t>延庆区延庆新城03街区</t>
  </si>
  <si>
    <t>招标</t>
  </si>
  <si>
    <t>京土整储招(延)[2018]041号</t>
  </si>
  <si>
    <t>2018-11-15</t>
  </si>
  <si>
    <t>大连万达商业管理集团股份有限公司</t>
  </si>
  <si>
    <t>北京市房山区长沟镇中心区FS12-0100-6022、6023等地块(北京基金小镇核心区一期)F3其他类多功能用地</t>
  </si>
  <si>
    <t>房山区长沟镇中心区北部</t>
  </si>
  <si>
    <t>京土整储招(房)[2018]011号</t>
  </si>
  <si>
    <t>F3其他类多功能用地</t>
  </si>
  <si>
    <t>2018-06-19</t>
  </si>
  <si>
    <t>北京基金小镇控股有限公司和北京基金小镇圣泉投资中心(有限合伙)联合体</t>
  </si>
  <si>
    <t>1星</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</si>
  <si>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</si>
  <si>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</si>
  <si>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</si>
  <si>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</si>
  <si>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</si>
  <si>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</si>
  <si>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5星</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</si>
  <si>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</si>
  <si>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</si>
  <si>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</si>
  <si>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</si>
  <si>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</si>
  <si>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</si>
  <si>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</si>
  <si>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</si>
  <si>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</si>
  <si>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</si>
  <si>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</si>
  <si>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2星</t>
  </si>
  <si>
    <t>北京市石景山区中关村科技园区石景山园北I区1605-636地块B23研发设计用地</t>
  </si>
  <si>
    <t>石景山区中关村科技园区石景山园北I区</t>
  </si>
  <si>
    <t>京土整储挂(石)[2017]098号</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</si>
  <si>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</si>
  <si>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</si>
  <si>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</si>
  <si>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</si>
  <si>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</si>
  <si>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京土整储挂(石)[2017]099号</t>
  </si>
  <si>
    <t>北京京石科园置业发展有限公司</t>
  </si>
  <si>
    <t>北京市平谷区金海湖镇韩庄村PG06-0100-6001、6002、6004、C-008、C-012地块B1商业用地</t>
  </si>
  <si>
    <t>平谷区金海湖镇韩庄村</t>
  </si>
  <si>
    <t>京土整储招(平)[2017]104号</t>
  </si>
  <si>
    <t>B1商业用地</t>
  </si>
  <si>
    <t>2018-01-08</t>
  </si>
  <si>
    <t>北京瑞元丰吉置业有限公司</t>
  </si>
  <si>
    <t>北京市石景山区鲁谷路1614-631地块(银河商务区L地块)B4综合性商业金融服务业用地</t>
  </si>
  <si>
    <t>石景山区鲁谷地区</t>
  </si>
  <si>
    <t>京土整储挂(石)[2017]084号</t>
  </si>
  <si>
    <t>2017-11-14</t>
  </si>
  <si>
    <t>天安人寿保险股份有限公司和北京保险产业园投资控股有限责任公司联合体</t>
  </si>
  <si>
    <t>北京市门头沟区龙泉镇MC00-0010-6004地块B2商务用地</t>
  </si>
  <si>
    <t>门头沟区龙泉镇</t>
  </si>
  <si>
    <t>京土整储挂(门)[2017]062号</t>
  </si>
  <si>
    <t>B2商务用地</t>
  </si>
  <si>
    <t>2017-09-07</t>
  </si>
  <si>
    <t>北京象地房地产开发有限公司</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</si>
  <si>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</si>
  <si>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</si>
  <si>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</si>
  <si>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</si>
  <si>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</si>
  <si>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通州区马驹桥镇YZ00-0606-0014地块</t>
  </si>
  <si>
    <t>北京通州物流基地内</t>
  </si>
  <si>
    <t>京土整储挂(通)[2017]033号</t>
  </si>
  <si>
    <t>2017-05-12</t>
  </si>
  <si>
    <t>北京北建通成国际物流有限公司</t>
  </si>
  <si>
    <t>商业40年办公50年</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</si>
  <si>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</si>
  <si>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</si>
  <si>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</si>
  <si>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</si>
  <si>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</si>
  <si>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</si>
  <si>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</si>
  <si>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</si>
  <si>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</si>
  <si>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</si>
  <si>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</si>
  <si>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大兴区黄村镇</t>
  </si>
  <si>
    <t>京土整储挂(兴)[2017]013号</t>
  </si>
  <si>
    <t>2017-04-06</t>
  </si>
  <si>
    <t>北京亚通房地产开发有限责任公司</t>
  </si>
  <si>
    <t>大兴区北臧村生物医药基地DX00-0502-0008地块</t>
  </si>
  <si>
    <t>大兴区北臧村生物医药基地</t>
  </si>
  <si>
    <t>京土整储挂(兴)[2017]008号</t>
  </si>
  <si>
    <t>2017-03-30</t>
  </si>
  <si>
    <t>北京硕日新宇投资有限公司</t>
  </si>
  <si>
    <t>大兴开发区北区1号地DX00-0301-0144地块</t>
  </si>
  <si>
    <t>京土整储挂(兴)[2016]027号</t>
  </si>
  <si>
    <t>2016-12-20</t>
  </si>
  <si>
    <t>北京筑兴房地产开发有限公司</t>
  </si>
  <si>
    <t>石景山区实兴大街(中关村科技园区石景山园北I区)1605-639、649地块</t>
  </si>
  <si>
    <t>石景山区实兴大街范围内</t>
  </si>
  <si>
    <t>京土整储挂(石)[2016]025号</t>
  </si>
  <si>
    <t>2016-12-07</t>
  </si>
  <si>
    <t>北京保险产业园投资控股有限责任公司</t>
  </si>
  <si>
    <t>石景山区实兴大街(中关村科技园区石景山园北I区)1605-637、641地块</t>
  </si>
  <si>
    <t>京土整储挂(石)[2016]024号</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</si>
  <si>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</si>
  <si>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</si>
  <si>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</si>
  <si>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</si>
  <si>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</si>
  <si>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</si>
  <si>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房山区拱辰街道FS00-LX11-0007地块</t>
  </si>
  <si>
    <t>房山区拱辰街道</t>
  </si>
  <si>
    <t>京土整储挂(房)[2016]022号</t>
  </si>
  <si>
    <t>北京旭辉合创投资有限公司</t>
  </si>
  <si>
    <t>房山区拱辰街道FS00-LX07-0097地块</t>
  </si>
  <si>
    <t>京土整储挂(房)[2016]015号</t>
  </si>
  <si>
    <t>2016-09-01</t>
  </si>
  <si>
    <t>北京龙建诚信房地产开发有限公司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</si>
  <si>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</si>
  <si>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</si>
  <si>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</si>
  <si>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</si>
  <si>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</si>
  <si>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</si>
  <si>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4星</t>
  </si>
  <si>
    <t>大兴区黄村镇兴华大街DX00-0202-0307地块</t>
  </si>
  <si>
    <t>大兴新城东片区0202街区</t>
  </si>
  <si>
    <t>京土整储挂(兴)[2016]006号</t>
  </si>
  <si>
    <t>2016-05-05</t>
  </si>
  <si>
    <t>北京中瑞凯华投资管理有限公司</t>
  </si>
  <si>
    <t>大兴区北臧村生物医药基地DX00-0501-6003地块</t>
  </si>
  <si>
    <t>京土整储挂(兴)[2016]003号</t>
  </si>
  <si>
    <t>2016-02-26</t>
  </si>
  <si>
    <t>北京绿地京城置业有限公司和北京绿地京华置业有限公司联合体</t>
  </si>
  <si>
    <t>大兴区北臧村生物医药基地DX00-0502-0013地块</t>
  </si>
  <si>
    <t>京土整储挂(兴)[2016]002号</t>
  </si>
  <si>
    <t>2016-02-23</t>
  </si>
  <si>
    <t>顺义区李桥镇SY00-0029-6012地块</t>
  </si>
  <si>
    <t>顺义区李桥镇</t>
  </si>
  <si>
    <t>京土整储挂(顺)[2015]079号</t>
  </si>
  <si>
    <t>2016-01-27</t>
  </si>
  <si>
    <t>深耕拓展投资(北京)有限公司</t>
  </si>
  <si>
    <t>郑燚</t>
  </si>
  <si>
    <t>王鹏</t>
  </si>
  <si>
    <t>抵押</t>
  </si>
  <si>
    <t>房地产抵押价值</t>
  </si>
  <si>
    <t>北京融创兴业地产有限公司</t>
    <phoneticPr fontId="6" type="noConversion"/>
  </si>
  <si>
    <t>企业</t>
  </si>
  <si>
    <t>出让</t>
  </si>
  <si>
    <t>现房</t>
  </si>
  <si>
    <t>综合项目（商业、办公）</t>
  </si>
  <si>
    <t>通路</t>
  </si>
  <si>
    <t>通电</t>
  </si>
  <si>
    <t>通讯</t>
  </si>
  <si>
    <t>通上水</t>
  </si>
  <si>
    <t>通下水</t>
  </si>
  <si>
    <t>《不动产权证书》</t>
  </si>
  <si>
    <t>复印件</t>
  </si>
  <si>
    <t>5#</t>
  </si>
  <si>
    <t>6#</t>
  </si>
  <si>
    <t>7#</t>
  </si>
  <si>
    <t>8#</t>
  </si>
  <si>
    <t>9#</t>
  </si>
  <si>
    <t>是</t>
  </si>
  <si>
    <t>地上</t>
  </si>
  <si>
    <t>底商</t>
  </si>
  <si>
    <t>平层住宅</t>
  </si>
  <si>
    <t>LOFT住宅</t>
  </si>
  <si>
    <t>平层公寓</t>
  </si>
  <si>
    <t>LOFT公寓</t>
  </si>
  <si>
    <t>成新度</t>
  </si>
  <si>
    <t>按租金收入计税</t>
  </si>
  <si>
    <t>钢混</t>
  </si>
  <si>
    <t>非生产用房</t>
  </si>
  <si>
    <t>否</t>
  </si>
  <si>
    <t>收益法（商业）</t>
  </si>
  <si>
    <t>收益法（平层公寓）</t>
  </si>
  <si>
    <t>收益法（LOFT公寓）</t>
  </si>
  <si>
    <t>收益法（LOFT公寓）</t>
    <phoneticPr fontId="16" type="noConversion"/>
  </si>
  <si>
    <t>收益法（汇总）</t>
  </si>
  <si>
    <t>项目局部</t>
  </si>
  <si>
    <t>成本法</t>
  </si>
  <si>
    <t>正常</t>
  </si>
  <si>
    <t>较规则</t>
  </si>
  <si>
    <t>较规则</t>
    <phoneticPr fontId="31" type="noConversion"/>
  </si>
  <si>
    <t>七通一平</t>
    <phoneticPr fontId="31" type="noConversion"/>
  </si>
  <si>
    <t>六通一平</t>
    <phoneticPr fontId="31" type="noConversion"/>
  </si>
  <si>
    <t>五通一平</t>
  </si>
  <si>
    <t>五通一平</t>
    <phoneticPr fontId="31" type="noConversion"/>
  </si>
  <si>
    <t>四通一平</t>
    <phoneticPr fontId="31" type="noConversion"/>
  </si>
  <si>
    <t>三通一平</t>
  </si>
  <si>
    <t>三通一平</t>
    <phoneticPr fontId="31" type="noConversion"/>
  </si>
  <si>
    <t>较好</t>
  </si>
  <si>
    <t>较好</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</si>
  <si>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</si>
  <si>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</si>
  <si>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</si>
  <si>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</si>
  <si>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</si>
  <si>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</si>
  <si>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七通</t>
  </si>
  <si>
    <t>石榴置业</t>
    <phoneticPr fontId="31" type="noConversion"/>
  </si>
  <si>
    <t>一般</t>
  </si>
  <si>
    <t>否</t>
    <phoneticPr fontId="31" type="noConversion"/>
  </si>
  <si>
    <t>是否需自持</t>
    <phoneticPr fontId="31" type="noConversion"/>
  </si>
  <si>
    <t>是</t>
    <phoneticPr fontId="31" type="noConversion"/>
  </si>
  <si>
    <t>是</t>
    <phoneticPr fontId="31" type="noConversion"/>
  </si>
  <si>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</si>
  <si>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</si>
  <si>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</si>
  <si>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</si>
  <si>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</si>
  <si>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</si>
  <si>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北京市丰台区丽泽金融商务区南区F-22、F-23地块F3其他类多功能用地</t>
  </si>
  <si>
    <t>丰台区卢沟桥乡</t>
  </si>
  <si>
    <t>京土整储招(丰)[2018]014号</t>
  </si>
  <si>
    <t>2018-07-06</t>
  </si>
  <si>
    <t>中证机构间报价系统股份有限公司和中国银河证券股份有限公司联合体</t>
  </si>
  <si>
    <t>北京市海淀区西八里庄0711-653地块B4综合性商业金融服务业用地</t>
  </si>
  <si>
    <t>海淀区玲珑巷地区</t>
  </si>
  <si>
    <t>京土整储挂(海)[2017]087号</t>
  </si>
  <si>
    <t>2017-11-16</t>
  </si>
  <si>
    <t>中国电子科技集团公司</t>
  </si>
  <si>
    <t>北京市丰台区丽泽金融商务区南区D-02地块B4综合性商业金融服务业用地</t>
  </si>
  <si>
    <t>京土整储挂(丰)[2017]085号</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</si>
  <si>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</si>
  <si>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</si>
  <si>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</si>
  <si>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</si>
  <si>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</si>
  <si>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朝阳区金盏乡楼梓庄村1113-602地块</t>
  </si>
  <si>
    <t>东至规划金盏服务区东二路西红线,南至规划金盏服务区六街北红线,西至规划东高路东红线,北至规划楼梓庄大街南红线</t>
  </si>
  <si>
    <t>京土整储挂(朝)[2017]016号</t>
  </si>
  <si>
    <t>2017-04-14</t>
  </si>
  <si>
    <t>京土整储挂(平)[2017]016号</t>
  </si>
  <si>
    <t>天津金地华府置业有限公司</t>
  </si>
  <si>
    <t>商业40年*办公50年</t>
  </si>
  <si>
    <t>朝阳区孙河乡西甸村2902-71地块</t>
  </si>
  <si>
    <t>东至规划2902-73地块,*西至规划孙河组团六号路,南至规划孙河组团十号路,北至规划孙河组团九号路</t>
  </si>
  <si>
    <t>京土整储招(朝)[2017]019号</t>
  </si>
  <si>
    <t>2017-04-11</t>
  </si>
  <si>
    <t>北京亚通房地产开发有限责任公司和北京城建兴华地产有限公司联合体</t>
  </si>
  <si>
    <t>朝阳区金盏乡楼梓庄村1113-603地块</t>
  </si>
  <si>
    <t>朝阳区金盏乡楼梓庄村</t>
  </si>
  <si>
    <t>京土整储挂(朝)[2017]006号</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</si>
  <si>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</si>
  <si>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</si>
  <si>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</si>
  <si>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</si>
  <si>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海淀区“海淀北部地区整体开发”中关村环保科技园HD-0303-0071地块</t>
  </si>
  <si>
    <t>“海淀北部地区整体开发”范围内</t>
  </si>
  <si>
    <t>京土整储挂(海)[2016]009号</t>
  </si>
  <si>
    <t>2016-06-02</t>
  </si>
  <si>
    <t>北京龙湖中佰置业有限公司和北京龙湖天行置业有限公司联合体</t>
  </si>
  <si>
    <t>朝阳区北土城中路北侧OS-06A、OS-10B地块</t>
  </si>
  <si>
    <t>朝阳区北土城中路北侧</t>
  </si>
  <si>
    <t>京土整储招(朝)[2015]081号</t>
  </si>
  <si>
    <t>2016-01-26</t>
  </si>
  <si>
    <t>北京城建投资发展股份有限公司和北京新奥集团有限公司联合体</t>
  </si>
  <si>
    <t>大兴区北臧村生物医药基地DX00-0501-0010地块</t>
  </si>
  <si>
    <t>京土整储挂(兴)[2015]074号</t>
  </si>
  <si>
    <t>2015-12-23</t>
  </si>
  <si>
    <t>大兴区北臧村生物医药基地DX00-0501-0009地块</t>
  </si>
  <si>
    <t>京土整储挂(兴)[2015]073号</t>
  </si>
  <si>
    <t>怀柔区怀柔新城13街区HR00-0013-6005地块</t>
  </si>
  <si>
    <t>怀柔区北房镇,怀柔新城13街区中部</t>
  </si>
  <si>
    <t>京土整储招(怀)[2015]069号</t>
  </si>
  <si>
    <t>2015-12-15</t>
  </si>
  <si>
    <t>北京中关村微纳能源投资有限公司</t>
  </si>
  <si>
    <t>石景山区苹果园交通枢纽M、N地块</t>
  </si>
  <si>
    <t>石景山区苹果园</t>
  </si>
  <si>
    <t>京土整储挂(石)[2015]061号</t>
  </si>
  <si>
    <t>2015-11-23</t>
  </si>
  <si>
    <t>北京市华远置业有限公司和北京上同致远房地产开发有限公司联合体</t>
  </si>
  <si>
    <t>昌平区北七家镇(未来科技城南区)CP07-0600-0005、0026地块</t>
  </si>
  <si>
    <t>昌平区北七家镇</t>
  </si>
  <si>
    <t>京土整储挂(昌)[2015]060号</t>
  </si>
  <si>
    <t>2015-11-19</t>
  </si>
  <si>
    <t>北京世博宏业房地产开发有限公司、北京和筑房地产开发有限公司和北京未来科技城昌远置业有限公司联合体</t>
  </si>
  <si>
    <t>海淀区“海淀北部地区整体开发”HD-0303-0031地块</t>
  </si>
  <si>
    <t>海淀区“海淀北部地区整体开发”范围内</t>
  </si>
  <si>
    <t>京土整储挂(海)[2015]044号</t>
  </si>
  <si>
    <t>2015-10-28</t>
  </si>
  <si>
    <t>神州数码软件有限公司和神州数码(中国)有限公司联合体</t>
  </si>
  <si>
    <t>海淀区“海淀北部地区整体开发”HD-0303-0062地块</t>
  </si>
  <si>
    <t>京土整储挂(海)[2015]042号</t>
  </si>
  <si>
    <t>B2商务用地用地</t>
  </si>
  <si>
    <t>2015-10-27</t>
  </si>
  <si>
    <t>北京万科企业有限公司</t>
  </si>
  <si>
    <t>石景山区实兴大街(中关村科技园区石景山园北Ⅰ区)1605-648地块</t>
  </si>
  <si>
    <t>石景山区实兴大街</t>
  </si>
  <si>
    <t>京土整储挂(石)[2015]043号</t>
  </si>
  <si>
    <t>丰台区花乡四合庄(中关村科技园丰台园东区三期)1516-28-B地块</t>
  </si>
  <si>
    <t>丰台区花乡四合庄</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</si>
  <si>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</si>
  <si>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</si>
  <si>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</si>
  <si>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</si>
  <si>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</si>
  <si>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</si>
  <si>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</si>
  <si>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</si>
  <si>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</si>
  <si>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龙湖</t>
    <phoneticPr fontId="31" type="noConversion"/>
  </si>
  <si>
    <t>房山线良乡大学城北站</t>
    <phoneticPr fontId="31" type="noConversion"/>
  </si>
  <si>
    <t>良乡东路</t>
    <phoneticPr fontId="31" type="noConversion"/>
  </si>
  <si>
    <t>代建公交场站2116平方米</t>
    <phoneticPr fontId="31" type="noConversion"/>
  </si>
  <si>
    <t>良乡中路</t>
    <phoneticPr fontId="31" type="noConversion"/>
  </si>
  <si>
    <t>未包含在土地购买价格中</t>
  </si>
  <si>
    <t>已包含在土地取得成本中</t>
  </si>
  <si>
    <t>成本比率</t>
  </si>
  <si>
    <r>
      <rPr>
        <b/>
        <sz val="11"/>
        <rFont val="宋体"/>
        <family val="3"/>
        <charset val="134"/>
      </rPr>
      <t>自持</t>
    </r>
    <r>
      <rPr>
        <b/>
        <sz val="11"/>
        <rFont val="Arial"/>
        <family val="2"/>
      </rPr>
      <t>50%</t>
    </r>
    <r>
      <rPr>
        <b/>
        <sz val="11"/>
        <rFont val="宋体"/>
        <family val="3"/>
        <charset val="134"/>
      </rPr>
      <t>、持有</t>
    </r>
    <r>
      <rPr>
        <b/>
        <sz val="11"/>
        <rFont val="Arial"/>
        <family val="2"/>
      </rPr>
      <t>20</t>
    </r>
    <r>
      <rPr>
        <b/>
        <sz val="11"/>
        <rFont val="宋体"/>
        <family val="3"/>
        <charset val="134"/>
      </rPr>
      <t>年</t>
    </r>
    <phoneticPr fontId="31" type="noConversion"/>
  </si>
  <si>
    <r>
      <rPr>
        <b/>
        <sz val="11"/>
        <rFont val="宋体"/>
        <family val="3"/>
        <charset val="134"/>
      </rPr>
      <t>代建银行</t>
    </r>
    <r>
      <rPr>
        <b/>
        <sz val="11"/>
        <rFont val="Arial"/>
        <family val="2"/>
      </rPr>
      <t>1600</t>
    </r>
    <r>
      <rPr>
        <b/>
        <sz val="11"/>
        <rFont val="宋体"/>
        <family val="3"/>
        <charset val="134"/>
      </rPr>
      <t>平方米</t>
    </r>
    <phoneticPr fontId="31" type="noConversion"/>
  </si>
  <si>
    <r>
      <rPr>
        <sz val="12"/>
        <color theme="9" tint="-0.249977111117893"/>
        <rFont val="宋体"/>
        <family val="3"/>
        <charset val="134"/>
      </rPr>
      <t>门头沟区新城东街</t>
    </r>
    <r>
      <rPr>
        <sz val="12"/>
        <color theme="9" tint="-0.249977111117893"/>
        <rFont val="Arial"/>
        <family val="2"/>
      </rPr>
      <t>19</t>
    </r>
    <r>
      <rPr>
        <sz val="12"/>
        <color theme="9" tint="-0.249977111117893"/>
        <rFont val="宋体"/>
        <family val="3"/>
        <charset val="134"/>
      </rPr>
      <t>号院“西长安街壹号”综合项目房地产</t>
    </r>
    <phoneticPr fontId="6" type="noConversion"/>
  </si>
  <si>
    <t>商业、商务办公</t>
  </si>
  <si>
    <t>商业、商务办公</t>
    <phoneticPr fontId="6" type="noConversion"/>
  </si>
  <si>
    <r>
      <rPr>
        <sz val="12"/>
        <color theme="9" tint="-0.249977111117893"/>
        <rFont val="宋体"/>
        <family val="3"/>
        <charset val="134"/>
      </rPr>
      <t>商业</t>
    </r>
    <r>
      <rPr>
        <sz val="12"/>
        <color theme="9" tint="-0.249977111117893"/>
        <rFont val="Arial"/>
        <family val="2"/>
      </rPr>
      <t>35</t>
    </r>
    <r>
      <rPr>
        <sz val="12"/>
        <color theme="9" tint="-0.249977111117893"/>
        <rFont val="宋体"/>
        <family val="3"/>
        <charset val="134"/>
      </rPr>
      <t>年、商务办公</t>
    </r>
    <r>
      <rPr>
        <sz val="12"/>
        <color theme="9" tint="-0.249977111117893"/>
        <rFont val="Arial"/>
        <family val="2"/>
      </rPr>
      <t>45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</si>
  <si>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）门不动产权第</t>
    </r>
    <r>
      <rPr>
        <sz val="12"/>
        <color theme="9" tint="-0.249977111117893"/>
        <rFont val="Arial"/>
        <family val="2"/>
      </rPr>
      <t>0014528</t>
    </r>
    <r>
      <rPr>
        <sz val="12"/>
        <color theme="9" tint="-0.249977111117893"/>
        <rFont val="宋体"/>
        <family val="3"/>
        <charset val="134"/>
      </rPr>
      <t>、</t>
    </r>
    <r>
      <rPr>
        <sz val="12"/>
        <color theme="9" tint="-0.249977111117893"/>
        <rFont val="Arial"/>
        <family val="2"/>
      </rPr>
      <t>0014526</t>
    </r>
    <r>
      <rPr>
        <sz val="12"/>
        <color theme="9" tint="-0.249977111117893"/>
        <rFont val="宋体"/>
        <family val="3"/>
        <charset val="134"/>
      </rPr>
      <t>、</t>
    </r>
    <r>
      <rPr>
        <sz val="12"/>
        <color theme="9" tint="-0.249977111117893"/>
        <rFont val="Arial"/>
        <family val="2"/>
      </rPr>
      <t>0014519</t>
    </r>
    <r>
      <rPr>
        <sz val="12"/>
        <color theme="9" tint="-0.249977111117893"/>
        <rFont val="宋体"/>
        <family val="3"/>
        <charset val="134"/>
      </rPr>
      <t>、</t>
    </r>
    <r>
      <rPr>
        <sz val="12"/>
        <color theme="9" tint="-0.249977111117893"/>
        <rFont val="Arial"/>
        <family val="2"/>
      </rPr>
      <t>0014518</t>
    </r>
    <r>
      <rPr>
        <sz val="12"/>
        <color theme="9" tint="-0.249977111117893"/>
        <rFont val="宋体"/>
        <family val="3"/>
        <charset val="134"/>
      </rPr>
      <t>、</t>
    </r>
    <r>
      <rPr>
        <sz val="12"/>
        <color theme="9" tint="-0.249977111117893"/>
        <rFont val="Arial"/>
        <family val="2"/>
      </rPr>
      <t>0014517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、《未售清单》</t>
    </r>
    <phoneticPr fontId="6" type="noConversion"/>
  </si>
  <si>
    <t>房型</t>
    <phoneticPr fontId="3" type="noConversion"/>
  </si>
  <si>
    <t>装修</t>
    <phoneticPr fontId="3" type="noConversion"/>
  </si>
  <si>
    <t>已注销</t>
  </si>
  <si>
    <t>中粮信托有限责任公司</t>
    <phoneticPr fontId="6" type="noConversion"/>
  </si>
  <si>
    <t>时间</t>
  </si>
  <si>
    <t>楼栋号</t>
  </si>
  <si>
    <t>单元号</t>
  </si>
  <si>
    <t>房间号</t>
  </si>
  <si>
    <t>许可证号</t>
  </si>
  <si>
    <t>物业类型</t>
  </si>
  <si>
    <t>户型</t>
  </si>
  <si>
    <t>成交面积(㎡)</t>
  </si>
  <si>
    <t>成交金额(万元)</t>
  </si>
  <si>
    <t>成交单价(元 /㎡)</t>
  </si>
  <si>
    <t>2019-01-15</t>
  </si>
  <si>
    <t>4#商业楼</t>
  </si>
  <si>
    <t>京房售证字(2018)59号</t>
  </si>
  <si>
    <t>其他</t>
  </si>
  <si>
    <t>2018-12-28</t>
  </si>
  <si>
    <t>1#商务办公及商业楼</t>
  </si>
  <si>
    <t>1-111</t>
  </si>
  <si>
    <t>京房售证字(2017)180号</t>
  </si>
  <si>
    <t>96</t>
  </si>
  <si>
    <t>403.22</t>
  </si>
  <si>
    <t>41989</t>
  </si>
  <si>
    <t>1-904</t>
  </si>
  <si>
    <t>写字楼</t>
  </si>
  <si>
    <t>159</t>
  </si>
  <si>
    <t>413.16</t>
  </si>
  <si>
    <t>25962</t>
  </si>
  <si>
    <t>1-112</t>
  </si>
  <si>
    <t>77</t>
  </si>
  <si>
    <t>346.19</t>
  </si>
  <si>
    <t>45129</t>
  </si>
  <si>
    <t>1-901</t>
  </si>
  <si>
    <t>410.35</t>
  </si>
  <si>
    <t>25773</t>
  </si>
  <si>
    <t>1-109</t>
  </si>
  <si>
    <t>100</t>
  </si>
  <si>
    <t>436.76</t>
  </si>
  <si>
    <t>43584</t>
  </si>
  <si>
    <t>1-902</t>
  </si>
  <si>
    <t>106</t>
  </si>
  <si>
    <t>295.99</t>
  </si>
  <si>
    <t>27847</t>
  </si>
  <si>
    <t>1-110</t>
  </si>
  <si>
    <t>97</t>
  </si>
  <si>
    <t>422.74</t>
  </si>
  <si>
    <t>43671</t>
  </si>
  <si>
    <t>1-903</t>
  </si>
  <si>
    <t>2018-12-17</t>
  </si>
  <si>
    <t>301</t>
  </si>
  <si>
    <t>596</t>
  </si>
  <si>
    <t>2380.07</t>
  </si>
  <si>
    <t>39944</t>
  </si>
  <si>
    <t>2018-11-30</t>
  </si>
  <si>
    <t>326.24</t>
  </si>
  <si>
    <t>30693</t>
  </si>
  <si>
    <t>2018-11-23</t>
  </si>
  <si>
    <t>327.49</t>
  </si>
  <si>
    <t>30811</t>
  </si>
  <si>
    <t>2018-11-16</t>
  </si>
  <si>
    <t>453.92</t>
  </si>
  <si>
    <t>28509</t>
  </si>
  <si>
    <t>2018-10-25</t>
  </si>
  <si>
    <t>1-2402</t>
  </si>
  <si>
    <t>341.25</t>
  </si>
  <si>
    <t>32105</t>
  </si>
  <si>
    <t>2018-10-23</t>
  </si>
  <si>
    <t>1-2304</t>
  </si>
  <si>
    <t>475.52</t>
  </si>
  <si>
    <t>29881</t>
  </si>
  <si>
    <t>1-2303</t>
  </si>
  <si>
    <t>341.03</t>
  </si>
  <si>
    <t>32085</t>
  </si>
  <si>
    <t>2018-10-21</t>
  </si>
  <si>
    <t>1-1301</t>
  </si>
  <si>
    <t>440.38</t>
  </si>
  <si>
    <t>27658</t>
  </si>
  <si>
    <t>2018-09-03</t>
  </si>
  <si>
    <t>444.24</t>
  </si>
  <si>
    <t>27901</t>
  </si>
  <si>
    <t>447.02</t>
  </si>
  <si>
    <t>28090</t>
  </si>
  <si>
    <t>321.53</t>
  </si>
  <si>
    <t>30250</t>
  </si>
  <si>
    <t>2018-09-02</t>
  </si>
  <si>
    <t>467.57</t>
  </si>
  <si>
    <t>29381</t>
  </si>
  <si>
    <t>464.76</t>
  </si>
  <si>
    <t>29190</t>
  </si>
  <si>
    <t>335.49</t>
  </si>
  <si>
    <t>31563</t>
  </si>
  <si>
    <t>439.17</t>
  </si>
  <si>
    <t>27583</t>
  </si>
  <si>
    <t>2018-09-01</t>
  </si>
  <si>
    <t>435.72</t>
  </si>
  <si>
    <t>27366</t>
  </si>
  <si>
    <t>2018-08-31</t>
  </si>
  <si>
    <t>NULL</t>
  </si>
  <si>
    <t>315.19</t>
  </si>
  <si>
    <t>29654</t>
  </si>
  <si>
    <t>2018-08-28</t>
  </si>
  <si>
    <t>456.65</t>
  </si>
  <si>
    <t>28695</t>
  </si>
  <si>
    <t>2018-08-24</t>
  </si>
  <si>
    <t>2#商业楼</t>
  </si>
  <si>
    <t>101</t>
  </si>
  <si>
    <t>京房售证字(2018)38号</t>
  </si>
  <si>
    <t>552</t>
  </si>
  <si>
    <t>2844.24</t>
  </si>
  <si>
    <t>51508</t>
  </si>
  <si>
    <t>1-1004</t>
  </si>
  <si>
    <t>433.81</t>
  </si>
  <si>
    <t>27260</t>
  </si>
  <si>
    <t>1-1003</t>
  </si>
  <si>
    <t>313.19</t>
  </si>
  <si>
    <t>29466</t>
  </si>
  <si>
    <t>1-1303</t>
  </si>
  <si>
    <t>313.07</t>
  </si>
  <si>
    <t>29455</t>
  </si>
  <si>
    <t>2018-08-23</t>
  </si>
  <si>
    <t>1-301</t>
  </si>
  <si>
    <t>408.32</t>
  </si>
  <si>
    <t>25645</t>
  </si>
  <si>
    <t>685</t>
  </si>
  <si>
    <t>2058.33</t>
  </si>
  <si>
    <t>30046</t>
  </si>
  <si>
    <t>2018-08-21</t>
  </si>
  <si>
    <t>1-1304</t>
  </si>
  <si>
    <t>434.36</t>
  </si>
  <si>
    <t>27294</t>
  </si>
  <si>
    <t>2018-08-20</t>
  </si>
  <si>
    <t>401</t>
  </si>
  <si>
    <t>620</t>
  </si>
  <si>
    <t>2413.02</t>
  </si>
  <si>
    <t>38940</t>
  </si>
  <si>
    <t>2018-08-18</t>
  </si>
  <si>
    <t>319.67</t>
  </si>
  <si>
    <t>30075</t>
  </si>
  <si>
    <t>2018-08-12</t>
  </si>
  <si>
    <t>1-701</t>
  </si>
  <si>
    <t>421.26</t>
  </si>
  <si>
    <t>26457</t>
  </si>
  <si>
    <t>2018-07-30</t>
  </si>
  <si>
    <t>160</t>
  </si>
  <si>
    <t>413.7</t>
  </si>
  <si>
    <t>25882</t>
  </si>
  <si>
    <t>413.5</t>
  </si>
  <si>
    <t>25883</t>
  </si>
  <si>
    <t>107</t>
  </si>
  <si>
    <t>315.94</t>
  </si>
  <si>
    <t>29610</t>
  </si>
  <si>
    <t>313.84</t>
  </si>
  <si>
    <t>29413</t>
  </si>
  <si>
    <t>311.74</t>
  </si>
  <si>
    <t>29217</t>
  </si>
  <si>
    <t>309.64</t>
  </si>
  <si>
    <t>29020</t>
  </si>
  <si>
    <t>307.55</t>
  </si>
  <si>
    <t>28823</t>
  </si>
  <si>
    <t>305.45</t>
  </si>
  <si>
    <t>28627</t>
  </si>
  <si>
    <t>303.35</t>
  </si>
  <si>
    <t>28430</t>
  </si>
  <si>
    <t>301.25</t>
  </si>
  <si>
    <t>28234</t>
  </si>
  <si>
    <t>299.15</t>
  </si>
  <si>
    <t>28037</t>
  </si>
  <si>
    <t>297.06</t>
  </si>
  <si>
    <t>27840</t>
  </si>
  <si>
    <t>294.96</t>
  </si>
  <si>
    <t>27644</t>
  </si>
  <si>
    <t>292.86</t>
  </si>
  <si>
    <t>27447</t>
  </si>
  <si>
    <t>326.43</t>
  </si>
  <si>
    <t>30593</t>
  </si>
  <si>
    <t>324.33</t>
  </si>
  <si>
    <t>30397</t>
  </si>
  <si>
    <t>322.23</t>
  </si>
  <si>
    <t>30200</t>
  </si>
  <si>
    <t>320.13</t>
  </si>
  <si>
    <t>30003</t>
  </si>
  <si>
    <t>318.04</t>
  </si>
  <si>
    <t>29807</t>
  </si>
  <si>
    <t>451.42</t>
  </si>
  <si>
    <t>28242</t>
  </si>
  <si>
    <t>451.2</t>
  </si>
  <si>
    <t>448.27</t>
  </si>
  <si>
    <t>28045</t>
  </si>
  <si>
    <t>448.06</t>
  </si>
  <si>
    <t>28046</t>
  </si>
  <si>
    <t>280.27</t>
  </si>
  <si>
    <t>26267</t>
  </si>
  <si>
    <t>410.56</t>
  </si>
  <si>
    <t>25686</t>
  </si>
  <si>
    <t>410.36</t>
  </si>
  <si>
    <t>407.42</t>
  </si>
  <si>
    <t>25489</t>
  </si>
  <si>
    <t>407.22</t>
  </si>
  <si>
    <t>404.27</t>
  </si>
  <si>
    <t>25292</t>
  </si>
  <si>
    <t>404.08</t>
  </si>
  <si>
    <t>25293</t>
  </si>
  <si>
    <t>401.13</t>
  </si>
  <si>
    <t>25096</t>
  </si>
  <si>
    <t>400.93</t>
  </si>
  <si>
    <t>397.99</t>
  </si>
  <si>
    <t>24899</t>
  </si>
  <si>
    <t>374.41</t>
  </si>
  <si>
    <t>23424</t>
  </si>
  <si>
    <t>374.23</t>
  </si>
  <si>
    <t>23425</t>
  </si>
  <si>
    <t>372.84</t>
  </si>
  <si>
    <t>23326</t>
  </si>
  <si>
    <t>372.66</t>
  </si>
  <si>
    <t>438.85</t>
  </si>
  <si>
    <t>27455</t>
  </si>
  <si>
    <t>438.63</t>
  </si>
  <si>
    <t>27456</t>
  </si>
  <si>
    <t>435.7</t>
  </si>
  <si>
    <t>27259</t>
  </si>
  <si>
    <t>435.49</t>
  </si>
  <si>
    <t>379.13</t>
  </si>
  <si>
    <t>23719</t>
  </si>
  <si>
    <t>378.94</t>
  </si>
  <si>
    <t>23720</t>
  </si>
  <si>
    <t>290.76</t>
  </si>
  <si>
    <t>27250</t>
  </si>
  <si>
    <t>288.66</t>
  </si>
  <si>
    <t>27054</t>
  </si>
  <si>
    <t>286.57</t>
  </si>
  <si>
    <t>26857</t>
  </si>
  <si>
    <t>284.47</t>
  </si>
  <si>
    <t>26660</t>
  </si>
  <si>
    <t>282.37</t>
  </si>
  <si>
    <t>26464</t>
  </si>
  <si>
    <t>328.53</t>
  </si>
  <si>
    <t>30790</t>
  </si>
  <si>
    <t>432.56</t>
  </si>
  <si>
    <t>27062</t>
  </si>
  <si>
    <t>432.35</t>
  </si>
  <si>
    <t>429.42</t>
  </si>
  <si>
    <t>26865</t>
  </si>
  <si>
    <t>429.21</t>
  </si>
  <si>
    <t>26866</t>
  </si>
  <si>
    <t>426.27</t>
  </si>
  <si>
    <t>26669</t>
  </si>
  <si>
    <t>426.07</t>
  </si>
  <si>
    <t>397.79</t>
  </si>
  <si>
    <t>394.84</t>
  </si>
  <si>
    <t>24702</t>
  </si>
  <si>
    <t>394.65</t>
  </si>
  <si>
    <t>24703</t>
  </si>
  <si>
    <t>391.7</t>
  </si>
  <si>
    <t>24506</t>
  </si>
  <si>
    <t>391.51</t>
  </si>
  <si>
    <t>388.56</t>
  </si>
  <si>
    <t>24309</t>
  </si>
  <si>
    <t>388.37</t>
  </si>
  <si>
    <t>24310</t>
  </si>
  <si>
    <t>385.42</t>
  </si>
  <si>
    <t>24113</t>
  </si>
  <si>
    <t>385.23</t>
  </si>
  <si>
    <t>382.27</t>
  </si>
  <si>
    <t>23916</t>
  </si>
  <si>
    <t>382.09</t>
  </si>
  <si>
    <t>277.12</t>
  </si>
  <si>
    <t>25972</t>
  </si>
  <si>
    <t>276.08</t>
  </si>
  <si>
    <t>25874</t>
  </si>
  <si>
    <t>445.13</t>
  </si>
  <si>
    <t>27849</t>
  </si>
  <si>
    <t>444.91</t>
  </si>
  <si>
    <t>441.99</t>
  </si>
  <si>
    <t>27652</t>
  </si>
  <si>
    <t>441.77</t>
  </si>
  <si>
    <t>423.13</t>
  </si>
  <si>
    <t>26472</t>
  </si>
  <si>
    <t>422.92</t>
  </si>
  <si>
    <t>419.99</t>
  </si>
  <si>
    <t>26276</t>
  </si>
  <si>
    <t>419.78</t>
  </si>
  <si>
    <t>416.84</t>
  </si>
  <si>
    <t>26079</t>
  </si>
  <si>
    <t>416.64</t>
  </si>
  <si>
    <t>2018-07-28</t>
  </si>
  <si>
    <t>415.74</t>
  </si>
  <si>
    <t>26111</t>
  </si>
  <si>
    <t>2018-06-30</t>
  </si>
  <si>
    <t>287.52</t>
  </si>
  <si>
    <t>27051</t>
  </si>
  <si>
    <t>400.85</t>
  </si>
  <si>
    <t>25176</t>
  </si>
  <si>
    <t>400.49</t>
  </si>
  <si>
    <t>25166</t>
  </si>
  <si>
    <t>397.68</t>
  </si>
  <si>
    <t>24977</t>
  </si>
  <si>
    <t>403.65</t>
  </si>
  <si>
    <t>25365</t>
  </si>
  <si>
    <t>299.58</t>
  </si>
  <si>
    <t>28185</t>
  </si>
  <si>
    <t>289.64</t>
  </si>
  <si>
    <t>2018-06-28</t>
  </si>
  <si>
    <t>415.19</t>
  </si>
  <si>
    <t>26090</t>
  </si>
  <si>
    <t>2018-06-26</t>
  </si>
  <si>
    <t>318.4</t>
  </si>
  <si>
    <t>29956</t>
  </si>
  <si>
    <t>27774</t>
  </si>
  <si>
    <t>2018-06-20</t>
  </si>
  <si>
    <t>775.72</t>
  </si>
  <si>
    <t>73472</t>
  </si>
  <si>
    <t>2018-06-13</t>
  </si>
  <si>
    <t>326.14</t>
  </si>
  <si>
    <t>30684</t>
  </si>
  <si>
    <t>453.2</t>
  </si>
  <si>
    <t>28478</t>
  </si>
  <si>
    <t>450.35</t>
  </si>
  <si>
    <t>28285</t>
  </si>
  <si>
    <t>297.62</t>
  </si>
  <si>
    <t>28001</t>
  </si>
  <si>
    <t>2018-06-07</t>
  </si>
  <si>
    <t>417.06</t>
  </si>
  <si>
    <t>26207</t>
  </si>
  <si>
    <t>302.24</t>
  </si>
  <si>
    <t>28436</t>
  </si>
  <si>
    <t>2018-06-05</t>
  </si>
  <si>
    <t>412.48</t>
  </si>
  <si>
    <t>25906</t>
  </si>
  <si>
    <t>2018-05-31</t>
  </si>
  <si>
    <t>1-139</t>
  </si>
  <si>
    <t>64</t>
  </si>
  <si>
    <t>412.79</t>
  </si>
  <si>
    <t>64680</t>
  </si>
  <si>
    <t>1-140</t>
  </si>
  <si>
    <t>60</t>
  </si>
  <si>
    <t>389.44</t>
  </si>
  <si>
    <t>65245</t>
  </si>
  <si>
    <t>1-402</t>
  </si>
  <si>
    <t>2018-05-28</t>
  </si>
  <si>
    <t>1-702</t>
  </si>
  <si>
    <t>297.39</t>
  </si>
  <si>
    <t>27979</t>
  </si>
  <si>
    <t>2018-05-26</t>
  </si>
  <si>
    <t>1-1204</t>
  </si>
  <si>
    <t>422.62</t>
  </si>
  <si>
    <t>26556</t>
  </si>
  <si>
    <t>1-1201</t>
  </si>
  <si>
    <t>419.88</t>
  </si>
  <si>
    <t>26371</t>
  </si>
  <si>
    <t>1-1202</t>
  </si>
  <si>
    <t>304.77</t>
  </si>
  <si>
    <t>28674</t>
  </si>
  <si>
    <t>1-1203</t>
  </si>
  <si>
    <t>2018-05-22</t>
  </si>
  <si>
    <t>1-1001</t>
  </si>
  <si>
    <t>448.82</t>
  </si>
  <si>
    <t>28188</t>
  </si>
  <si>
    <t>2018-05-21</t>
  </si>
  <si>
    <t>1-223</t>
  </si>
  <si>
    <t>89</t>
  </si>
  <si>
    <t>540.32</t>
  </si>
  <si>
    <t>60888</t>
  </si>
  <si>
    <t>1-222</t>
  </si>
  <si>
    <t>87</t>
  </si>
  <si>
    <t>527.42</t>
  </si>
  <si>
    <t>60818</t>
  </si>
  <si>
    <t>2018-05-20</t>
  </si>
  <si>
    <t>1-210</t>
  </si>
  <si>
    <t>53</t>
  </si>
  <si>
    <t>284.01</t>
  </si>
  <si>
    <t>53436</t>
  </si>
  <si>
    <t>2018-05-02</t>
  </si>
  <si>
    <t>1-211</t>
  </si>
  <si>
    <t>57</t>
  </si>
  <si>
    <t>298.14</t>
  </si>
  <si>
    <t>52629</t>
  </si>
  <si>
    <t>2018-04-30</t>
  </si>
  <si>
    <t>1-213</t>
  </si>
  <si>
    <t>72</t>
  </si>
  <si>
    <t>467.8</t>
  </si>
  <si>
    <t>64981</t>
  </si>
  <si>
    <t>1-117</t>
  </si>
  <si>
    <t>179</t>
  </si>
  <si>
    <t>754.95</t>
  </si>
  <si>
    <t>42148</t>
  </si>
  <si>
    <t>1-212</t>
  </si>
  <si>
    <t>62</t>
  </si>
  <si>
    <t>343.88</t>
  </si>
  <si>
    <t>55491</t>
  </si>
  <si>
    <t>1-216</t>
  </si>
  <si>
    <t>50</t>
  </si>
  <si>
    <t>297.27</t>
  </si>
  <si>
    <t>59898</t>
  </si>
  <si>
    <t>1-401</t>
  </si>
  <si>
    <t>414.17</t>
  </si>
  <si>
    <t>26012</t>
  </si>
  <si>
    <t>2018-04-29</t>
  </si>
  <si>
    <t>1-115</t>
  </si>
  <si>
    <t>174</t>
  </si>
  <si>
    <t>682.84</t>
  </si>
  <si>
    <t>39298</t>
  </si>
  <si>
    <t>2018-04-28</t>
  </si>
  <si>
    <t>1-304</t>
  </si>
  <si>
    <t>410.45</t>
  </si>
  <si>
    <t>25792</t>
  </si>
  <si>
    <t>1-302</t>
  </si>
  <si>
    <t>295</t>
  </si>
  <si>
    <t>27755</t>
  </si>
  <si>
    <t>1-303</t>
  </si>
  <si>
    <t>1-133</t>
  </si>
  <si>
    <t>68</t>
  </si>
  <si>
    <t>357.59</t>
  </si>
  <si>
    <t>52448</t>
  </si>
  <si>
    <t>2018-04-27</t>
  </si>
  <si>
    <t>1-704</t>
  </si>
  <si>
    <t>424.12</t>
  </si>
  <si>
    <t>26651</t>
  </si>
  <si>
    <t>1-703</t>
  </si>
  <si>
    <t>306.71</t>
  </si>
  <si>
    <t>28856</t>
  </si>
  <si>
    <t>2018-04-26</t>
  </si>
  <si>
    <t>1-802</t>
  </si>
  <si>
    <t>308.87</t>
  </si>
  <si>
    <t>29059</t>
  </si>
  <si>
    <t>1-803</t>
  </si>
  <si>
    <t>321.68</t>
  </si>
  <si>
    <t>30264</t>
  </si>
  <si>
    <t>2018-04-22</t>
  </si>
  <si>
    <t>1-116</t>
  </si>
  <si>
    <t>176</t>
  </si>
  <si>
    <t>670.03</t>
  </si>
  <si>
    <t>38104</t>
  </si>
  <si>
    <t>1-804</t>
  </si>
  <si>
    <t>427.35</t>
  </si>
  <si>
    <t>26854</t>
  </si>
  <si>
    <t>2018-04-12</t>
  </si>
  <si>
    <t>1-1503</t>
  </si>
  <si>
    <t>320.74</t>
  </si>
  <si>
    <t>30176</t>
  </si>
  <si>
    <t>1-1502</t>
  </si>
  <si>
    <t>1-1501</t>
  </si>
  <si>
    <t>442.65</t>
  </si>
  <si>
    <t>27801</t>
  </si>
  <si>
    <t>1-1504</t>
  </si>
  <si>
    <t>445.47</t>
  </si>
  <si>
    <t>27992</t>
  </si>
  <si>
    <t>2018-03-21</t>
  </si>
  <si>
    <t>1-107</t>
  </si>
  <si>
    <t>112</t>
  </si>
  <si>
    <t>622.55</t>
  </si>
  <si>
    <t>55624</t>
  </si>
  <si>
    <t>1-108</t>
  </si>
  <si>
    <t>889.66</t>
  </si>
  <si>
    <t>50624</t>
  </si>
  <si>
    <t>2018-03-19</t>
  </si>
  <si>
    <t>1-221</t>
  </si>
  <si>
    <t>66</t>
  </si>
  <si>
    <t>414.79</t>
  </si>
  <si>
    <t>62875</t>
  </si>
  <si>
    <t>1-220</t>
  </si>
  <si>
    <t>132</t>
  </si>
  <si>
    <t>533.31</t>
  </si>
  <si>
    <t>40470</t>
  </si>
  <si>
    <t>2018-03-16</t>
  </si>
  <si>
    <t>1-113</t>
  </si>
  <si>
    <t>441.33</t>
  </si>
  <si>
    <t>49543</t>
  </si>
  <si>
    <t>2018-03-15</t>
  </si>
  <si>
    <t>1-218</t>
  </si>
  <si>
    <t>63</t>
  </si>
  <si>
    <t>406.83</t>
  </si>
  <si>
    <t>64843</t>
  </si>
  <si>
    <t>1-120</t>
  </si>
  <si>
    <t>195</t>
  </si>
  <si>
    <t>838.14</t>
  </si>
  <si>
    <t>43059</t>
  </si>
  <si>
    <t>1-206</t>
  </si>
  <si>
    <t>103</t>
  </si>
  <si>
    <t>419.69</t>
  </si>
  <si>
    <t>40628</t>
  </si>
  <si>
    <t>1-217</t>
  </si>
  <si>
    <t>56</t>
  </si>
  <si>
    <t>346.55</t>
  </si>
  <si>
    <t>61499</t>
  </si>
  <si>
    <t>1-219</t>
  </si>
  <si>
    <t>407.71</t>
  </si>
  <si>
    <t>64287</t>
  </si>
  <si>
    <t>1-134</t>
  </si>
  <si>
    <t>388.16</t>
  </si>
  <si>
    <t>59017</t>
  </si>
  <si>
    <t>1-121</t>
  </si>
  <si>
    <t>552.03</t>
  </si>
  <si>
    <t>49315</t>
  </si>
  <si>
    <t>2018-02-27</t>
  </si>
  <si>
    <t>1-125</t>
  </si>
  <si>
    <t>16</t>
  </si>
  <si>
    <t>89.57</t>
  </si>
  <si>
    <t>56691</t>
  </si>
  <si>
    <t>1-127</t>
  </si>
  <si>
    <t>22</t>
  </si>
  <si>
    <t>110.96</t>
  </si>
  <si>
    <t>51252</t>
  </si>
  <si>
    <t>1-126</t>
  </si>
  <si>
    <t>19</t>
  </si>
  <si>
    <t>103.99</t>
  </si>
  <si>
    <t>54245</t>
  </si>
  <si>
    <t>2018-02-26</t>
  </si>
  <si>
    <t>1-114</t>
  </si>
  <si>
    <t>98</t>
  </si>
  <si>
    <t>477.75</t>
  </si>
  <si>
    <t>48755</t>
  </si>
  <si>
    <t>2018-02-09</t>
  </si>
  <si>
    <t>1-215</t>
  </si>
  <si>
    <t>46</t>
  </si>
  <si>
    <t>270.75</t>
  </si>
  <si>
    <t>59310</t>
  </si>
  <si>
    <t>2018-01-31</t>
  </si>
  <si>
    <t>124</t>
  </si>
  <si>
    <t>586.47</t>
  </si>
  <si>
    <t>47430</t>
  </si>
  <si>
    <t>2018-01-29</t>
  </si>
  <si>
    <t>80</t>
  </si>
  <si>
    <t>585.04</t>
  </si>
  <si>
    <t>72794</t>
  </si>
  <si>
    <t>93</t>
  </si>
  <si>
    <t>649.06</t>
  </si>
  <si>
    <t>69979</t>
  </si>
  <si>
    <t>2018-01-26</t>
  </si>
  <si>
    <t>1-207</t>
  </si>
  <si>
    <t>55</t>
  </si>
  <si>
    <t>282.19</t>
  </si>
  <si>
    <t>51279</t>
  </si>
  <si>
    <t>2018-01-24</t>
  </si>
  <si>
    <t>1-130</t>
  </si>
  <si>
    <t>38</t>
  </si>
  <si>
    <t>195.73</t>
  </si>
  <si>
    <t>51158</t>
  </si>
  <si>
    <t>2018-01-19</t>
  </si>
  <si>
    <t>1-224</t>
  </si>
  <si>
    <t>92</t>
  </si>
  <si>
    <t>630.34</t>
  </si>
  <si>
    <t>68263</t>
  </si>
  <si>
    <t>1-101</t>
  </si>
  <si>
    <t>137</t>
  </si>
  <si>
    <t>862.23</t>
  </si>
  <si>
    <t>63144</t>
  </si>
  <si>
    <t>1-102</t>
  </si>
  <si>
    <t>139</t>
  </si>
  <si>
    <t>871.72</t>
  </si>
  <si>
    <t>62628</t>
  </si>
  <si>
    <t>1-225</t>
  </si>
  <si>
    <t>31</t>
  </si>
  <si>
    <t>263.47</t>
  </si>
  <si>
    <t>84799</t>
  </si>
  <si>
    <t>1-226</t>
  </si>
  <si>
    <t>73</t>
  </si>
  <si>
    <t>568.08</t>
  </si>
  <si>
    <t>77947</t>
  </si>
  <si>
    <t>2018-01-17</t>
  </si>
  <si>
    <t>1-124</t>
  </si>
  <si>
    <t>40</t>
  </si>
  <si>
    <t>207.85</t>
  </si>
  <si>
    <t>52447</t>
  </si>
  <si>
    <t>1-149</t>
  </si>
  <si>
    <t>722.44</t>
  </si>
  <si>
    <t>68361</t>
  </si>
  <si>
    <t>1-142</t>
  </si>
  <si>
    <t>440.08</t>
  </si>
  <si>
    <t>70435</t>
  </si>
  <si>
    <t>1-143</t>
  </si>
  <si>
    <t>58</t>
  </si>
  <si>
    <t>417.98</t>
  </si>
  <si>
    <t>71669</t>
  </si>
  <si>
    <t>1-118</t>
  </si>
  <si>
    <t>83</t>
  </si>
  <si>
    <t>396.6</t>
  </si>
  <si>
    <t>47998</t>
  </si>
  <si>
    <t>1-144</t>
  </si>
  <si>
    <t>61</t>
  </si>
  <si>
    <t>438.87</t>
  </si>
  <si>
    <t>72160</t>
  </si>
  <si>
    <t>1-131</t>
  </si>
  <si>
    <t>94</t>
  </si>
  <si>
    <t>464.26</t>
  </si>
  <si>
    <t>49468</t>
  </si>
  <si>
    <t>1-119</t>
  </si>
  <si>
    <t>398.44</t>
  </si>
  <si>
    <t>47982</t>
  </si>
  <si>
    <t>2018-01-16</t>
  </si>
  <si>
    <t>1-105</t>
  </si>
  <si>
    <t>117</t>
  </si>
  <si>
    <t>682.69</t>
  </si>
  <si>
    <t>58230</t>
  </si>
  <si>
    <t>1-106</t>
  </si>
  <si>
    <t>634.81</t>
  </si>
  <si>
    <t>56720</t>
  </si>
  <si>
    <t>1-103</t>
  </si>
  <si>
    <t>201</t>
  </si>
  <si>
    <t>1128.38</t>
  </si>
  <si>
    <t>56211</t>
  </si>
  <si>
    <t>1-104</t>
  </si>
  <si>
    <t>427.32</t>
  </si>
  <si>
    <t>65229</t>
  </si>
  <si>
    <t>2018-01-14</t>
  </si>
  <si>
    <t>1-129</t>
  </si>
  <si>
    <t>205.06</t>
  </si>
  <si>
    <t>51356</t>
  </si>
  <si>
    <t>2018-01-11</t>
  </si>
  <si>
    <t>1-128</t>
  </si>
  <si>
    <t>209.85</t>
  </si>
  <si>
    <t>52475</t>
  </si>
  <si>
    <t>1-150</t>
  </si>
  <si>
    <t>109</t>
  </si>
  <si>
    <t>811.56</t>
  </si>
  <si>
    <t>74771</t>
  </si>
  <si>
    <t>1-155</t>
  </si>
  <si>
    <t>20</t>
  </si>
  <si>
    <t>179.93</t>
  </si>
  <si>
    <t>91941</t>
  </si>
  <si>
    <t>1-152</t>
  </si>
  <si>
    <t>47</t>
  </si>
  <si>
    <t>420.68</t>
  </si>
  <si>
    <t>89355</t>
  </si>
  <si>
    <t>1-145</t>
  </si>
  <si>
    <t>453.45</t>
  </si>
  <si>
    <t>73552</t>
  </si>
  <si>
    <t>1-135</t>
  </si>
  <si>
    <t>67</t>
  </si>
  <si>
    <t>395.49</t>
  </si>
  <si>
    <t>58923</t>
  </si>
  <si>
    <t>1-208</t>
  </si>
  <si>
    <t>279.51</t>
  </si>
  <si>
    <t>53220</t>
  </si>
  <si>
    <t>1-214</t>
  </si>
  <si>
    <t>82</t>
  </si>
  <si>
    <t>471.77</t>
  </si>
  <si>
    <t>57337</t>
  </si>
  <si>
    <t>1-154</t>
  </si>
  <si>
    <t>15</t>
  </si>
  <si>
    <t>150.41</t>
  </si>
  <si>
    <t>100877</t>
  </si>
  <si>
    <t>1-209</t>
  </si>
  <si>
    <t>283.63</t>
  </si>
  <si>
    <t>53729</t>
  </si>
  <si>
    <t>1-153</t>
  </si>
  <si>
    <t>12</t>
  </si>
  <si>
    <t>126.48</t>
  </si>
  <si>
    <t>104445</t>
  </si>
  <si>
    <t>1-151</t>
  </si>
  <si>
    <t>385.91</t>
  </si>
  <si>
    <t>83948</t>
  </si>
  <si>
    <t>2018-01-07</t>
  </si>
  <si>
    <t>1-203</t>
  </si>
  <si>
    <t>226.51</t>
  </si>
  <si>
    <t>37103</t>
  </si>
  <si>
    <t>1-204</t>
  </si>
  <si>
    <t>300.67</t>
  </si>
  <si>
    <t>41530</t>
  </si>
  <si>
    <t>1-205</t>
  </si>
  <si>
    <t>331.29</t>
  </si>
  <si>
    <t>42997</t>
  </si>
  <si>
    <t>2018-01-04</t>
  </si>
  <si>
    <t>1-141</t>
  </si>
  <si>
    <t>439.36</t>
  </si>
  <si>
    <t>66530</t>
  </si>
  <si>
    <t>2019-01-17</t>
  </si>
  <si>
    <t>2号楼</t>
  </si>
  <si>
    <t>1203</t>
  </si>
  <si>
    <t>现：京(2017)门不动产权第0013434号</t>
  </si>
  <si>
    <t>149</t>
  </si>
  <si>
    <t>571</t>
  </si>
  <si>
    <t>38438</t>
  </si>
  <si>
    <t>2019-01-16</t>
  </si>
  <si>
    <t>1708</t>
  </si>
  <si>
    <t>234</t>
  </si>
  <si>
    <t>31919</t>
  </si>
  <si>
    <t>703</t>
  </si>
  <si>
    <t>148</t>
  </si>
  <si>
    <t>434</t>
  </si>
  <si>
    <t>29301</t>
  </si>
  <si>
    <t>33</t>
  </si>
  <si>
    <t>2018-12-26</t>
  </si>
  <si>
    <t>1901</t>
  </si>
  <si>
    <t>111</t>
  </si>
  <si>
    <t>465</t>
  </si>
  <si>
    <t>41805</t>
  </si>
  <si>
    <t>2002</t>
  </si>
  <si>
    <t>144</t>
  </si>
  <si>
    <t>515</t>
  </si>
  <si>
    <t>35881</t>
  </si>
  <si>
    <t>2018-12-19</t>
  </si>
  <si>
    <t>613</t>
  </si>
  <si>
    <t>现：京(2017)门不动产权第0012669号</t>
  </si>
  <si>
    <t>130</t>
  </si>
  <si>
    <t>33801</t>
  </si>
  <si>
    <t>1号楼</t>
  </si>
  <si>
    <t>现：京(2017)门不动产权第0013291号</t>
  </si>
  <si>
    <t>166.44</t>
  </si>
  <si>
    <t>50697</t>
  </si>
  <si>
    <t>2018-12-10</t>
  </si>
  <si>
    <t>1403</t>
  </si>
  <si>
    <t>449</t>
  </si>
  <si>
    <t>30226</t>
  </si>
  <si>
    <t>现：京(2016)门头沟区不动产权第0013440号</t>
  </si>
  <si>
    <t>305</t>
  </si>
  <si>
    <t>143</t>
  </si>
  <si>
    <t>397</t>
  </si>
  <si>
    <t>27854</t>
  </si>
  <si>
    <t>2018-11-08</t>
  </si>
  <si>
    <t>1802</t>
  </si>
  <si>
    <t>512</t>
  </si>
  <si>
    <t>35672</t>
  </si>
  <si>
    <t>811</t>
  </si>
  <si>
    <t>现：京(2017)门不动产权第0012668号</t>
  </si>
  <si>
    <t>42</t>
  </si>
  <si>
    <t>153.8</t>
  </si>
  <si>
    <t>36291</t>
  </si>
  <si>
    <t>2018-10-19</t>
  </si>
  <si>
    <t>313</t>
  </si>
  <si>
    <t>34304</t>
  </si>
  <si>
    <t>2018-10-16</t>
  </si>
  <si>
    <t>1809</t>
  </si>
  <si>
    <t>285</t>
  </si>
  <si>
    <t>29534</t>
  </si>
  <si>
    <t>2018-10-15</t>
  </si>
  <si>
    <t>2001</t>
  </si>
  <si>
    <t>394</t>
  </si>
  <si>
    <t>35422</t>
  </si>
  <si>
    <t>2018-09-28</t>
  </si>
  <si>
    <t>1308</t>
  </si>
  <si>
    <t>209.4</t>
  </si>
  <si>
    <t>28564</t>
  </si>
  <si>
    <t>2018-09-26</t>
  </si>
  <si>
    <t>1006</t>
  </si>
  <si>
    <t>368</t>
  </si>
  <si>
    <t>33270</t>
  </si>
  <si>
    <t>2018-09-25</t>
  </si>
  <si>
    <t>806</t>
  </si>
  <si>
    <t>365</t>
  </si>
  <si>
    <t>32999</t>
  </si>
  <si>
    <t>2018-09-24</t>
  </si>
  <si>
    <t>1401</t>
  </si>
  <si>
    <t>32815</t>
  </si>
  <si>
    <t>2018-09-17</t>
  </si>
  <si>
    <t>2005</t>
  </si>
  <si>
    <t>501</t>
  </si>
  <si>
    <t>34906</t>
  </si>
  <si>
    <t>803</t>
  </si>
  <si>
    <t>539</t>
  </si>
  <si>
    <t>36404</t>
  </si>
  <si>
    <t>1507</t>
  </si>
  <si>
    <t>284</t>
  </si>
  <si>
    <t>29430</t>
  </si>
  <si>
    <t>2018-09-14</t>
  </si>
  <si>
    <t>1509</t>
  </si>
  <si>
    <t>327</t>
  </si>
  <si>
    <t>33886</t>
  </si>
  <si>
    <t>1702</t>
  </si>
  <si>
    <t>514.33</t>
  </si>
  <si>
    <t>35834</t>
  </si>
  <si>
    <t>2018-09-13</t>
  </si>
  <si>
    <t>402</t>
  </si>
  <si>
    <t>473</t>
  </si>
  <si>
    <t>33186</t>
  </si>
  <si>
    <t>1304</t>
  </si>
  <si>
    <t>43</t>
  </si>
  <si>
    <t>190</t>
  </si>
  <si>
    <t>44549</t>
  </si>
  <si>
    <t>2018-08-11</t>
  </si>
  <si>
    <t>1707</t>
  </si>
  <si>
    <t>290</t>
  </si>
  <si>
    <t>30052</t>
  </si>
  <si>
    <t>2018-08-09</t>
  </si>
  <si>
    <t>1303</t>
  </si>
  <si>
    <t>483</t>
  </si>
  <si>
    <t>32514</t>
  </si>
  <si>
    <t>2018-08-06</t>
  </si>
  <si>
    <t>405</t>
  </si>
  <si>
    <t>474</t>
  </si>
  <si>
    <t>33256</t>
  </si>
  <si>
    <t>2018-08-05</t>
  </si>
  <si>
    <t>1316</t>
  </si>
  <si>
    <t>249</t>
  </si>
  <si>
    <t>47150</t>
  </si>
  <si>
    <t>1307</t>
  </si>
  <si>
    <t>330</t>
  </si>
  <si>
    <t>34197</t>
  </si>
  <si>
    <t>2018-07-31</t>
  </si>
  <si>
    <t>073-2#办公及商业楼</t>
  </si>
  <si>
    <t>711</t>
  </si>
  <si>
    <t>京房售证字(2014)272号</t>
  </si>
  <si>
    <t>39</t>
  </si>
  <si>
    <t>150.89</t>
  </si>
  <si>
    <t>39111</t>
  </si>
  <si>
    <t>4号楼</t>
  </si>
  <si>
    <t>39000</t>
  </si>
  <si>
    <t>2018-07-21</t>
  </si>
  <si>
    <t>3号楼</t>
  </si>
  <si>
    <t>1404</t>
  </si>
  <si>
    <t>现：京(2017)门不动产权第0013290号</t>
  </si>
  <si>
    <t>189</t>
  </si>
  <si>
    <t>44335</t>
  </si>
  <si>
    <t>2018-07-18</t>
  </si>
  <si>
    <t>1301</t>
  </si>
  <si>
    <t>33085</t>
  </si>
  <si>
    <t>485</t>
  </si>
  <si>
    <t>32649</t>
  </si>
  <si>
    <t>2018-06-27</t>
  </si>
  <si>
    <t>1902</t>
  </si>
  <si>
    <t>520</t>
  </si>
  <si>
    <t>36229</t>
  </si>
  <si>
    <t>902</t>
  </si>
  <si>
    <t>500</t>
  </si>
  <si>
    <t>34999</t>
  </si>
  <si>
    <t>2018-06-21</t>
  </si>
  <si>
    <t>909</t>
  </si>
  <si>
    <t>288</t>
  </si>
  <si>
    <t>2018-06-10</t>
  </si>
  <si>
    <t>505</t>
  </si>
  <si>
    <t>537</t>
  </si>
  <si>
    <t>37676</t>
  </si>
  <si>
    <t>2018-06-08</t>
  </si>
  <si>
    <t>1412</t>
  </si>
  <si>
    <t>195.12</t>
  </si>
  <si>
    <t>45771</t>
  </si>
  <si>
    <t>302</t>
  </si>
  <si>
    <t>498</t>
  </si>
  <si>
    <t>34940</t>
  </si>
  <si>
    <t>69</t>
  </si>
  <si>
    <t>2018-05-25</t>
  </si>
  <si>
    <t>1407</t>
  </si>
  <si>
    <t>297</t>
  </si>
  <si>
    <t>30777</t>
  </si>
  <si>
    <t>2018-04-24</t>
  </si>
  <si>
    <t>现：京(2017)门不动产权第0013448号</t>
  </si>
  <si>
    <t>254.78</t>
  </si>
  <si>
    <t>37053</t>
  </si>
  <si>
    <t>2018-04-08</t>
  </si>
  <si>
    <t>1904</t>
  </si>
  <si>
    <t>659.24</t>
  </si>
  <si>
    <t>44378</t>
  </si>
  <si>
    <t>2018-03-28</t>
  </si>
  <si>
    <t>510</t>
  </si>
  <si>
    <t>244.48</t>
  </si>
  <si>
    <t>30625</t>
  </si>
  <si>
    <t>503</t>
  </si>
  <si>
    <t>552.32</t>
  </si>
  <si>
    <t>37289</t>
  </si>
  <si>
    <t>502</t>
  </si>
  <si>
    <t>545.95</t>
  </si>
  <si>
    <t>38304</t>
  </si>
  <si>
    <t>32</t>
  </si>
  <si>
    <t>2018-02-05</t>
  </si>
  <si>
    <t>5号楼</t>
  </si>
  <si>
    <t>1516</t>
  </si>
  <si>
    <t>现：京(2017)门不动产权第0013293号</t>
  </si>
  <si>
    <t>199.05</t>
  </si>
  <si>
    <t>37800</t>
  </si>
  <si>
    <t>2018-02-02</t>
  </si>
  <si>
    <t>435.28</t>
  </si>
  <si>
    <t>54739</t>
  </si>
  <si>
    <t>1311</t>
  </si>
  <si>
    <t>2018-01-05</t>
  </si>
  <si>
    <t>1305</t>
  </si>
  <si>
    <t>162.43</t>
  </si>
  <si>
    <t>38084</t>
  </si>
  <si>
    <t>2018-01-02</t>
  </si>
  <si>
    <t>1210</t>
  </si>
  <si>
    <t>127.02</t>
  </si>
  <si>
    <t>32829</t>
  </si>
  <si>
    <t>2018-12-14</t>
  </si>
  <si>
    <t>506</t>
  </si>
  <si>
    <t>现：京(2018)门不动产权第0015475号</t>
  </si>
  <si>
    <t>59</t>
  </si>
  <si>
    <t>179.25</t>
  </si>
  <si>
    <t>30578</t>
  </si>
  <si>
    <t>2018-12-01</t>
  </si>
  <si>
    <t>1302</t>
  </si>
  <si>
    <t>54</t>
  </si>
  <si>
    <t>169.23</t>
  </si>
  <si>
    <t>31556</t>
  </si>
  <si>
    <t>164.38</t>
  </si>
  <si>
    <t>30492</t>
  </si>
  <si>
    <t>413</t>
  </si>
  <si>
    <t>102.01</t>
  </si>
  <si>
    <t>32404</t>
  </si>
  <si>
    <t>1206</t>
  </si>
  <si>
    <t>184.57</t>
  </si>
  <si>
    <t>31487</t>
  </si>
  <si>
    <t>2018-10-06</t>
  </si>
  <si>
    <t>1714</t>
  </si>
  <si>
    <t>118.83</t>
  </si>
  <si>
    <t>37534</t>
  </si>
  <si>
    <t>2018-09-30</t>
  </si>
  <si>
    <t>1612</t>
  </si>
  <si>
    <t>158.13</t>
  </si>
  <si>
    <t>29474</t>
  </si>
  <si>
    <t>104</t>
  </si>
  <si>
    <t>219.57</t>
  </si>
  <si>
    <t>37760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</si>
</sst>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9"/>
      <name val="宋体"/>
      <family val="2"/>
      <charset val="134"/>
      <scheme val="minor"/>
    </font>
    <font>
      <b/>
      <sz val="9"/>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56"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5" borderId="1" xfId="12" applyFont="1" applyFill="1" applyBorder="1" applyAlignment="1">
      <alignment horizontal="center" vertical="center"/>
    </xf>
    <xf numFmtId="186" fontId="256" fillId="5" borderId="1" xfId="17" applyNumberFormat="1" applyFont="1" applyFill="1" applyBorder="1" applyAlignment="1">
      <alignment horizontal="center" vertical="center" wrapText="1"/>
    </xf>
    <xf numFmtId="176" fontId="256" fillId="5" borderId="1" xfId="17" applyNumberFormat="1" applyFont="1" applyFill="1" applyBorder="1" applyAlignment="1">
      <alignment horizontal="center" vertical="center" wrapText="1"/>
    </xf>
    <xf numFmtId="0" fontId="254" fillId="0" borderId="0" xfId="12" applyFont="1" applyBorder="1" applyAlignment="1">
      <alignment horizontal="center" vertical="center"/>
    </xf>
    <xf numFmtId="0" fontId="254" fillId="0" borderId="1" xfId="12" applyFont="1" applyBorder="1" applyAlignment="1">
      <alignment horizontal="center" vertical="center"/>
    </xf>
    <xf numFmtId="186" fontId="254" fillId="0" borderId="1" xfId="12" applyNumberFormat="1" applyFont="1" applyFill="1" applyBorder="1" applyAlignment="1">
      <alignment horizontal="center" vertical="center" wrapText="1"/>
    </xf>
    <xf numFmtId="49" fontId="254" fillId="0" borderId="1" xfId="12" applyNumberFormat="1" applyFont="1" applyFill="1" applyBorder="1" applyAlignment="1">
      <alignment horizontal="center" vertical="center" wrapText="1"/>
    </xf>
    <xf numFmtId="0" fontId="254" fillId="0" borderId="1" xfId="12" applyNumberFormat="1" applyFont="1" applyFill="1" applyBorder="1" applyAlignment="1">
      <alignment horizontal="center" vertical="center" wrapText="1"/>
    </xf>
    <xf numFmtId="176" fontId="254" fillId="0" borderId="1" xfId="12" applyNumberFormat="1" applyFont="1" applyFill="1" applyBorder="1" applyAlignment="1">
      <alignment horizontal="center" vertical="center" wrapText="1"/>
    </xf>
    <xf numFmtId="176" fontId="254" fillId="5" borderId="1" xfId="12" applyNumberFormat="1" applyFont="1" applyFill="1" applyBorder="1" applyAlignment="1">
      <alignment horizontal="center" vertical="center" wrapText="1"/>
    </xf>
    <xf numFmtId="58" fontId="254" fillId="0" borderId="0" xfId="12" applyNumberFormat="1" applyFont="1" applyBorder="1" applyAlignment="1">
      <alignment horizontal="center" vertical="center"/>
    </xf>
    <xf numFmtId="0" fontId="254" fillId="0" borderId="0" xfId="12" applyFont="1" applyFill="1" applyBorder="1" applyAlignment="1">
      <alignment horizontal="center" vertical="center"/>
    </xf>
    <xf numFmtId="176" fontId="254" fillId="0" borderId="0" xfId="12" applyNumberFormat="1" applyFont="1" applyBorder="1" applyAlignment="1">
      <alignment horizontal="center" vertical="center"/>
    </xf>
    <xf numFmtId="0" fontId="254" fillId="0" borderId="1" xfId="12" applyFont="1" applyFill="1" applyBorder="1" applyAlignment="1">
      <alignment horizontal="center" vertical="center"/>
    </xf>
    <xf numFmtId="186" fontId="254" fillId="5" borderId="1" xfId="12" applyNumberFormat="1" applyFont="1" applyFill="1" applyBorder="1" applyAlignment="1">
      <alignment horizontal="center" vertical="center" wrapText="1"/>
    </xf>
    <xf numFmtId="0" fontId="56" fillId="0" borderId="0" xfId="18"/>
    <xf numFmtId="0" fontId="190" fillId="7" borderId="54" xfId="0" applyFont="1" applyFill="1" applyBorder="1" applyAlignment="1" applyProtection="1">
      <alignment vertical="center" wrapText="1"/>
      <protection locked="0"/>
    </xf>
    <xf numFmtId="179" fontId="50" fillId="8" borderId="1"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vertical="center"/>
      <protection locked="0"/>
    </xf>
    <xf numFmtId="0" fontId="56" fillId="0" borderId="0" xfId="18" applyAlignment="1">
      <alignment horizontal="left" vertical="center"/>
    </xf>
    <xf numFmtId="0" fontId="56" fillId="5" borderId="0" xfId="18" applyFill="1" applyAlignment="1">
      <alignment horizontal="left" vertical="center"/>
    </xf>
    <xf numFmtId="0" fontId="56" fillId="0" borderId="0" xfId="18" applyAlignment="1">
      <alignment horizontal="left" vertical="center" wrapText="1"/>
    </xf>
    <xf numFmtId="0" fontId="56" fillId="5" borderId="0" xfId="18" applyFill="1" applyAlignment="1">
      <alignment horizontal="left"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6" fillId="0" borderId="0" xfId="18" applyAlignment="1">
      <alignment wrapText="1"/>
    </xf>
    <xf numFmtId="14" fontId="54" fillId="0" borderId="0" xfId="0" applyNumberFormat="1" applyFont="1" applyFill="1" applyAlignment="1" applyProtection="1">
      <alignment horizontal="center" vertical="center"/>
      <protection locked="0"/>
    </xf>
    <xf numFmtId="0" fontId="56" fillId="0" borderId="0" xfId="18" applyFill="1" applyAlignment="1">
      <alignment horizontal="left" vertical="center" wrapText="1"/>
    </xf>
    <xf numFmtId="0" fontId="56" fillId="0" borderId="0" xfId="18" applyFill="1" applyAlignment="1">
      <alignment horizontal="left" vertical="center"/>
    </xf>
    <xf numFmtId="0" fontId="53" fillId="0" borderId="1" xfId="0" applyNumberFormat="1" applyFont="1" applyFill="1" applyBorder="1" applyAlignment="1" applyProtection="1">
      <alignment horizontal="center" vertical="center" wrapText="1"/>
      <protection locked="0"/>
    </xf>
    <xf numFmtId="0" fontId="202" fillId="0" borderId="2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6" borderId="0" xfId="0" applyFont="1" applyFill="1" applyAlignment="1" applyProtection="1">
      <alignment horizontal="left" vertical="center"/>
      <protection locked="0"/>
    </xf>
    <xf numFmtId="0" fontId="80" fillId="6" borderId="0" xfId="0" applyFont="1" applyFill="1" applyAlignment="1" applyProtection="1">
      <alignment horizontal="left" vertical="center"/>
      <protection locked="0"/>
    </xf>
    <xf numFmtId="0" fontId="190" fillId="7" borderId="5" xfId="0" applyFont="1" applyFill="1" applyBorder="1" applyAlignment="1" applyProtection="1">
      <alignment vertical="center"/>
      <protection locked="0"/>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476250</xdr:colOff>
      <xdr:row>16</xdr:row>
      <xdr:rowOff>130506</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62650" cy="2873706"/>
        </a:xfrm>
        <a:prstGeom prst="rect">
          <a:avLst/>
        </a:prstGeom>
      </xdr:spPr>
    </xdr:pic>
    <xdr:clientData/>
  </xdr:twoCellAnchor>
  <xdr:twoCellAnchor editAs="oneCell">
    <xdr:from>
      <xdr:col>8</xdr:col>
      <xdr:colOff>552450</xdr:colOff>
      <xdr:row>0</xdr:row>
      <xdr:rowOff>85726</xdr:rowOff>
    </xdr:from>
    <xdr:to>
      <xdr:col>14</xdr:col>
      <xdr:colOff>409576</xdr:colOff>
      <xdr:row>7</xdr:row>
      <xdr:rowOff>29524</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8850" y="85726"/>
          <a:ext cx="3971926" cy="1143948"/>
        </a:xfrm>
        <a:prstGeom prst="rect">
          <a:avLst/>
        </a:prstGeom>
      </xdr:spPr>
    </xdr:pic>
    <xdr:clientData/>
  </xdr:twoCellAnchor>
  <xdr:twoCellAnchor editAs="oneCell">
    <xdr:from>
      <xdr:col>8</xdr:col>
      <xdr:colOff>598378</xdr:colOff>
      <xdr:row>18</xdr:row>
      <xdr:rowOff>161926</xdr:rowOff>
    </xdr:from>
    <xdr:to>
      <xdr:col>14</xdr:col>
      <xdr:colOff>476249</xdr:colOff>
      <xdr:row>30</xdr:row>
      <xdr:rowOff>47626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778" y="3248026"/>
          <a:ext cx="3992671" cy="1943100"/>
        </a:xfrm>
        <a:prstGeom prst="rect">
          <a:avLst/>
        </a:prstGeom>
      </xdr:spPr>
    </xdr:pic>
    <xdr:clientData/>
  </xdr:twoCellAnchor>
  <xdr:twoCellAnchor editAs="oneCell">
    <xdr:from>
      <xdr:col>0</xdr:col>
      <xdr:colOff>0</xdr:colOff>
      <xdr:row>18</xdr:row>
      <xdr:rowOff>76200</xdr:rowOff>
    </xdr:from>
    <xdr:to>
      <xdr:col>8</xdr:col>
      <xdr:colOff>537378</xdr:colOff>
      <xdr:row>35</xdr:row>
      <xdr:rowOff>57150</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162300"/>
          <a:ext cx="6023778" cy="2895600"/>
        </a:xfrm>
        <a:prstGeom prst="rect">
          <a:avLst/>
        </a:prstGeom>
      </xdr:spPr>
    </xdr:pic>
    <xdr:clientData/>
  </xdr:twoCellAnchor>
  <xdr:twoCellAnchor editAs="oneCell">
    <xdr:from>
      <xdr:col>0</xdr:col>
      <xdr:colOff>0</xdr:colOff>
      <xdr:row>37</xdr:row>
      <xdr:rowOff>1</xdr:rowOff>
    </xdr:from>
    <xdr:to>
      <xdr:col>8</xdr:col>
      <xdr:colOff>540917</xdr:colOff>
      <xdr:row>54</xdr:row>
      <xdr:rowOff>152401</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343651"/>
          <a:ext cx="6027317" cy="3067050"/>
        </a:xfrm>
        <a:prstGeom prst="rect">
          <a:avLst/>
        </a:prstGeom>
      </xdr:spPr>
    </xdr:pic>
    <xdr:clientData/>
  </xdr:twoCellAnchor>
  <xdr:twoCellAnchor editAs="oneCell">
    <xdr:from>
      <xdr:col>9</xdr:col>
      <xdr:colOff>53032</xdr:colOff>
      <xdr:row>37</xdr:row>
      <xdr:rowOff>66676</xdr:rowOff>
    </xdr:from>
    <xdr:to>
      <xdr:col>14</xdr:col>
      <xdr:colOff>299867</xdr:colOff>
      <xdr:row>55</xdr:row>
      <xdr:rowOff>38100</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25232" y="6410326"/>
          <a:ext cx="3675835" cy="3057524"/>
        </a:xfrm>
        <a:prstGeom prst="rect">
          <a:avLst/>
        </a:prstGeom>
      </xdr:spPr>
    </xdr:pic>
    <xdr:clientData/>
  </xdr:twoCellAnchor>
  <xdr:twoCellAnchor editAs="oneCell">
    <xdr:from>
      <xdr:col>0</xdr:col>
      <xdr:colOff>0</xdr:colOff>
      <xdr:row>58</xdr:row>
      <xdr:rowOff>0</xdr:rowOff>
    </xdr:from>
    <xdr:to>
      <xdr:col>11</xdr:col>
      <xdr:colOff>628650</xdr:colOff>
      <xdr:row>99</xdr:row>
      <xdr:rowOff>152400</xdr:rowOff>
    </xdr:to>
    <xdr:pic>
      <xdr:nvPicPr>
        <xdr:cNvPr id="12" name="图片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944100"/>
          <a:ext cx="8172450" cy="7181850"/>
        </a:xfrm>
        <a:prstGeom prst="rect">
          <a:avLst/>
        </a:prstGeom>
      </xdr:spPr>
    </xdr:pic>
    <xdr:clientData/>
  </xdr:twoCellAnchor>
  <xdr:twoCellAnchor editAs="oneCell">
    <xdr:from>
      <xdr:col>13</xdr:col>
      <xdr:colOff>0</xdr:colOff>
      <xdr:row>58</xdr:row>
      <xdr:rowOff>0</xdr:rowOff>
    </xdr:from>
    <xdr:to>
      <xdr:col>24</xdr:col>
      <xdr:colOff>219075</xdr:colOff>
      <xdr:row>100</xdr:row>
      <xdr:rowOff>123825</xdr:rowOff>
    </xdr:to>
    <xdr:pic>
      <xdr:nvPicPr>
        <xdr:cNvPr id="13" name="图片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915400" y="9944100"/>
          <a:ext cx="7762875" cy="7324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443820</xdr:colOff>
      <xdr:row>23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44420" cy="4048125"/>
        </a:xfrm>
        <a:prstGeom prst="rect">
          <a:avLst/>
        </a:prstGeom>
      </xdr:spPr>
    </xdr:pic>
    <xdr:clientData/>
  </xdr:twoCellAnchor>
  <xdr:twoCellAnchor editAs="oneCell">
    <xdr:from>
      <xdr:col>7</xdr:col>
      <xdr:colOff>311926</xdr:colOff>
      <xdr:row>23</xdr:row>
      <xdr:rowOff>64276</xdr:rowOff>
    </xdr:from>
    <xdr:to>
      <xdr:col>15</xdr:col>
      <xdr:colOff>163572</xdr:colOff>
      <xdr:row>47</xdr:row>
      <xdr:rowOff>133350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12526" y="4007626"/>
          <a:ext cx="5338046" cy="4183874"/>
        </a:xfrm>
        <a:prstGeom prst="rect">
          <a:avLst/>
        </a:prstGeom>
      </xdr:spPr>
    </xdr:pic>
    <xdr:clientData/>
  </xdr:twoCellAnchor>
  <xdr:twoCellAnchor editAs="oneCell">
    <xdr:from>
      <xdr:col>0</xdr:col>
      <xdr:colOff>0</xdr:colOff>
      <xdr:row>23</xdr:row>
      <xdr:rowOff>99975</xdr:rowOff>
    </xdr:from>
    <xdr:to>
      <xdr:col>7</xdr:col>
      <xdr:colOff>465212</xdr:colOff>
      <xdr:row>47</xdr:row>
      <xdr:rowOff>19050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043325"/>
          <a:ext cx="5265812" cy="4033875"/>
        </a:xfrm>
        <a:prstGeom prst="rect">
          <a:avLst/>
        </a:prstGeom>
      </xdr:spPr>
    </xdr:pic>
    <xdr:clientData/>
  </xdr:twoCellAnchor>
  <xdr:twoCellAnchor editAs="oneCell">
    <xdr:from>
      <xdr:col>7</xdr:col>
      <xdr:colOff>326174</xdr:colOff>
      <xdr:row>0</xdr:row>
      <xdr:rowOff>0</xdr:rowOff>
    </xdr:from>
    <xdr:to>
      <xdr:col>15</xdr:col>
      <xdr:colOff>114299</xdr:colOff>
      <xdr:row>23</xdr:row>
      <xdr:rowOff>138673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26774" y="0"/>
          <a:ext cx="5274525" cy="4082023"/>
        </a:xfrm>
        <a:prstGeom prst="rect">
          <a:avLst/>
        </a:prstGeom>
      </xdr:spPr>
    </xdr:pic>
    <xdr:clientData/>
  </xdr:twoCellAnchor>
  <xdr:twoCellAnchor editAs="oneCell">
    <xdr:from>
      <xdr:col>0</xdr:col>
      <xdr:colOff>0</xdr:colOff>
      <xdr:row>49</xdr:row>
      <xdr:rowOff>57150</xdr:rowOff>
    </xdr:from>
    <xdr:to>
      <xdr:col>12</xdr:col>
      <xdr:colOff>619125</xdr:colOff>
      <xdr:row>72</xdr:row>
      <xdr:rowOff>66675</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458200"/>
          <a:ext cx="8848725" cy="3952875"/>
        </a:xfrm>
        <a:prstGeom prst="rect">
          <a:avLst/>
        </a:prstGeom>
      </xdr:spPr>
    </xdr:pic>
    <xdr:clientData/>
  </xdr:twoCellAnchor>
  <xdr:twoCellAnchor editAs="oneCell">
    <xdr:from>
      <xdr:col>0</xdr:col>
      <xdr:colOff>0</xdr:colOff>
      <xdr:row>73</xdr:row>
      <xdr:rowOff>152400</xdr:rowOff>
    </xdr:from>
    <xdr:to>
      <xdr:col>11</xdr:col>
      <xdr:colOff>387128</xdr:colOff>
      <xdr:row>103</xdr:row>
      <xdr:rowOff>9525</xdr:rowOff>
    </xdr:to>
    <xdr:pic>
      <xdr:nvPicPr>
        <xdr:cNvPr id="10" name="图片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2668250"/>
          <a:ext cx="7930928" cy="5000625"/>
        </a:xfrm>
        <a:prstGeom prst="rect">
          <a:avLst/>
        </a:prstGeom>
      </xdr:spPr>
    </xdr:pic>
    <xdr:clientData/>
  </xdr:twoCellAnchor>
  <xdr:twoCellAnchor editAs="oneCell">
    <xdr:from>
      <xdr:col>11</xdr:col>
      <xdr:colOff>388125</xdr:colOff>
      <xdr:row>74</xdr:row>
      <xdr:rowOff>54750</xdr:rowOff>
    </xdr:from>
    <xdr:to>
      <xdr:col>22</xdr:col>
      <xdr:colOff>675995</xdr:colOff>
      <xdr:row>102</xdr:row>
      <xdr:rowOff>19049</xdr:rowOff>
    </xdr:to>
    <xdr:pic>
      <xdr:nvPicPr>
        <xdr:cNvPr id="11" name="图片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31925" y="12742050"/>
          <a:ext cx="7831670" cy="47648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9</xdr:col>
      <xdr:colOff>323850</xdr:colOff>
      <xdr:row>45</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5725"/>
          <a:ext cx="6496050" cy="7705725"/>
        </a:xfrm>
        <a:prstGeom prst="rect">
          <a:avLst/>
        </a:prstGeom>
      </xdr:spPr>
    </xdr:pic>
    <xdr:clientData/>
  </xdr:twoCellAnchor>
  <xdr:twoCellAnchor editAs="oneCell">
    <xdr:from>
      <xdr:col>0</xdr:col>
      <xdr:colOff>0</xdr:colOff>
      <xdr:row>45</xdr:row>
      <xdr:rowOff>85726</xdr:rowOff>
    </xdr:from>
    <xdr:to>
      <xdr:col>9</xdr:col>
      <xdr:colOff>438150</xdr:colOff>
      <xdr:row>55</xdr:row>
      <xdr:rowOff>3104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00976"/>
          <a:ext cx="6610350" cy="1631878"/>
        </a:xfrm>
        <a:prstGeom prst="rect">
          <a:avLst/>
        </a:prstGeom>
      </xdr:spPr>
    </xdr:pic>
    <xdr:clientData/>
  </xdr:twoCellAnchor>
  <xdr:twoCellAnchor editAs="oneCell">
    <xdr:from>
      <xdr:col>10</xdr:col>
      <xdr:colOff>158619</xdr:colOff>
      <xdr:row>0</xdr:row>
      <xdr:rowOff>0</xdr:rowOff>
    </xdr:from>
    <xdr:to>
      <xdr:col>20</xdr:col>
      <xdr:colOff>661569</xdr:colOff>
      <xdr:row>14</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6619" y="0"/>
          <a:ext cx="7360950" cy="2447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北京市门头沟区新城东街19号院“西长安街壹号”综合项目房地产房地产抵押价值预评估</v>
      </c>
    </row>
    <row r="3" spans="1:2" s="1593" customFormat="1">
      <c r="A3" s="1591" t="s">
        <v>1217</v>
      </c>
      <c r="B3" s="1592" t="str">
        <f>'预评函-封皮'!B40</f>
        <v>北京融创兴业地产有限公司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受贵公司委托，我公司对北京市门头沟区新城东街19号院“西长安街壹号”综合项目房地产房地产抵押价值进行了预评估。</v>
      </c>
    </row>
    <row r="7" spans="1:2" s="1593" customFormat="1">
      <c r="A7" s="1591" t="s">
        <v>1260</v>
      </c>
      <c r="B7" s="1592" t="str">
        <f>'预评函-1'!A7</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为估价委托人在向中粮信托有限责任公司办理贷款手续过程中，确定房地产抵押贷款额度提供参考依据而评估房地产抵押价值。</v>
      </c>
    </row>
    <row r="12" spans="1:2" s="1593" customFormat="1">
      <c r="A12" s="1591" t="s">
        <v>1222</v>
      </c>
      <c r="B12" s="1592" t="str">
        <f>'预评函-1'!A15</f>
        <v>2019年1月23日（评估专业人员实地查勘之日）</v>
      </c>
    </row>
    <row r="13" spans="1:2" s="1593" customFormat="1">
      <c r="A13" s="1591" t="s">
        <v>1223</v>
      </c>
      <c r="B13" s="1592" t="str">
        <f>'预评函-1'!A18</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4" spans="1:2" s="1593" customFormat="1">
      <c r="A14" s="1591" t="s">
        <v>1224</v>
      </c>
      <c r="B14" s="1592" t="str">
        <f>'预评函-1'!A19</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190397</v>
      </c>
    </row>
    <row r="21" spans="1:2" s="1593" customFormat="1">
      <c r="A21" s="1591" t="s">
        <v>1231</v>
      </c>
      <c r="B21" s="1592">
        <f ca="1">'预评函-2'!D7</f>
        <v>38086</v>
      </c>
    </row>
    <row r="22" spans="1:2" s="1593" customFormat="1">
      <c r="A22" s="1591" t="s">
        <v>1232</v>
      </c>
      <c r="B22" s="1592" t="str">
        <f ca="1">'预评函-2'!D6</f>
        <v>壹拾玖亿零叁佰玖拾柒万元整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190397</v>
      </c>
    </row>
    <row r="35" spans="1:2" s="1593" customFormat="1">
      <c r="A35" s="1591" t="s">
        <v>1271</v>
      </c>
      <c r="B35" s="1592">
        <f ca="1">'预评函-2'!D18</f>
        <v>38086</v>
      </c>
    </row>
    <row r="36" spans="1:2" s="1593" customFormat="1">
      <c r="A36" s="1591" t="s">
        <v>1238</v>
      </c>
      <c r="B36" s="1592" t="str">
        <f ca="1">'预评函-2'!D17</f>
        <v>壹拾玖亿零叁佰玖拾柒万元整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北京市门头沟区新城东街19号院“西长安街壹号”综合项目房地产房地产</v>
      </c>
    </row>
    <row r="42" spans="1:2" s="1593" customFormat="1">
      <c r="A42" s="1591" t="s">
        <v>1284</v>
      </c>
      <c r="B42" s="1592" t="str">
        <f>'预评函-3'!B2</f>
        <v>建筑面积</v>
      </c>
    </row>
    <row r="43" spans="1:2" s="1593" customFormat="1">
      <c r="A43" s="1591" t="s">
        <v>1285</v>
      </c>
      <c r="B43" s="1592">
        <f>'预评函-3'!B4</f>
        <v>49991.200000000004</v>
      </c>
    </row>
    <row r="44" spans="1:2" s="1593" customFormat="1">
      <c r="A44" s="1591" t="s">
        <v>1269</v>
      </c>
      <c r="B44" s="1592" t="str">
        <f>'预评函-3'!C2</f>
        <v>(分摊)土地面积</v>
      </c>
    </row>
    <row r="45" spans="1:2" s="1593" customFormat="1">
      <c r="A45" s="1591" t="s">
        <v>1241</v>
      </c>
      <c r="B45" s="1592">
        <f>'预评函-3'!C4</f>
        <v>12497.8</v>
      </c>
    </row>
    <row r="46" spans="1:2" s="1593" customFormat="1">
      <c r="A46" s="1591" t="s">
        <v>1267</v>
      </c>
      <c r="B46" s="1592" t="str">
        <f>'预评函-3'!D2</f>
        <v>出让国有建设用地使用权价值</v>
      </c>
    </row>
    <row r="47" spans="1:2" s="1593" customFormat="1">
      <c r="A47" s="1591" t="s">
        <v>1242</v>
      </c>
      <c r="B47" s="1592">
        <f ca="1">'预评函-3'!D4</f>
        <v>161266</v>
      </c>
    </row>
    <row r="48" spans="1:2" s="1593" customFormat="1">
      <c r="A48" s="1591" t="s">
        <v>1243</v>
      </c>
      <c r="B48" s="1592">
        <f ca="1">'预评函-3'!E4</f>
        <v>32259</v>
      </c>
    </row>
    <row r="49" spans="1:2" s="1593" customFormat="1">
      <c r="A49" s="1591" t="s">
        <v>1244</v>
      </c>
      <c r="B49" s="1592" t="str">
        <f ca="1">'预评函-3'!D5</f>
        <v>壹拾陆亿壹仟贰佰陆拾陆万元整</v>
      </c>
    </row>
    <row r="50" spans="1:2" s="1593" customFormat="1">
      <c r="A50" s="1591" t="s">
        <v>1268</v>
      </c>
      <c r="B50" s="1592" t="str">
        <f>'预评函-3'!F2</f>
        <v>在建建筑物价值</v>
      </c>
    </row>
    <row r="51" spans="1:2" s="1593" customFormat="1">
      <c r="A51" s="1591" t="s">
        <v>1245</v>
      </c>
      <c r="B51" s="1592">
        <f ca="1">'预评函-3'!F4</f>
        <v>29131</v>
      </c>
    </row>
    <row r="52" spans="1:2" s="1593" customFormat="1">
      <c r="A52" s="1591" t="s">
        <v>1246</v>
      </c>
      <c r="B52" s="1592">
        <f ca="1">'预评函-3'!G4</f>
        <v>5827</v>
      </c>
    </row>
    <row r="53" spans="1:2" s="1593" customFormat="1">
      <c r="A53" s="1591" t="s">
        <v>1274</v>
      </c>
      <c r="B53" s="1592" t="str">
        <f ca="1">'预评函-3'!F5</f>
        <v>贰亿玖仟壹佰叁拾壹万元整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9" sqref="G2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4163</v>
      </c>
      <c r="C18" s="2015"/>
    </row>
    <row r="19" spans="1:3">
      <c r="A19" s="2014" t="s">
        <v>1764</v>
      </c>
      <c r="B19" s="2014" t="s">
        <v>4164</v>
      </c>
      <c r="C19" s="2015"/>
    </row>
    <row r="20" spans="1:3">
      <c r="A20" s="2014" t="s">
        <v>1765</v>
      </c>
      <c r="B20" s="2014" t="s">
        <v>4166</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门头沟区新城东街19号院“西长安街壹号”综合项目房地产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XX年(多用途剩余年限尾数不同时，可只体现小数点后一位)，假定未设立法定优先受偿款下的房地产市场价值。</v>
      </c>
    </row>
    <row r="54" spans="1:4">
      <c r="A54" s="2996"/>
      <c r="B54" s="2022" t="s">
        <v>861</v>
      </c>
      <c r="C54" s="2019" t="s">
        <v>1277</v>
      </c>
    </row>
    <row r="55" spans="1:4">
      <c r="A55" s="2996"/>
      <c r="B55" s="2022" t="s">
        <v>862</v>
      </c>
      <c r="C55" s="2019" t="s">
        <v>1278</v>
      </c>
    </row>
    <row r="56" spans="1:4">
      <c r="A56" s="2996"/>
      <c r="B56" s="2022" t="s">
        <v>863</v>
      </c>
      <c r="C56" s="2019" t="s">
        <v>1282</v>
      </c>
    </row>
    <row r="57" spans="1:4">
      <c r="A57" s="2996"/>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1772</v>
      </c>
      <c r="B1" s="3005" t="str">
        <f>IF(B10="北京市","北京市",C10)&amp;F10&amp;IF(结果表!G1="在建","出让国有建设用地使用权及在建建筑物",IF(结果表!G1="土地","出让国有建设用地使用权",))&amp;B9&amp;"预评估"</f>
        <v>北京市门头沟区新城东街19号院“西长安街壹号”综合项目房地产房地产抵押价值预评估</v>
      </c>
      <c r="C1" s="3006"/>
      <c r="D1" s="3006"/>
      <c r="E1" s="3006"/>
      <c r="F1" s="3006"/>
      <c r="G1" s="3006"/>
      <c r="H1" s="3006"/>
      <c r="I1" s="300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北京市门头沟区新城东街19号院“西长安街壹号”综合项目房地产房地产抵押价值</v>
      </c>
    </row>
    <row r="2" spans="1:19" ht="18" customHeight="1">
      <c r="A2" s="2026" t="s">
        <v>1773</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北京市门头沟区新城东街19号院“西长安街壹号”综合项目房地产房地产</v>
      </c>
    </row>
    <row r="3" spans="1:19" ht="18" customHeight="1">
      <c r="A3" s="2035" t="s">
        <v>1774</v>
      </c>
      <c r="B3" s="2036">
        <v>43488</v>
      </c>
      <c r="C3" s="2037" t="s">
        <v>1775</v>
      </c>
      <c r="D3" s="2036">
        <f>B3</f>
        <v>43488</v>
      </c>
      <c r="E3" s="2026"/>
      <c r="F3" s="2026"/>
      <c r="G3" s="2026"/>
      <c r="H3" s="2026"/>
      <c r="I3" s="2026"/>
      <c r="J3" s="2026"/>
      <c r="K3" s="2027"/>
      <c r="L3" s="2028"/>
      <c r="M3" s="2028"/>
      <c r="N3" s="2029"/>
      <c r="O3" s="2030"/>
      <c r="P3" s="2029"/>
      <c r="Q3" s="2029"/>
      <c r="R3" s="2029"/>
      <c r="S3" s="2031"/>
    </row>
    <row r="4" spans="1:19" ht="18" customHeight="1" thickBot="1">
      <c r="A4" s="2038" t="s">
        <v>1776</v>
      </c>
      <c r="B4" s="2039" t="s">
        <v>4130</v>
      </c>
      <c r="C4" s="1038">
        <f ca="1">SUMIF(注册房地产估价师,B4,估价师及机构信息!B3:B24)</f>
        <v>1120070131</v>
      </c>
      <c r="D4" s="2039" t="s">
        <v>4131</v>
      </c>
      <c r="E4" s="1039">
        <f ca="1">SUMIF(注册房地产估价师,D4,估价师及机构信息!B3:B24)</f>
        <v>1120050019</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郑燚（注册号：1120070131)、王鹏（注册号：1120050019)</v>
      </c>
      <c r="L4" s="2028"/>
      <c r="M4" s="2028"/>
      <c r="N4" s="2029"/>
      <c r="O4" s="2030"/>
      <c r="P4" s="2029"/>
      <c r="Q4" s="2029"/>
      <c r="R4" s="2029"/>
      <c r="S4" s="2031"/>
    </row>
    <row r="5" spans="1:19" ht="18" customHeight="1" thickTop="1">
      <c r="A5" s="2044" t="s">
        <v>1777</v>
      </c>
      <c r="B5" s="2045" t="str">
        <f>C11</f>
        <v>北京融创兴业地产有限公司</v>
      </c>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3319" t="s">
        <v>4309</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t="str">
        <f>C11</f>
        <v>北京融创兴业地产有限公司</v>
      </c>
      <c r="C7" s="2049"/>
      <c r="D7" s="2050"/>
      <c r="E7" s="2034"/>
      <c r="F7" s="2042"/>
      <c r="G7" s="2042"/>
      <c r="H7" s="2042"/>
      <c r="I7" s="2042"/>
      <c r="J7" s="2042"/>
      <c r="K7" s="2053"/>
      <c r="L7" s="2028"/>
      <c r="M7" s="2028"/>
      <c r="N7" s="2029"/>
      <c r="O7" s="2030"/>
      <c r="P7" s="2029"/>
      <c r="Q7" s="2029"/>
      <c r="R7" s="2029"/>
    </row>
    <row r="8" spans="1:19" ht="18" customHeight="1">
      <c r="A8" s="2048" t="s">
        <v>1780</v>
      </c>
      <c r="B8" s="2054" t="s">
        <v>4132</v>
      </c>
      <c r="C8" s="2055"/>
      <c r="D8" s="3008" t="s">
        <v>1781</v>
      </c>
      <c r="E8" s="2056" t="s">
        <v>4308</v>
      </c>
      <c r="F8" s="2057"/>
      <c r="G8" s="2026"/>
      <c r="H8" s="2026"/>
      <c r="I8" s="2026"/>
      <c r="J8" s="2042"/>
      <c r="K8" s="2043"/>
      <c r="L8" s="2028"/>
      <c r="M8" s="2028"/>
      <c r="N8" s="2029"/>
      <c r="O8" s="2030"/>
      <c r="P8" s="2029"/>
      <c r="Q8" s="2029"/>
      <c r="R8" s="2029"/>
    </row>
    <row r="9" spans="1:19" ht="18" customHeight="1" thickBot="1">
      <c r="A9" s="2040" t="s">
        <v>1782</v>
      </c>
      <c r="B9" s="2058" t="s">
        <v>4133</v>
      </c>
      <c r="C9" s="2059"/>
      <c r="D9" s="3009"/>
      <c r="E9" s="2058"/>
      <c r="F9" s="2060"/>
      <c r="G9" s="2061"/>
      <c r="H9" s="2061"/>
      <c r="I9" s="2061"/>
      <c r="J9" s="2042"/>
      <c r="K9" s="2053"/>
      <c r="L9" s="2028"/>
      <c r="M9" s="2028"/>
      <c r="N9" s="2029"/>
      <c r="O9" s="2030"/>
      <c r="P9" s="2029"/>
      <c r="Q9" s="2029"/>
      <c r="R9" s="2029"/>
    </row>
    <row r="10" spans="1:19" ht="18" customHeight="1" thickTop="1">
      <c r="A10" s="2062" t="s">
        <v>1783</v>
      </c>
      <c r="B10" s="2063" t="s">
        <v>3981</v>
      </c>
      <c r="C10" s="2064"/>
      <c r="D10" s="2047"/>
      <c r="E10" s="2065" t="s">
        <v>1784</v>
      </c>
      <c r="F10" s="2066" t="s">
        <v>4301</v>
      </c>
      <c r="G10" s="2067"/>
      <c r="H10" s="2068"/>
      <c r="I10" s="2047"/>
      <c r="J10" s="2042"/>
      <c r="K10" s="2053"/>
      <c r="L10" s="2028"/>
      <c r="M10" s="2028"/>
      <c r="N10" s="2029"/>
      <c r="O10" s="2030"/>
      <c r="P10" s="2029"/>
      <c r="Q10" s="2029"/>
      <c r="R10" s="2029"/>
    </row>
    <row r="11" spans="1:19" ht="18" customHeight="1">
      <c r="A11" s="2069" t="s">
        <v>1785</v>
      </c>
      <c r="B11" s="2070" t="s">
        <v>4135</v>
      </c>
      <c r="C11" s="3294" t="s">
        <v>4134</v>
      </c>
      <c r="D11" s="2071"/>
      <c r="E11" s="2042"/>
      <c r="F11" s="2042"/>
      <c r="G11" s="2042"/>
      <c r="H11" s="2042"/>
      <c r="I11" s="2042"/>
      <c r="J11" s="2042"/>
      <c r="K11" s="2053"/>
      <c r="L11" s="2028"/>
      <c r="M11" s="2028"/>
      <c r="N11" s="2029"/>
      <c r="O11" s="2030"/>
      <c r="P11" s="2029"/>
      <c r="Q11" s="2029"/>
      <c r="R11" s="2029"/>
    </row>
    <row r="12" spans="1:19" ht="18" customHeight="1">
      <c r="A12" s="2072" t="s">
        <v>1786</v>
      </c>
      <c r="B12" s="2070" t="s">
        <v>4136</v>
      </c>
      <c r="C12" s="2073" t="s">
        <v>1787</v>
      </c>
      <c r="D12" s="2074" t="s">
        <v>1788</v>
      </c>
      <c r="E12" s="2074" t="s">
        <v>1789</v>
      </c>
      <c r="F12" s="2074" t="s">
        <v>1790</v>
      </c>
      <c r="G12" s="2074" t="s">
        <v>1791</v>
      </c>
      <c r="H12" s="2074" t="s">
        <v>1792</v>
      </c>
      <c r="I12" s="2074" t="s">
        <v>1793</v>
      </c>
      <c r="J12" s="2042"/>
      <c r="K12" s="2053"/>
      <c r="L12" s="2028"/>
      <c r="M12" s="2028"/>
      <c r="N12" s="2029"/>
      <c r="O12" s="2030"/>
      <c r="P12" s="2029"/>
      <c r="Q12" s="2029"/>
      <c r="R12" s="2029"/>
    </row>
    <row r="13" spans="1:19" ht="18" customHeight="1">
      <c r="A13" s="2075"/>
      <c r="B13" s="2076"/>
      <c r="C13" s="2077" t="s">
        <v>1794</v>
      </c>
      <c r="D13" s="2078"/>
      <c r="E13" s="2078">
        <v>56298</v>
      </c>
      <c r="F13" s="2078">
        <v>59950</v>
      </c>
      <c r="G13" s="2078">
        <f>F13</f>
        <v>59950</v>
      </c>
      <c r="H13" s="2078"/>
      <c r="I13" s="1048"/>
      <c r="J13" s="2042"/>
      <c r="K13" s="2053"/>
      <c r="L13" s="2028"/>
      <c r="M13" s="2028"/>
      <c r="N13" s="2029"/>
      <c r="O13" s="2030"/>
      <c r="P13" s="2029"/>
      <c r="Q13" s="2029"/>
      <c r="R13" s="2029"/>
    </row>
    <row r="14" spans="1:19" ht="18" customHeight="1">
      <c r="A14" s="2075"/>
      <c r="B14" s="2076"/>
      <c r="C14" s="2077" t="s">
        <v>1795</v>
      </c>
      <c r="D14" s="1051"/>
      <c r="E14" s="1051">
        <v>40</v>
      </c>
      <c r="F14" s="1051">
        <v>50</v>
      </c>
      <c r="G14" s="1051">
        <v>50</v>
      </c>
      <c r="H14" s="1051"/>
      <c r="I14" s="1051"/>
      <c r="J14" s="2042"/>
      <c r="K14" s="2079"/>
      <c r="L14" s="2028"/>
      <c r="M14" s="2028"/>
      <c r="N14" s="2029"/>
      <c r="O14" s="2030"/>
      <c r="P14" s="2029"/>
      <c r="Q14" s="2029"/>
      <c r="R14" s="2029"/>
    </row>
    <row r="15" spans="1:19" ht="18" customHeight="1">
      <c r="A15" s="2062"/>
      <c r="B15" s="2080"/>
      <c r="C15" s="2077" t="s">
        <v>1796</v>
      </c>
      <c r="D15" s="1050" t="str">
        <f>IF(B12="出让",IF(D13="","",ROUNDDOWN(MIN((D13-$D$3)/365,D14),2)),D14)</f>
        <v/>
      </c>
      <c r="E15" s="1050">
        <f>IF(B12="出让",IF(E13="","",ROUNDDOWN(MIN((E13-$D$3)/365,E14),2)),E14)</f>
        <v>35.090000000000003</v>
      </c>
      <c r="F15" s="1050">
        <f>IF(B12="出让",IF(F13="","",ROUNDDOWN(MIN((F13-$D$3)/365,F14),2)),F14)</f>
        <v>45.1</v>
      </c>
      <c r="G15" s="1050">
        <f>IF(B12="出让",IF(G13="","",ROUNDDOWN(MIN((G13-$D$3)/365,G14),2)),G14)</f>
        <v>45.1</v>
      </c>
      <c r="H15" s="1050" t="str">
        <f>IF(B12="出让",IF(H13="","",ROUNDDOWN(MIN((H13-$D$3)/365,H14),2)),H14)</f>
        <v/>
      </c>
      <c r="I15" s="1050" t="str">
        <f>IF(B12="出让",IF(I13="","",ROUNDDOWN(MIN((I13-$D$3)/365,I14),2)),I14)</f>
        <v/>
      </c>
      <c r="J15" s="2042"/>
      <c r="K15" s="2081"/>
      <c r="L15" s="2082"/>
      <c r="M15" s="2082"/>
      <c r="N15" s="2083"/>
      <c r="O15" s="2082"/>
      <c r="P15" s="2083"/>
      <c r="Q15" s="2029"/>
      <c r="R15" s="2029"/>
    </row>
    <row r="16" spans="1:19" ht="30.75" customHeight="1">
      <c r="A16" s="2065" t="s">
        <v>1797</v>
      </c>
      <c r="B16" s="3296" t="s">
        <v>4303</v>
      </c>
      <c r="C16" s="3015"/>
      <c r="D16" s="3016"/>
      <c r="E16" s="2084" t="s">
        <v>1798</v>
      </c>
      <c r="F16" s="3017" t="s">
        <v>4304</v>
      </c>
      <c r="G16" s="3018"/>
      <c r="H16" s="3018"/>
      <c r="I16" s="3019"/>
      <c r="J16" s="2029"/>
      <c r="K16" s="2081"/>
      <c r="L16" s="2082"/>
      <c r="M16" s="2082"/>
      <c r="N16" s="2083"/>
      <c r="O16" s="2082"/>
      <c r="P16" s="2083"/>
      <c r="Q16" s="2029"/>
      <c r="R16" s="2029"/>
    </row>
    <row r="17" spans="1:22" ht="18" customHeight="1">
      <c r="A17" s="2085" t="s">
        <v>1799</v>
      </c>
      <c r="B17" s="2035" t="s">
        <v>1800</v>
      </c>
      <c r="C17" s="1055">
        <f>'数据-汇总表'!E3</f>
        <v>49991.200000000004</v>
      </c>
      <c r="D17" s="2086" t="s">
        <v>1801</v>
      </c>
      <c r="E17" s="3020" t="s">
        <v>4305</v>
      </c>
      <c r="F17" s="3021"/>
      <c r="G17" s="3021"/>
      <c r="H17" s="3021"/>
      <c r="I17" s="3022"/>
      <c r="J17" s="2029"/>
      <c r="K17" s="2087"/>
      <c r="L17" s="2082"/>
      <c r="M17" s="2082"/>
      <c r="N17" s="2083"/>
      <c r="O17" s="2082"/>
      <c r="P17" s="2083"/>
      <c r="Q17" s="2029"/>
      <c r="R17" s="2029"/>
      <c r="S17" s="2029"/>
      <c r="T17" s="2029"/>
      <c r="U17" s="2029"/>
      <c r="V17" s="2029"/>
    </row>
    <row r="18" spans="1:22" ht="36" customHeight="1" thickBot="1">
      <c r="A18" s="2088" t="s">
        <v>1802</v>
      </c>
      <c r="B18" s="2038" t="s">
        <v>1803</v>
      </c>
      <c r="C18" s="1445">
        <f>'数据-汇总表'!D3</f>
        <v>12497.8</v>
      </c>
      <c r="D18" s="2089" t="s">
        <v>1801</v>
      </c>
      <c r="E18" s="3023"/>
      <c r="F18" s="3024"/>
      <c r="G18" s="3024"/>
      <c r="H18" s="3024"/>
      <c r="I18" s="3025"/>
      <c r="J18" s="2029"/>
      <c r="K18" s="2087"/>
      <c r="L18" s="2082"/>
      <c r="M18" s="2082"/>
      <c r="N18" s="2083"/>
      <c r="O18" s="2082"/>
      <c r="P18" s="2083"/>
      <c r="Q18" s="2029"/>
      <c r="R18" s="2029"/>
      <c r="S18" s="2029"/>
      <c r="T18" s="2029"/>
      <c r="U18" s="2029"/>
      <c r="V18" s="2029"/>
    </row>
    <row r="19" spans="1:22" ht="37.5" customHeight="1" thickTop="1" thickBot="1">
      <c r="A19" s="372" t="s">
        <v>1804</v>
      </c>
      <c r="B19" s="351" t="s">
        <v>1805</v>
      </c>
      <c r="C19" s="2090" t="s">
        <v>4151</v>
      </c>
      <c r="D19" s="2091" t="s">
        <v>1806</v>
      </c>
      <c r="E19" s="2092" t="s">
        <v>4162</v>
      </c>
      <c r="F19" s="2093" t="str">
        <f>IF(AND(C19="是",E19="否"),"是否提供他项权证或相关说明","")</f>
        <v>是否提供他项权证或相关说明</v>
      </c>
      <c r="G19" s="2094" t="s">
        <v>4162</v>
      </c>
      <c r="H19" s="2042"/>
      <c r="I19" s="2042"/>
      <c r="J19" s="2042"/>
      <c r="K19" s="2053"/>
      <c r="L19" s="2028"/>
      <c r="M19" s="2028"/>
      <c r="N19" s="2083"/>
      <c r="O19" s="2082"/>
      <c r="P19" s="2083"/>
      <c r="Q19" s="2029"/>
      <c r="R19" s="2029"/>
      <c r="S19" s="2029"/>
      <c r="T19" s="2029"/>
      <c r="U19" s="2029"/>
      <c r="V19" s="2029"/>
    </row>
    <row r="20" spans="1:22" ht="18" customHeight="1">
      <c r="A20" s="2095" t="s">
        <v>1807</v>
      </c>
      <c r="B20" s="3011" t="s">
        <v>1808</v>
      </c>
      <c r="C20" s="3012"/>
      <c r="D20" s="3013" t="s">
        <v>1809</v>
      </c>
      <c r="E20" s="3014"/>
      <c r="F20" s="2096" t="s">
        <v>1810</v>
      </c>
      <c r="G20" s="2042"/>
      <c r="H20" s="2042"/>
      <c r="I20" s="2042"/>
      <c r="J20" s="2042"/>
      <c r="K20" s="3010" t="s">
        <v>1811</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8"/>
      <c r="N20" s="2083"/>
      <c r="O20" s="2082"/>
      <c r="P20" s="2083"/>
      <c r="Q20" s="2029"/>
      <c r="R20" s="2029"/>
      <c r="S20" s="2029"/>
      <c r="T20" s="2029"/>
      <c r="U20" s="2029"/>
      <c r="V20" s="2029"/>
    </row>
    <row r="21" spans="1:22" ht="24.75" customHeight="1">
      <c r="A21" s="2095"/>
      <c r="B21" s="2097" t="s">
        <v>4144</v>
      </c>
      <c r="C21" s="2098" t="s">
        <v>4145</v>
      </c>
      <c r="D21" s="2099"/>
      <c r="E21" s="2100"/>
      <c r="F21" s="2101"/>
      <c r="G21" s="2042"/>
      <c r="H21" s="2042"/>
      <c r="I21" s="2042"/>
      <c r="J21" s="2042"/>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c r="C22" s="2098"/>
      <c r="D22" s="2026"/>
      <c r="E22" s="2026"/>
      <c r="F22" s="2103"/>
      <c r="G22" s="2042"/>
      <c r="H22" s="2042"/>
      <c r="I22" s="2042"/>
      <c r="J22" s="2042"/>
      <c r="K22" s="301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1812</v>
      </c>
      <c r="B23" s="182" t="s">
        <v>1813</v>
      </c>
      <c r="C23" s="2105">
        <v>43256</v>
      </c>
      <c r="D23" s="2106" t="s">
        <v>1813</v>
      </c>
      <c r="E23" s="2107"/>
      <c r="F23" s="2103"/>
      <c r="G23" s="2042"/>
      <c r="H23" s="2042"/>
      <c r="I23" s="2042"/>
      <c r="J23" s="2042"/>
      <c r="K23" s="2108"/>
      <c r="L23" s="747"/>
      <c r="M23" s="2028"/>
      <c r="N23" s="2083"/>
      <c r="O23" s="2082"/>
      <c r="P23" s="2083"/>
      <c r="Q23" s="2029"/>
      <c r="R23" s="2029"/>
      <c r="S23" s="2029"/>
      <c r="T23" s="2029"/>
      <c r="U23" s="2029"/>
      <c r="V23" s="2029"/>
    </row>
    <row r="24" spans="1:22" ht="18" customHeight="1">
      <c r="A24" s="2109"/>
      <c r="B24" s="182" t="s">
        <v>1814</v>
      </c>
      <c r="C24" s="2110"/>
      <c r="D24" s="2104" t="s">
        <v>1814</v>
      </c>
      <c r="E24" s="2111"/>
      <c r="F24" s="2103"/>
      <c r="G24" s="2042"/>
      <c r="H24" s="2042"/>
      <c r="I24" s="2042"/>
      <c r="J24" s="2042"/>
      <c r="K24" s="2108"/>
      <c r="L24" s="747"/>
      <c r="M24" s="2028"/>
      <c r="N24" s="2083"/>
      <c r="O24" s="2082"/>
      <c r="P24" s="2083"/>
      <c r="Q24" s="2029"/>
      <c r="R24" s="2029"/>
      <c r="S24" s="2029"/>
      <c r="T24" s="2029"/>
      <c r="U24" s="2029"/>
      <c r="V24" s="2029"/>
    </row>
    <row r="25" spans="1:22" ht="18" customHeight="1">
      <c r="A25" s="2109"/>
      <c r="B25" s="182" t="s">
        <v>1815</v>
      </c>
      <c r="C25" s="2110"/>
      <c r="D25" s="2104" t="s">
        <v>1815</v>
      </c>
      <c r="E25" s="2111"/>
      <c r="F25" s="2103"/>
      <c r="G25" s="2042"/>
      <c r="H25" s="2042"/>
      <c r="I25" s="2042"/>
      <c r="J25" s="2042"/>
      <c r="K25" s="2053"/>
      <c r="L25" s="2028"/>
      <c r="M25" s="2028"/>
      <c r="N25" s="2083"/>
      <c r="O25" s="2082"/>
      <c r="P25" s="2083"/>
      <c r="Q25" s="2029"/>
      <c r="R25" s="2029"/>
      <c r="S25" s="2029"/>
      <c r="T25" s="2029"/>
      <c r="U25" s="2029"/>
      <c r="V25" s="2029"/>
    </row>
    <row r="26" spans="1:22" ht="18" customHeight="1" thickBot="1">
      <c r="A26" s="2112"/>
      <c r="B26" s="2113" t="s">
        <v>1816</v>
      </c>
      <c r="C26" s="2114"/>
      <c r="D26" s="2115" t="s">
        <v>1817</v>
      </c>
      <c r="E26" s="2116"/>
      <c r="F26" s="2117"/>
      <c r="G26" s="2061"/>
      <c r="H26" s="2061"/>
      <c r="I26" s="2061"/>
      <c r="J26" s="2042"/>
      <c r="K26" s="2053"/>
      <c r="L26" s="2028"/>
      <c r="M26" s="2028"/>
      <c r="N26" s="2083"/>
      <c r="O26" s="2082"/>
      <c r="P26" s="2083"/>
      <c r="Q26" s="2029"/>
      <c r="R26" s="2029"/>
      <c r="S26" s="2029"/>
      <c r="T26" s="2029"/>
      <c r="U26" s="2029"/>
      <c r="V26" s="2029"/>
    </row>
    <row r="27" spans="1:22" ht="18" customHeight="1" thickTop="1">
      <c r="A27" s="2998" t="s">
        <v>1818</v>
      </c>
      <c r="B27" s="2062" t="s">
        <v>1819</v>
      </c>
      <c r="C27" s="2118" t="s">
        <v>4138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2998"/>
      <c r="B28" s="2035" t="s">
        <v>1820</v>
      </c>
      <c r="C28" s="2120"/>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2998"/>
      <c r="B29" s="2035" t="s">
        <v>1821</v>
      </c>
      <c r="C29" s="2123"/>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2999"/>
      <c r="B30" s="2035" t="s">
        <v>1822</v>
      </c>
      <c r="C30" s="3000"/>
      <c r="D30" s="3001"/>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02" t="s">
        <v>1823</v>
      </c>
      <c r="B31" s="2125" t="s">
        <v>4137</v>
      </c>
      <c r="C31" s="2126" t="str">
        <f>IF(B31="现房","成新及维护状况正常否",IF(B31="在建","工程状态是否正常",IF(B31="土地","是否闲置","-")))</f>
        <v>成新及维护状况正常否</v>
      </c>
      <c r="D31" s="2127"/>
      <c r="E31" s="2128"/>
      <c r="F31" s="2042"/>
      <c r="G31" s="2042"/>
      <c r="H31" s="2042"/>
      <c r="I31" s="2042"/>
      <c r="J31" s="2042"/>
      <c r="K31" s="2051"/>
      <c r="L31" s="2028"/>
      <c r="M31" s="2028"/>
      <c r="N31" s="2029"/>
      <c r="O31" s="2030"/>
      <c r="P31" s="2029"/>
      <c r="Q31" s="2029"/>
      <c r="R31" s="2029"/>
      <c r="S31" s="2029"/>
      <c r="T31" s="2029"/>
      <c r="U31" s="2029"/>
      <c r="V31" s="2029"/>
    </row>
    <row r="32" spans="1:22" ht="18" customHeight="1">
      <c r="A32" s="3003"/>
      <c r="B32" s="2125"/>
      <c r="C32" s="2126" t="str">
        <f>IF(B32="现房","成新及维护状况是否正常",IF(B32="在建","工程状态是否正常",IF(B32="土地","是否闲置","-")))</f>
        <v>-</v>
      </c>
      <c r="D32" s="2127"/>
      <c r="E32" s="2128"/>
      <c r="F32" s="2042"/>
      <c r="G32" s="2042"/>
      <c r="H32" s="2042"/>
      <c r="I32" s="2042"/>
      <c r="J32" s="2042"/>
      <c r="K32" s="2053"/>
      <c r="L32" s="2028"/>
      <c r="M32" s="2028"/>
      <c r="N32" s="2029"/>
      <c r="O32" s="2030"/>
      <c r="P32" s="2029"/>
      <c r="Q32" s="2029"/>
      <c r="R32" s="2029"/>
      <c r="S32" s="2029"/>
      <c r="T32" s="2029"/>
      <c r="U32" s="2029"/>
      <c r="V32" s="2029"/>
    </row>
    <row r="33" spans="1:22" ht="18" customHeight="1">
      <c r="A33" s="3003"/>
      <c r="B33" s="2129"/>
      <c r="C33" s="2069" t="str">
        <f>IF(B33="现房","成新及维护状况是否正常",IF(B33="在建","工程状态是否正常",IF(B33="土地","是否闲置","-")))</f>
        <v>-</v>
      </c>
      <c r="D33" s="2130"/>
      <c r="E33" s="2131"/>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1824</v>
      </c>
      <c r="B34" s="2132" t="s">
        <v>4139</v>
      </c>
      <c r="C34" s="2132" t="s">
        <v>4140</v>
      </c>
      <c r="D34" s="2132" t="s">
        <v>4141</v>
      </c>
      <c r="E34" s="2132" t="s">
        <v>4142</v>
      </c>
      <c r="F34" s="2132" t="s">
        <v>4143</v>
      </c>
      <c r="G34" s="2132"/>
      <c r="H34" s="2132"/>
      <c r="I34" s="2042"/>
      <c r="J34" s="2042"/>
      <c r="K34" s="1795">
        <f>COUNTIF(B34:H34,"——")</f>
        <v>0</v>
      </c>
      <c r="L34" s="2073" t="s">
        <v>1825</v>
      </c>
      <c r="M34" s="2073" t="s">
        <v>1826</v>
      </c>
      <c r="N34" s="2073" t="s">
        <v>1827</v>
      </c>
      <c r="O34" s="2073" t="s">
        <v>1828</v>
      </c>
      <c r="P34" s="2073" t="s">
        <v>1829</v>
      </c>
      <c r="Q34" s="2073" t="s">
        <v>1830</v>
      </c>
      <c r="R34" s="2073" t="s">
        <v>1831</v>
      </c>
      <c r="S34" s="2997" t="s">
        <v>1832</v>
      </c>
      <c r="T34" s="2133" t="str">
        <f>NUMBERSTRING(7-K34,1)&amp;"通"</f>
        <v>七通</v>
      </c>
      <c r="U34" s="2029"/>
      <c r="V34" s="2029"/>
    </row>
    <row r="35" spans="1:22" ht="18" customHeight="1">
      <c r="A35" s="2134"/>
      <c r="B35" s="3004" t="s">
        <v>1833</v>
      </c>
      <c r="C35" s="3004"/>
      <c r="D35" s="3004"/>
      <c r="E35" s="3004"/>
      <c r="F35" s="2135">
        <f>C10</f>
        <v>0</v>
      </c>
      <c r="G35" s="2042"/>
      <c r="H35" s="2042"/>
      <c r="I35" s="2042"/>
      <c r="J35" s="2042"/>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2997"/>
      <c r="T35" s="47" t="str">
        <f>IF(T34="一通",L35,IF(T34="二通",M35,IF(T34="三通",N35,IF(T34="四通",O35,IF(T34="五通",P35,IF(T34="六通",Q35,R35))))))</f>
        <v>通路、通电、通讯、通上水、通下水、、</v>
      </c>
      <c r="U35" s="2029"/>
      <c r="V35" s="2029"/>
    </row>
    <row r="36" spans="1:22" ht="18" customHeight="1">
      <c r="A36" s="2136"/>
      <c r="B36" s="2135" t="s">
        <v>1834</v>
      </c>
      <c r="C36" s="2135" t="s">
        <v>1835</v>
      </c>
      <c r="D36" s="2135" t="s">
        <v>1836</v>
      </c>
      <c r="E36" s="2135" t="s">
        <v>1837</v>
      </c>
      <c r="F36" s="2137"/>
      <c r="G36" s="2042"/>
      <c r="H36" s="2042"/>
      <c r="I36" s="2042"/>
      <c r="J36" s="2042"/>
      <c r="K36" s="2053"/>
      <c r="L36" s="2028"/>
      <c r="M36" s="2028"/>
      <c r="N36" s="2029"/>
      <c r="O36" s="2030"/>
      <c r="P36" s="2029"/>
      <c r="Q36" s="2029"/>
      <c r="R36" s="2029"/>
      <c r="S36" s="2029"/>
      <c r="T36" s="2029"/>
      <c r="U36" s="2029"/>
      <c r="V36" s="2029"/>
    </row>
    <row r="37" spans="1:22" ht="18" customHeight="1">
      <c r="A37" s="2138" t="s">
        <v>1838</v>
      </c>
      <c r="B37" s="2139"/>
      <c r="C37" s="2139"/>
      <c r="D37" s="2139"/>
      <c r="E37" s="2139"/>
      <c r="F37" s="2137"/>
      <c r="G37" s="2042"/>
      <c r="H37" s="2042"/>
      <c r="I37" s="2042"/>
      <c r="J37" s="2042"/>
      <c r="K37" s="2053"/>
      <c r="L37" s="2028"/>
      <c r="M37" s="2028"/>
      <c r="N37" s="2029"/>
      <c r="O37" s="2030"/>
      <c r="P37" s="2029"/>
      <c r="Q37" s="2029"/>
      <c r="R37" s="2029"/>
      <c r="S37" s="2029"/>
      <c r="T37" s="2029"/>
      <c r="U37" s="2029"/>
      <c r="V37" s="2029"/>
    </row>
    <row r="38" spans="1:22" ht="18" customHeight="1" thickBot="1">
      <c r="A38" s="2140" t="s">
        <v>1839</v>
      </c>
      <c r="B38" s="2141"/>
      <c r="C38" s="2141"/>
      <c r="D38" s="2141"/>
      <c r="E38" s="2141"/>
      <c r="F38" s="2142"/>
      <c r="G38" s="2061"/>
      <c r="H38" s="2061"/>
      <c r="I38" s="2061"/>
      <c r="J38" s="2042"/>
      <c r="K38" s="2053"/>
      <c r="L38" s="2028"/>
      <c r="M38" s="2028"/>
      <c r="N38" s="2029"/>
      <c r="O38" s="2030"/>
      <c r="P38" s="2029"/>
      <c r="Q38" s="2029"/>
      <c r="R38" s="2029"/>
      <c r="S38" s="2029"/>
      <c r="T38" s="2029"/>
      <c r="U38" s="2029"/>
      <c r="V38" s="2029"/>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5"/>
      <c r="L40" s="2082"/>
      <c r="M40" s="2082"/>
      <c r="N40" s="2083"/>
      <c r="O40" s="2082"/>
      <c r="P40" s="2029"/>
      <c r="Q40" s="2029"/>
      <c r="R40" s="2029"/>
      <c r="S40" s="2029"/>
      <c r="T40" s="2029"/>
      <c r="U40" s="2029"/>
      <c r="V40" s="2029"/>
    </row>
    <row r="41" spans="1:22" ht="18" customHeight="1">
      <c r="A41" s="8" t="s">
        <v>1841</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1842</v>
      </c>
      <c r="B42" s="1795" t="s">
        <v>1843</v>
      </c>
      <c r="C42" s="1795" t="s">
        <v>1844</v>
      </c>
      <c r="D42" s="1795" t="s">
        <v>1845</v>
      </c>
      <c r="E42" s="1795" t="s">
        <v>1846</v>
      </c>
      <c r="F42" s="1795" t="s">
        <v>1847</v>
      </c>
      <c r="G42" s="1795" t="s">
        <v>1848</v>
      </c>
      <c r="H42" s="1795" t="s">
        <v>1849</v>
      </c>
      <c r="I42" s="1795" t="s">
        <v>1850</v>
      </c>
      <c r="J42" s="2151" t="s">
        <v>1851</v>
      </c>
      <c r="K42" s="2074" t="s">
        <v>1852</v>
      </c>
      <c r="L42" s="2074" t="s">
        <v>1853</v>
      </c>
      <c r="M42" s="2074" t="s">
        <v>1854</v>
      </c>
      <c r="N42" s="1795" t="s">
        <v>1855</v>
      </c>
      <c r="O42" s="1795" t="s">
        <v>1856</v>
      </c>
      <c r="P42" s="1795" t="s">
        <v>1857</v>
      </c>
      <c r="Q42" s="2073" t="s">
        <v>1858</v>
      </c>
      <c r="R42" s="2073" t="s">
        <v>1859</v>
      </c>
      <c r="S42" s="2029"/>
      <c r="T42" s="2029"/>
      <c r="U42" s="2029"/>
      <c r="V42" s="2029"/>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1" sqref="B3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1862</v>
      </c>
      <c r="B2" s="11" t="s">
        <v>1863</v>
      </c>
      <c r="C2" s="11"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1865</v>
      </c>
      <c r="AZ2" s="1271"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3295">
        <f>B3/4</f>
        <v>12497.800000000001</v>
      </c>
      <c r="B3" s="13">
        <f>IF(C3="否",G5-AT5,G5)</f>
        <v>49991.200000000004</v>
      </c>
      <c r="C3" s="2167"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1869</v>
      </c>
      <c r="B5" s="1803"/>
      <c r="C5" s="1803"/>
      <c r="D5" s="1806"/>
      <c r="E5" s="15" t="s">
        <v>1</v>
      </c>
      <c r="F5" s="15">
        <f>SUM(F13:F587)</f>
        <v>0</v>
      </c>
      <c r="G5" s="15">
        <f>SUM(G13:G587)</f>
        <v>49991.200000000004</v>
      </c>
      <c r="H5" s="15">
        <f t="shared" ref="H5:AT5" si="0">SUM(H13:H656)</f>
        <v>49991.200000000004</v>
      </c>
      <c r="I5" s="15">
        <f t="shared" si="0"/>
        <v>1600.16</v>
      </c>
      <c r="J5" s="15">
        <f t="shared" si="0"/>
        <v>0</v>
      </c>
      <c r="K5" s="15">
        <f t="shared" si="0"/>
        <v>33238.290000000008</v>
      </c>
      <c r="L5" s="15">
        <f t="shared" si="0"/>
        <v>0</v>
      </c>
      <c r="M5" s="15">
        <f t="shared" si="0"/>
        <v>15152.750000000002</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1869</v>
      </c>
      <c r="AW5" s="1803"/>
      <c r="AX5" s="1803"/>
      <c r="AY5" s="16" t="s">
        <v>3</v>
      </c>
      <c r="AZ5" s="17">
        <f t="shared" ref="AZ5:BT5" si="1">SUM(AZ13:AZ656)</f>
        <v>49991.200000000004</v>
      </c>
      <c r="BA5" s="17">
        <f t="shared" si="1"/>
        <v>49991.200000000004</v>
      </c>
      <c r="BB5" s="17">
        <f t="shared" si="1"/>
        <v>1600.16</v>
      </c>
      <c r="BC5" s="17">
        <f t="shared" si="1"/>
        <v>33238.290000000008</v>
      </c>
      <c r="BD5" s="17">
        <f t="shared" si="1"/>
        <v>15152.750000000002</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1870</v>
      </c>
      <c r="B6" s="2173"/>
      <c r="C6" s="2173"/>
      <c r="D6" s="2174"/>
      <c r="E6" s="15">
        <f>H6+AC6+AT6</f>
        <v>12497.800000000001</v>
      </c>
      <c r="F6" s="15" t="s">
        <v>1</v>
      </c>
      <c r="G6" s="15" t="s">
        <v>2</v>
      </c>
      <c r="H6" s="19">
        <f>SUMIF(I$12:AB$12,"总值",I6:AB6)</f>
        <v>12497.800000000001</v>
      </c>
      <c r="I6" s="15">
        <f t="shared" ref="I6:AB6" si="2">ROUND($A$3*I5/$B$3,2)</f>
        <v>400.04</v>
      </c>
      <c r="J6" s="15">
        <f t="shared" si="2"/>
        <v>0</v>
      </c>
      <c r="K6" s="15">
        <f t="shared" si="2"/>
        <v>8309.57</v>
      </c>
      <c r="L6" s="15">
        <f t="shared" si="2"/>
        <v>0</v>
      </c>
      <c r="M6" s="15">
        <f t="shared" si="2"/>
        <v>3788.19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1870</v>
      </c>
      <c r="AW6" s="2173"/>
      <c r="AX6" s="2173"/>
      <c r="AY6" s="20">
        <f>IF(AY3&gt;0,AY3,ROUND($A$3*AZ5/$B$3,2))</f>
        <v>12497.8</v>
      </c>
      <c r="AZ6" s="15" t="s">
        <v>3</v>
      </c>
      <c r="BA6" s="15">
        <f>ROUND($AY$6*BA5/$AZ$5,2)</f>
        <v>12497.8</v>
      </c>
      <c r="BB6" s="15">
        <f>ROUND($AY$6*BB5/$AZ$5,2)</f>
        <v>400.04</v>
      </c>
      <c r="BC6" s="15">
        <f t="shared" ref="BC6:BH6" si="4">ROUND($AY$6*BC5/$AZ$5,2)</f>
        <v>8309.57</v>
      </c>
      <c r="BD6" s="15">
        <f t="shared" si="4"/>
        <v>3788.19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1871</v>
      </c>
      <c r="B7" s="2108" t="s">
        <v>1872</v>
      </c>
      <c r="C7" s="2108" t="s">
        <v>1873</v>
      </c>
      <c r="D7" s="2108" t="s">
        <v>1874</v>
      </c>
      <c r="E7" s="2108" t="s">
        <v>1875</v>
      </c>
      <c r="F7" s="2108" t="s">
        <v>1876</v>
      </c>
      <c r="G7" s="2177" t="s">
        <v>1877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1878</v>
      </c>
      <c r="AV7" s="22" t="s">
        <v>1879</v>
      </c>
      <c r="AW7" s="2165" t="s">
        <v>1880</v>
      </c>
      <c r="AX7" s="22" t="s">
        <v>1873</v>
      </c>
      <c r="AY7" s="1803" t="s">
        <v>1881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1882</v>
      </c>
      <c r="H8" s="2183" t="s">
        <v>1883</v>
      </c>
      <c r="I8" s="2184"/>
      <c r="J8" s="1818"/>
      <c r="K8" s="1818"/>
      <c r="L8" s="1818"/>
      <c r="M8" s="1818"/>
      <c r="N8" s="1818"/>
      <c r="O8" s="1818"/>
      <c r="P8" s="1818"/>
      <c r="Q8" s="1818"/>
      <c r="R8" s="1818"/>
      <c r="S8" s="1818"/>
      <c r="T8" s="1818"/>
      <c r="U8" s="1818"/>
      <c r="V8" s="2185"/>
      <c r="W8" s="1818"/>
      <c r="X8" s="1818"/>
      <c r="Y8" s="1818"/>
      <c r="Z8" s="1818"/>
      <c r="AA8" s="2185"/>
      <c r="AB8" s="2186"/>
      <c r="AC8" s="982" t="s">
        <v>1884</v>
      </c>
      <c r="AD8" s="2187"/>
      <c r="AE8" s="2179"/>
      <c r="AF8" s="1818"/>
      <c r="AG8" s="1818"/>
      <c r="AH8" s="1818"/>
      <c r="AI8" s="1818"/>
      <c r="AJ8" s="1818"/>
      <c r="AK8" s="1818"/>
      <c r="AL8" s="1818"/>
      <c r="AM8" s="1818"/>
      <c r="AN8" s="1818"/>
      <c r="AO8" s="1818"/>
      <c r="AP8" s="1818"/>
      <c r="AQ8" s="1818"/>
      <c r="AR8" s="1818"/>
      <c r="AS8" s="1818"/>
      <c r="AT8" s="1293" t="s">
        <v>1885</v>
      </c>
      <c r="AU8" s="2181" t="s">
        <v>1886</v>
      </c>
      <c r="AV8" s="1293"/>
      <c r="AW8" s="2164"/>
      <c r="AX8" s="1293"/>
      <c r="AY8" s="2165"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8" customFormat="1" ht="12.75">
      <c r="A9" s="2181"/>
      <c r="B9" s="2181"/>
      <c r="C9" s="2181"/>
      <c r="D9" s="2181"/>
      <c r="E9" s="2181"/>
      <c r="F9" s="2181"/>
      <c r="G9" s="1293"/>
      <c r="H9" s="2189" t="s">
        <v>1889</v>
      </c>
      <c r="I9" s="2190" t="s">
        <v>4152</v>
      </c>
      <c r="J9" s="982"/>
      <c r="K9" s="2190" t="s">
        <v>4152</v>
      </c>
      <c r="L9" s="982"/>
      <c r="M9" s="2190" t="s">
        <v>4152</v>
      </c>
      <c r="N9" s="982"/>
      <c r="O9" s="2190"/>
      <c r="P9" s="982"/>
      <c r="Q9" s="2190"/>
      <c r="R9" s="982"/>
      <c r="S9" s="2190"/>
      <c r="T9" s="982"/>
      <c r="U9" s="2190"/>
      <c r="V9" s="982"/>
      <c r="W9" s="2190"/>
      <c r="X9" s="2191"/>
      <c r="Y9" s="2190"/>
      <c r="Z9" s="982"/>
      <c r="AA9" s="2190"/>
      <c r="AB9" s="982"/>
      <c r="AC9" s="2182" t="s">
        <v>1889</v>
      </c>
      <c r="AD9" s="14" t="s">
        <v>1890</v>
      </c>
      <c r="AE9" s="1299"/>
      <c r="AF9" s="14" t="s">
        <v>1891</v>
      </c>
      <c r="AG9" s="1299"/>
      <c r="AH9" s="14" t="s">
        <v>1890</v>
      </c>
      <c r="AI9" s="1299"/>
      <c r="AJ9" s="14" t="s">
        <v>1891</v>
      </c>
      <c r="AK9" s="1299"/>
      <c r="AL9" s="14" t="s">
        <v>1890</v>
      </c>
      <c r="AM9" s="1299"/>
      <c r="AN9" s="14" t="s">
        <v>1891</v>
      </c>
      <c r="AO9" s="1299"/>
      <c r="AP9" s="14" t="s">
        <v>1890</v>
      </c>
      <c r="AQ9" s="1299"/>
      <c r="AR9" s="14" t="s">
        <v>1891</v>
      </c>
      <c r="AS9" s="2192"/>
      <c r="AT9" s="2181"/>
      <c r="AU9" s="2181" t="s">
        <v>1892</v>
      </c>
      <c r="AV9" s="1293"/>
      <c r="AW9" s="2164"/>
      <c r="AX9" s="1293"/>
      <c r="AY9" s="27"/>
      <c r="AZ9" s="27" t="s">
        <v>1882</v>
      </c>
      <c r="BA9" s="2193" t="s">
        <v>1893</v>
      </c>
      <c r="BB9" s="2194"/>
      <c r="BC9" s="1339"/>
      <c r="BD9" s="1339"/>
      <c r="BE9" s="1339"/>
      <c r="BF9" s="1339"/>
      <c r="BG9" s="1339"/>
      <c r="BH9" s="1339"/>
      <c r="BI9" s="1339"/>
      <c r="BJ9" s="1339"/>
      <c r="BK9" s="2195"/>
      <c r="BL9" s="14" t="s">
        <v>1894</v>
      </c>
      <c r="BM9" s="1818"/>
      <c r="BN9" s="2184"/>
      <c r="BO9" s="1818"/>
      <c r="BP9" s="1818"/>
      <c r="BQ9" s="1818"/>
      <c r="BR9" s="1818"/>
      <c r="BS9" s="1818"/>
      <c r="BT9" s="25"/>
    </row>
    <row r="10" spans="1:72" s="2188" customFormat="1" ht="12.75">
      <c r="A10" s="2181"/>
      <c r="B10" s="2181"/>
      <c r="C10" s="2181"/>
      <c r="D10" s="2181"/>
      <c r="E10" s="2181"/>
      <c r="F10" s="2181"/>
      <c r="G10" s="1293"/>
      <c r="H10" s="27"/>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4" t="s">
        <v>1895</v>
      </c>
      <c r="AE10" s="2197"/>
      <c r="AF10" s="14" t="s">
        <v>1895</v>
      </c>
      <c r="AG10" s="2197"/>
      <c r="AH10" s="14" t="s">
        <v>1896</v>
      </c>
      <c r="AI10" s="2197"/>
      <c r="AJ10" s="14" t="s">
        <v>1896</v>
      </c>
      <c r="AK10" s="2197"/>
      <c r="AL10" s="14" t="s">
        <v>1897</v>
      </c>
      <c r="AM10" s="1299"/>
      <c r="AN10" s="14" t="s">
        <v>1897</v>
      </c>
      <c r="AO10" s="1299"/>
      <c r="AP10" s="14" t="s">
        <v>1898</v>
      </c>
      <c r="AQ10" s="1299"/>
      <c r="AR10" s="14" t="s">
        <v>1898</v>
      </c>
      <c r="AS10" s="1299"/>
      <c r="AT10" s="2181"/>
      <c r="AU10" s="2181"/>
      <c r="AV10" s="1293"/>
      <c r="AW10" s="2164"/>
      <c r="AX10" s="1293"/>
      <c r="AY10" s="27"/>
      <c r="AZ10" s="27"/>
      <c r="BA10" s="2198" t="s">
        <v>1889</v>
      </c>
      <c r="BB10" s="2199" t="str">
        <f>I9</f>
        <v>地上</v>
      </c>
      <c r="BC10" s="28" t="str">
        <f>K9</f>
        <v>地上</v>
      </c>
      <c r="BD10" s="28" t="str">
        <f>M9</f>
        <v>地上</v>
      </c>
      <c r="BE10" s="28">
        <f>O9</f>
        <v>0</v>
      </c>
      <c r="BF10" s="28">
        <f>Q9</f>
        <v>0</v>
      </c>
      <c r="BG10" s="28">
        <f>S9</f>
        <v>0</v>
      </c>
      <c r="BH10" s="28">
        <f>U9</f>
        <v>0</v>
      </c>
      <c r="BI10" s="28">
        <f>W9</f>
        <v>0</v>
      </c>
      <c r="BJ10" s="28">
        <f>Y9</f>
        <v>0</v>
      </c>
      <c r="BK10" s="28">
        <f>AA9</f>
        <v>0</v>
      </c>
      <c r="BL10" s="24" t="s">
        <v>1889</v>
      </c>
      <c r="BM10" s="1817" t="str">
        <f>AD9</f>
        <v>地上</v>
      </c>
      <c r="BN10" s="28" t="str">
        <f>AF9</f>
        <v>地下</v>
      </c>
      <c r="BO10" s="1817" t="str">
        <f>AH9</f>
        <v>地上</v>
      </c>
      <c r="BP10" s="28" t="str">
        <f>AJ9</f>
        <v>地下</v>
      </c>
      <c r="BQ10" s="1817" t="str">
        <f>AL9</f>
        <v>地上</v>
      </c>
      <c r="BR10" s="28" t="str">
        <f>AN9</f>
        <v>地下</v>
      </c>
      <c r="BS10" s="1817" t="str">
        <f>AP9</f>
        <v>地上</v>
      </c>
      <c r="BT10" s="2200" t="str">
        <f>AR9</f>
        <v>地下</v>
      </c>
    </row>
    <row r="11" spans="1:72" s="2188" customFormat="1" ht="12.75">
      <c r="A11" s="2181"/>
      <c r="B11" s="2181"/>
      <c r="C11" s="2181"/>
      <c r="D11" s="2181"/>
      <c r="E11" s="2181"/>
      <c r="F11" s="2181"/>
      <c r="G11" s="1293"/>
      <c r="H11" s="2198"/>
      <c r="I11" s="2201" t="s">
        <v>4153</v>
      </c>
      <c r="J11" s="2202"/>
      <c r="K11" s="2201" t="s">
        <v>4154</v>
      </c>
      <c r="L11" s="2202"/>
      <c r="M11" s="2201" t="s">
        <v>4155</v>
      </c>
      <c r="N11" s="2202"/>
      <c r="O11" s="2201"/>
      <c r="P11" s="2202"/>
      <c r="Q11" s="2201"/>
      <c r="R11" s="2202"/>
      <c r="S11" s="2201"/>
      <c r="T11" s="2202"/>
      <c r="U11" s="2201"/>
      <c r="V11" s="2202"/>
      <c r="W11" s="2201"/>
      <c r="X11" s="2202"/>
      <c r="Y11" s="2201"/>
      <c r="Z11" s="2202"/>
      <c r="AA11" s="2201"/>
      <c r="AB11" s="2202"/>
      <c r="AC11" s="1293"/>
      <c r="AD11" s="2203" t="s">
        <v>1899</v>
      </c>
      <c r="AE11" s="1819"/>
      <c r="AF11" s="2203" t="s">
        <v>1899</v>
      </c>
      <c r="AG11" s="1819"/>
      <c r="AH11" s="2203" t="s">
        <v>1900</v>
      </c>
      <c r="AI11" s="2204"/>
      <c r="AJ11" s="2203" t="s">
        <v>1900</v>
      </c>
      <c r="AK11" s="1819"/>
      <c r="AL11" s="1817"/>
      <c r="AM11" s="1819"/>
      <c r="AN11" s="1817"/>
      <c r="AO11" s="1819"/>
      <c r="AP11" s="1817"/>
      <c r="AQ11" s="1819"/>
      <c r="AR11" s="1817"/>
      <c r="AS11" s="1819"/>
      <c r="AT11" s="2164"/>
      <c r="AU11" s="2181"/>
      <c r="AV11" s="1293"/>
      <c r="AW11" s="2164"/>
      <c r="AX11" s="1293"/>
      <c r="AY11" s="27"/>
      <c r="AZ11" s="27"/>
      <c r="BA11" s="27"/>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8"/>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29" t="s">
        <v>1901</v>
      </c>
      <c r="AS12" s="2206" t="s">
        <v>1902</v>
      </c>
      <c r="AT12" s="2209"/>
      <c r="AU12" s="2206"/>
      <c r="AV12" s="30"/>
      <c r="AW12" s="2165"/>
      <c r="AX12" s="30"/>
      <c r="AY12" s="2210"/>
      <c r="AZ12" s="27"/>
      <c r="BA12" s="2198"/>
      <c r="BB12" s="23" t="str">
        <f>I11</f>
        <v>底商</v>
      </c>
      <c r="BC12" s="2211" t="str">
        <f>K11</f>
        <v>平层住宅</v>
      </c>
      <c r="BD12" s="2211" t="str">
        <f>M11</f>
        <v>LOFT住宅</v>
      </c>
      <c r="BE12" s="2186">
        <f>O11</f>
        <v>0</v>
      </c>
      <c r="BF12" s="2186">
        <f>Q11</f>
        <v>0</v>
      </c>
      <c r="BG12" s="2186">
        <f>S11</f>
        <v>0</v>
      </c>
      <c r="BH12" s="2186">
        <f>U11</f>
        <v>0</v>
      </c>
      <c r="BI12" s="2186">
        <f>W11</f>
        <v>0</v>
      </c>
      <c r="BJ12" s="2186">
        <f>Y11</f>
        <v>0</v>
      </c>
      <c r="BK12" s="2186">
        <f>AA11</f>
        <v>0</v>
      </c>
      <c r="BL12" s="1293"/>
      <c r="BM12" s="1817" t="str">
        <f>AD11</f>
        <v>（住宅）</v>
      </c>
      <c r="BN12" s="1817" t="str">
        <f>AF11</f>
        <v>（住宅）</v>
      </c>
      <c r="BO12" s="23" t="str">
        <f>AH11</f>
        <v>（住宅、计出让金）</v>
      </c>
      <c r="BP12" s="23" t="str">
        <f>AJ11</f>
        <v>（住宅、计出让金）</v>
      </c>
      <c r="BQ12" s="23">
        <f>AL11</f>
        <v>0</v>
      </c>
      <c r="BR12" s="23">
        <f>AN11</f>
        <v>0</v>
      </c>
      <c r="BS12" s="24">
        <f>AP11</f>
        <v>0</v>
      </c>
      <c r="BT12" s="2205">
        <f>AR11</f>
        <v>0</v>
      </c>
    </row>
    <row r="13" spans="1:72" s="2166" customFormat="1" ht="12.75">
      <c r="A13" s="1273"/>
      <c r="B13" s="1273"/>
      <c r="C13" s="3316" t="s">
        <v>4146</v>
      </c>
      <c r="D13" s="2212" t="s">
        <v>4151</v>
      </c>
      <c r="E13" s="15">
        <f>IF($C$3="是",ROUND($A$3*G13/$B$3,2),ROUND($A$3*(G13-AT13)/$B$3,2))</f>
        <v>400.04</v>
      </c>
      <c r="F13" s="31"/>
      <c r="G13" s="32">
        <f>H13+AC13+AT13</f>
        <v>1600.16</v>
      </c>
      <c r="H13" s="19">
        <f>SUMIF(I$12:AB$12,"总值",I13:AB13)</f>
        <v>1600.16</v>
      </c>
      <c r="I13" s="2213">
        <f>SUM(未售!I32:I41)+未售!I25</f>
        <v>1600.16</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v>
      </c>
      <c r="AY13" s="1806">
        <f>ROUND($AY$6*AZ13/$AZ$5,2)</f>
        <v>400.04</v>
      </c>
      <c r="AZ13" s="15">
        <f>BA13+BL13</f>
        <v>1600.16</v>
      </c>
      <c r="BA13" s="15">
        <f>SUM(BB13:BK13)</f>
        <v>1600.16</v>
      </c>
      <c r="BB13" s="15">
        <f>IF($D13="是",I13-J13,0)</f>
        <v>1600.16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3"/>
      <c r="B14" s="1273"/>
      <c r="C14" s="2152" t="s">
        <v>4147</v>
      </c>
      <c r="D14" s="2212" t="s">
        <v>4151</v>
      </c>
      <c r="E14" s="15">
        <f>IF($C$3="是",ROUND($A$3*G14/$B$3,2),ROUND($A$3*(G14-AT14)/$B$3,2))</f>
        <v>2911.98</v>
      </c>
      <c r="F14" s="31"/>
      <c r="G14" s="32">
        <f>H14+AC14+AT14</f>
        <v>11647.930000000002</v>
      </c>
      <c r="H14" s="19">
        <f>SUMIF(I$12:AB$12,"总值",I14:AB14)</f>
        <v>11647.930000000002</v>
      </c>
      <c r="I14" s="2213"/>
      <c r="J14" s="2213"/>
      <c r="K14" s="2213"/>
      <c r="L14" s="2213"/>
      <c r="M14" s="2213">
        <f>SUM(未售!I115:I292)</f>
        <v>11647.930000000002</v>
      </c>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6#</v>
      </c>
      <c r="AY14" s="1806">
        <f>ROUND($AY$6*AZ14/$AZ$5,2)</f>
        <v>2911.98</v>
      </c>
      <c r="AZ14" s="15">
        <f>BA14+BL14</f>
        <v>11647.930000000002</v>
      </c>
      <c r="BA14" s="15">
        <f>SUM(BB14:BK14)</f>
        <v>11647.930000000002</v>
      </c>
      <c r="BB14" s="15">
        <f>IF($D14="是",I14-J14,0)</f>
        <v>0</v>
      </c>
      <c r="BC14" s="15">
        <f>IF($D14="是",K14-L14,0)</f>
        <v>0</v>
      </c>
      <c r="BD14" s="15">
        <f>IF($D14="是",M14-N14,0)</f>
        <v>11647.930000000002</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3"/>
      <c r="B15" s="1273"/>
      <c r="C15" s="2152" t="s">
        <v>4148</v>
      </c>
      <c r="D15" s="2212" t="s">
        <v>4151</v>
      </c>
      <c r="E15" s="15">
        <f>IF($C$3="是",ROUND($A$3*G15/$B$3,2),ROUND($A$3*(G15-AT15)/$B$3,2))</f>
        <v>4234.7299999999996</v>
      </c>
      <c r="F15" s="31"/>
      <c r="G15" s="32">
        <f>H15+AC15+AT15</f>
        <v>16938.930000000004</v>
      </c>
      <c r="H15" s="19">
        <f>SUMIF(I$12:AB$12,"总值",I15:AB15)</f>
        <v>16938.930000000004</v>
      </c>
      <c r="I15" s="2213"/>
      <c r="J15" s="2213"/>
      <c r="K15" s="2213">
        <f>SUM(未售!I293:I538)</f>
        <v>16938.930000000004</v>
      </c>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7#</v>
      </c>
      <c r="AY15" s="1806">
        <f>ROUND($AY$6*AZ15/$AZ$5,2)</f>
        <v>4234.7299999999996</v>
      </c>
      <c r="AZ15" s="15">
        <f>BA15+BL15</f>
        <v>16938.930000000004</v>
      </c>
      <c r="BA15" s="15">
        <f>SUM(BB15:BK15)</f>
        <v>16938.930000000004</v>
      </c>
      <c r="BB15" s="15">
        <f>IF($D15="是",I15-J15,0)</f>
        <v>0</v>
      </c>
      <c r="BC15" s="15">
        <f>IF($D15="是",K15-L15,0)</f>
        <v>16938.930000000004</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3"/>
      <c r="B16" s="1273"/>
      <c r="C16" s="2152" t="s">
        <v>4149</v>
      </c>
      <c r="D16" s="2212" t="s">
        <v>4151</v>
      </c>
      <c r="E16" s="15">
        <f>IF($C$3="是",ROUND($A$3*G16/$B$3,2),ROUND($A$3*(G16-AT16)/$B$3,2))</f>
        <v>4074.84</v>
      </c>
      <c r="F16" s="31"/>
      <c r="G16" s="32">
        <f>H16+AC16+AT16</f>
        <v>16299.360000000002</v>
      </c>
      <c r="H16" s="19">
        <f>SUMIF(I$12:AB$12,"总值",I16:AB16)</f>
        <v>16299.360000000002</v>
      </c>
      <c r="I16" s="2213"/>
      <c r="J16" s="2213"/>
      <c r="K16" s="2213">
        <f>SUM(未售!I539:I810)</f>
        <v>16299.360000000002</v>
      </c>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8#</v>
      </c>
      <c r="AY16" s="1806">
        <f>ROUND($AY$6*AZ16/$AZ$5,2)</f>
        <v>4074.84</v>
      </c>
      <c r="AZ16" s="15">
        <f>BA16+BL16</f>
        <v>16299.360000000002</v>
      </c>
      <c r="BA16" s="15">
        <f>SUM(BB16:BK16)</f>
        <v>16299.360000000002</v>
      </c>
      <c r="BB16" s="15">
        <f>IF($D16="是",I16-J16,0)</f>
        <v>0</v>
      </c>
      <c r="BC16" s="15">
        <f>IF($D16="是",K16-L16,0)</f>
        <v>16299.360000000002</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3"/>
      <c r="B17" s="1273"/>
      <c r="C17" s="2152" t="s">
        <v>4150</v>
      </c>
      <c r="D17" s="2212" t="s">
        <v>4151</v>
      </c>
      <c r="E17" s="15">
        <f>IF($C$3="是",ROUND($A$3*G17/$B$3,2),ROUND($A$3*(G17-AT17)/$B$3,2))</f>
        <v>876.21</v>
      </c>
      <c r="F17" s="31"/>
      <c r="G17" s="32">
        <f>H17+AC17+AT17</f>
        <v>3504.82</v>
      </c>
      <c r="H17" s="19">
        <f>SUMIF(I$12:AB$12,"总值",I17:AB17)</f>
        <v>3504.82</v>
      </c>
      <c r="I17" s="2213"/>
      <c r="J17" s="2213"/>
      <c r="K17" s="2213"/>
      <c r="L17" s="2213"/>
      <c r="M17" s="2213">
        <f>SUM(未售!I62:I69)+SUM(未售!I72:I75)+SUM(未售!I82:I114)</f>
        <v>3504.82</v>
      </c>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9#</v>
      </c>
      <c r="AY17" s="1806">
        <f>ROUND($AY$6*AZ17/$AZ$5,2)</f>
        <v>876.21</v>
      </c>
      <c r="AZ17" s="15">
        <f>BA17+BL17</f>
        <v>3504.82</v>
      </c>
      <c r="BA17" s="15">
        <f>SUM(BB17:BK17)</f>
        <v>3504.82</v>
      </c>
      <c r="BB17" s="15">
        <f>IF($D17="是",I17-J17,0)</f>
        <v>0</v>
      </c>
      <c r="BC17" s="15">
        <f>IF($D17="是",K17-L17,0)</f>
        <v>0</v>
      </c>
      <c r="BD17" s="15">
        <f>IF($D17="是",M17-N17,0)</f>
        <v>3504.82</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N810"/>
  <sheetViews>
    <sheetView workbookViewId="0">
      <pane ySplit="1" topLeftCell="A14" activePane="bottomLeft" state="frozen"/>
      <selection activeCell="A24" sqref="A24"/>
      <selection pane="bottomLeft" activeCell="I34" sqref="I34"/>
    </sheetView>
  </sheetViews>
  <sheetFormatPr defaultColWidth="9" defaultRowHeight="14.25"/>
  <cols>
    <col min="1" max="1" width="4.5" style="3281" bestFit="1" customWidth="1"/>
    <col min="2" max="3" width="8.5" style="3281" bestFit="1" customWidth="1"/>
    <col min="4" max="4" width="9" style="3281" bestFit="1" customWidth="1"/>
    <col min="5" max="5" width="13" style="3281" customWidth="1"/>
    <col min="6" max="6" width="14.5" style="3281" hidden="1" customWidth="1"/>
    <col min="7" max="7" width="11.5" style="3281" bestFit="1" customWidth="1"/>
    <col min="8" max="8" width="10.375" style="3290" customWidth="1"/>
    <col min="9" max="10" width="11.5" style="3290" bestFit="1" customWidth="1"/>
    <col min="11" max="16384" width="9" style="3281"/>
  </cols>
  <sheetData>
    <row r="1" spans="1:10">
      <c r="A1" s="3278" t="s">
        <v>3047</v>
      </c>
      <c r="B1" s="3279" t="s">
        <v>3048</v>
      </c>
      <c r="C1" s="3279" t="s">
        <v>3049</v>
      </c>
      <c r="D1" s="3279" t="s">
        <v>3050</v>
      </c>
      <c r="E1" s="3279" t="s">
        <v>3051</v>
      </c>
      <c r="F1" s="3279" t="s">
        <v>3052</v>
      </c>
      <c r="G1" s="3279" t="s">
        <v>3053</v>
      </c>
      <c r="H1" s="3280" t="s">
        <v>3054</v>
      </c>
      <c r="I1" s="3280" t="s">
        <v>3055</v>
      </c>
      <c r="J1" s="3280" t="s">
        <v>3056</v>
      </c>
    </row>
    <row r="2" spans="1:10">
      <c r="A2" s="3282">
        <v>1</v>
      </c>
      <c r="B2" s="3283" t="s">
        <v>3057</v>
      </c>
      <c r="C2" s="3283">
        <v>1</v>
      </c>
      <c r="D2" s="3284" t="s">
        <v>3058</v>
      </c>
      <c r="E2" s="3285" t="str">
        <f>B2&amp;-C2&amp;"-"&amp;D2</f>
        <v>南-1-1-30</v>
      </c>
      <c r="F2" s="3283"/>
      <c r="G2" s="3283" t="s">
        <v>3059</v>
      </c>
      <c r="H2" s="3286"/>
      <c r="I2" s="3286">
        <v>313.18</v>
      </c>
      <c r="J2" s="3286">
        <v>296.95999999999998</v>
      </c>
    </row>
    <row r="3" spans="1:10">
      <c r="A3" s="3282">
        <v>2</v>
      </c>
      <c r="B3" s="3283" t="s">
        <v>3057</v>
      </c>
      <c r="C3" s="3283">
        <v>1</v>
      </c>
      <c r="D3" s="3284" t="s">
        <v>3060</v>
      </c>
      <c r="E3" s="3285" t="str">
        <f t="shared" ref="E3:E66" si="0">B3&amp;-C3&amp;"-"&amp;D3</f>
        <v>南-1-1-28</v>
      </c>
      <c r="F3" s="3283"/>
      <c r="G3" s="3283" t="s">
        <v>3059</v>
      </c>
      <c r="H3" s="3286"/>
      <c r="I3" s="3286">
        <v>338.19</v>
      </c>
      <c r="J3" s="3286">
        <v>320.68</v>
      </c>
    </row>
    <row r="4" spans="1:10">
      <c r="A4" s="3282">
        <v>3</v>
      </c>
      <c r="B4" s="3283" t="s">
        <v>3057</v>
      </c>
      <c r="C4" s="3283">
        <v>1</v>
      </c>
      <c r="D4" s="3284" t="s">
        <v>3061</v>
      </c>
      <c r="E4" s="3285" t="str">
        <f t="shared" si="0"/>
        <v>南-1-1-26</v>
      </c>
      <c r="F4" s="3283"/>
      <c r="G4" s="3283" t="s">
        <v>3059</v>
      </c>
      <c r="H4" s="3286"/>
      <c r="I4" s="3286">
        <v>309.39999999999998</v>
      </c>
      <c r="J4" s="3286">
        <v>293.38</v>
      </c>
    </row>
    <row r="5" spans="1:10">
      <c r="A5" s="3282">
        <v>4</v>
      </c>
      <c r="B5" s="3283" t="s">
        <v>3057</v>
      </c>
      <c r="C5" s="3283">
        <v>1</v>
      </c>
      <c r="D5" s="3284" t="s">
        <v>3062</v>
      </c>
      <c r="E5" s="3285" t="str">
        <f t="shared" si="0"/>
        <v>南-1-1-27</v>
      </c>
      <c r="F5" s="3283"/>
      <c r="G5" s="3283" t="s">
        <v>3059</v>
      </c>
      <c r="H5" s="3286"/>
      <c r="I5" s="3286">
        <v>59.05</v>
      </c>
      <c r="J5" s="3286">
        <v>55.99</v>
      </c>
    </row>
    <row r="6" spans="1:10">
      <c r="A6" s="3282">
        <v>5</v>
      </c>
      <c r="B6" s="3283" t="s">
        <v>3057</v>
      </c>
      <c r="C6" s="3283">
        <v>1</v>
      </c>
      <c r="D6" s="3284" t="s">
        <v>3063</v>
      </c>
      <c r="E6" s="3285" t="str">
        <f t="shared" si="0"/>
        <v>南-1-1-25</v>
      </c>
      <c r="F6" s="3283"/>
      <c r="G6" s="3283" t="s">
        <v>3059</v>
      </c>
      <c r="H6" s="3286"/>
      <c r="I6" s="3286">
        <v>175.37</v>
      </c>
      <c r="J6" s="3286">
        <v>166.29</v>
      </c>
    </row>
    <row r="7" spans="1:10">
      <c r="A7" s="3282">
        <v>6</v>
      </c>
      <c r="B7" s="3283" t="s">
        <v>3057</v>
      </c>
      <c r="C7" s="3283">
        <v>1</v>
      </c>
      <c r="D7" s="3284" t="s">
        <v>3064</v>
      </c>
      <c r="E7" s="3285" t="str">
        <f t="shared" si="0"/>
        <v>南-1-1-17</v>
      </c>
      <c r="F7" s="3283"/>
      <c r="G7" s="3283" t="s">
        <v>3059</v>
      </c>
      <c r="H7" s="3286"/>
      <c r="I7" s="3286">
        <v>95.31</v>
      </c>
      <c r="J7" s="3286">
        <v>90.37</v>
      </c>
    </row>
    <row r="8" spans="1:10">
      <c r="A8" s="3282">
        <v>7</v>
      </c>
      <c r="B8" s="3283" t="s">
        <v>3057</v>
      </c>
      <c r="C8" s="3283">
        <v>1</v>
      </c>
      <c r="D8" s="3284" t="s">
        <v>3065</v>
      </c>
      <c r="E8" s="3285" t="str">
        <f t="shared" si="0"/>
        <v>南-1-1-18</v>
      </c>
      <c r="F8" s="3283"/>
      <c r="G8" s="3283" t="s">
        <v>3059</v>
      </c>
      <c r="H8" s="3286"/>
      <c r="I8" s="3286">
        <v>205.83</v>
      </c>
      <c r="J8" s="3286">
        <v>195.17</v>
      </c>
    </row>
    <row r="9" spans="1:10">
      <c r="A9" s="3282">
        <v>8</v>
      </c>
      <c r="B9" s="3283" t="s">
        <v>3057</v>
      </c>
      <c r="C9" s="3283">
        <v>1</v>
      </c>
      <c r="D9" s="3284" t="s">
        <v>3066</v>
      </c>
      <c r="E9" s="3285" t="str">
        <f t="shared" si="0"/>
        <v>南-1-1-19</v>
      </c>
      <c r="F9" s="3283"/>
      <c r="G9" s="3283" t="s">
        <v>3059</v>
      </c>
      <c r="H9" s="3286"/>
      <c r="I9" s="3286">
        <v>175.22</v>
      </c>
      <c r="J9" s="3286">
        <v>120.14</v>
      </c>
    </row>
    <row r="10" spans="1:10">
      <c r="A10" s="3282">
        <v>9</v>
      </c>
      <c r="B10" s="3283" t="s">
        <v>3057</v>
      </c>
      <c r="C10" s="3283">
        <v>1</v>
      </c>
      <c r="D10" s="3284" t="s">
        <v>3067</v>
      </c>
      <c r="E10" s="3285" t="str">
        <f t="shared" si="0"/>
        <v>南-1-1-20</v>
      </c>
      <c r="F10" s="3283"/>
      <c r="G10" s="3283" t="s">
        <v>3059</v>
      </c>
      <c r="H10" s="3286"/>
      <c r="I10" s="3286">
        <v>133.22999999999999</v>
      </c>
      <c r="J10" s="3286">
        <v>126.33</v>
      </c>
    </row>
    <row r="11" spans="1:10">
      <c r="A11" s="3282">
        <v>10</v>
      </c>
      <c r="B11" s="3283" t="s">
        <v>3057</v>
      </c>
      <c r="C11" s="3283">
        <v>1</v>
      </c>
      <c r="D11" s="3284" t="s">
        <v>3068</v>
      </c>
      <c r="E11" s="3285" t="str">
        <f t="shared" si="0"/>
        <v>南-1-1-21</v>
      </c>
      <c r="F11" s="3283"/>
      <c r="G11" s="3283" t="s">
        <v>3059</v>
      </c>
      <c r="H11" s="3286"/>
      <c r="I11" s="3286">
        <v>101.16</v>
      </c>
      <c r="J11" s="3286">
        <v>69.36</v>
      </c>
    </row>
    <row r="12" spans="1:10">
      <c r="A12" s="3282">
        <v>11</v>
      </c>
      <c r="B12" s="3283" t="s">
        <v>3057</v>
      </c>
      <c r="C12" s="3283">
        <v>1</v>
      </c>
      <c r="D12" s="3284" t="s">
        <v>3069</v>
      </c>
      <c r="E12" s="3285" t="str">
        <f t="shared" si="0"/>
        <v>南-1-1-22</v>
      </c>
      <c r="F12" s="3283"/>
      <c r="G12" s="3283" t="s">
        <v>3059</v>
      </c>
      <c r="H12" s="3286"/>
      <c r="I12" s="3286">
        <v>118.15</v>
      </c>
      <c r="J12" s="3286">
        <v>81.010000000000005</v>
      </c>
    </row>
    <row r="13" spans="1:10">
      <c r="A13" s="3282">
        <v>12</v>
      </c>
      <c r="B13" s="3283" t="s">
        <v>3057</v>
      </c>
      <c r="C13" s="3283">
        <v>1</v>
      </c>
      <c r="D13" s="3284" t="s">
        <v>3070</v>
      </c>
      <c r="E13" s="3285" t="str">
        <f t="shared" si="0"/>
        <v>南-1-1-23</v>
      </c>
      <c r="F13" s="3283"/>
      <c r="G13" s="3283" t="s">
        <v>3059</v>
      </c>
      <c r="H13" s="3286"/>
      <c r="I13" s="3286">
        <v>149.86000000000001</v>
      </c>
      <c r="J13" s="3286">
        <v>142.1</v>
      </c>
    </row>
    <row r="14" spans="1:10">
      <c r="A14" s="3282">
        <v>13</v>
      </c>
      <c r="B14" s="3283" t="s">
        <v>3057</v>
      </c>
      <c r="C14" s="3283">
        <v>1</v>
      </c>
      <c r="D14" s="3284" t="s">
        <v>3071</v>
      </c>
      <c r="E14" s="3285" t="str">
        <f t="shared" si="0"/>
        <v>南-1-1-24</v>
      </c>
      <c r="F14" s="3283"/>
      <c r="G14" s="3283" t="s">
        <v>3059</v>
      </c>
      <c r="H14" s="3286"/>
      <c r="I14" s="3286">
        <v>174.88</v>
      </c>
      <c r="J14" s="3286">
        <v>119.91</v>
      </c>
    </row>
    <row r="15" spans="1:10">
      <c r="A15" s="3282">
        <v>14</v>
      </c>
      <c r="B15" s="3283" t="s">
        <v>3057</v>
      </c>
      <c r="C15" s="3283">
        <v>1</v>
      </c>
      <c r="D15" s="3284" t="s">
        <v>3072</v>
      </c>
      <c r="E15" s="3285" t="str">
        <f t="shared" si="0"/>
        <v>南-1-1-14</v>
      </c>
      <c r="F15" s="3283"/>
      <c r="G15" s="3283" t="s">
        <v>3059</v>
      </c>
      <c r="H15" s="3286"/>
      <c r="I15" s="3286">
        <v>201.4</v>
      </c>
      <c r="J15" s="3286">
        <v>190.06</v>
      </c>
    </row>
    <row r="16" spans="1:10">
      <c r="A16" s="3282">
        <v>15</v>
      </c>
      <c r="B16" s="3283" t="s">
        <v>3057</v>
      </c>
      <c r="C16" s="3283">
        <v>1</v>
      </c>
      <c r="D16" s="3284" t="s">
        <v>3073</v>
      </c>
      <c r="E16" s="3285" t="str">
        <f t="shared" si="0"/>
        <v>南-1-1-15</v>
      </c>
      <c r="F16" s="3283"/>
      <c r="G16" s="3283" t="s">
        <v>3059</v>
      </c>
      <c r="H16" s="3286"/>
      <c r="I16" s="3286">
        <v>167.63</v>
      </c>
      <c r="J16" s="3286">
        <v>158.19</v>
      </c>
    </row>
    <row r="17" spans="1:11">
      <c r="A17" s="3282">
        <v>16</v>
      </c>
      <c r="B17" s="3283" t="s">
        <v>3057</v>
      </c>
      <c r="C17" s="3283">
        <v>1</v>
      </c>
      <c r="D17" s="3284" t="s">
        <v>3074</v>
      </c>
      <c r="E17" s="3285" t="str">
        <f t="shared" si="0"/>
        <v>南-1-1-16</v>
      </c>
      <c r="F17" s="3283"/>
      <c r="G17" s="3283" t="s">
        <v>3059</v>
      </c>
      <c r="H17" s="3286"/>
      <c r="I17" s="3286">
        <v>234.4</v>
      </c>
      <c r="J17" s="3286">
        <v>221.2</v>
      </c>
    </row>
    <row r="18" spans="1:11">
      <c r="A18" s="3282">
        <v>17</v>
      </c>
      <c r="B18" s="3283" t="s">
        <v>3057</v>
      </c>
      <c r="C18" s="3283">
        <v>1</v>
      </c>
      <c r="D18" s="3284" t="s">
        <v>3075</v>
      </c>
      <c r="E18" s="3285" t="str">
        <f t="shared" si="0"/>
        <v>南-1-1-1</v>
      </c>
      <c r="F18" s="3283"/>
      <c r="G18" s="3283" t="s">
        <v>3059</v>
      </c>
      <c r="H18" s="3286"/>
      <c r="I18" s="3286">
        <v>119.45</v>
      </c>
      <c r="J18" s="3286">
        <v>112.72</v>
      </c>
    </row>
    <row r="19" spans="1:11">
      <c r="A19" s="3282">
        <v>18</v>
      </c>
      <c r="B19" s="3283" t="s">
        <v>3057</v>
      </c>
      <c r="C19" s="3283">
        <v>1</v>
      </c>
      <c r="D19" s="3284" t="s">
        <v>3076</v>
      </c>
      <c r="E19" s="3285" t="str">
        <f t="shared" si="0"/>
        <v>南-1-1-4</v>
      </c>
      <c r="F19" s="3283"/>
      <c r="G19" s="3283" t="s">
        <v>3059</v>
      </c>
      <c r="H19" s="3286"/>
      <c r="I19" s="3286">
        <v>39.08</v>
      </c>
      <c r="J19" s="3286">
        <v>36.880000000000003</v>
      </c>
    </row>
    <row r="20" spans="1:11">
      <c r="A20" s="3282">
        <v>19</v>
      </c>
      <c r="B20" s="3283" t="s">
        <v>3057</v>
      </c>
      <c r="C20" s="3283">
        <v>1</v>
      </c>
      <c r="D20" s="3284" t="s">
        <v>3077</v>
      </c>
      <c r="E20" s="3285" t="str">
        <f t="shared" si="0"/>
        <v>南-1-1-5</v>
      </c>
      <c r="F20" s="3283"/>
      <c r="G20" s="3283" t="s">
        <v>3059</v>
      </c>
      <c r="H20" s="3286"/>
      <c r="I20" s="3286">
        <v>117.1</v>
      </c>
      <c r="J20" s="3286">
        <v>77.239999999999995</v>
      </c>
    </row>
    <row r="21" spans="1:11">
      <c r="A21" s="3282">
        <v>20</v>
      </c>
      <c r="B21" s="3283" t="s">
        <v>3057</v>
      </c>
      <c r="C21" s="3283">
        <v>1</v>
      </c>
      <c r="D21" s="3284" t="s">
        <v>3078</v>
      </c>
      <c r="E21" s="3285" t="str">
        <f t="shared" si="0"/>
        <v>南-1-1-13</v>
      </c>
      <c r="F21" s="3283"/>
      <c r="G21" s="3283" t="s">
        <v>3059</v>
      </c>
      <c r="H21" s="3286"/>
      <c r="I21" s="3286">
        <v>247.32</v>
      </c>
      <c r="J21" s="3286">
        <v>233.39</v>
      </c>
    </row>
    <row r="22" spans="1:11">
      <c r="A22" s="3282">
        <v>21</v>
      </c>
      <c r="B22" s="3283" t="s">
        <v>3057</v>
      </c>
      <c r="C22" s="3283">
        <v>1</v>
      </c>
      <c r="D22" s="3284" t="s">
        <v>3079</v>
      </c>
      <c r="E22" s="3285" t="str">
        <f t="shared" si="0"/>
        <v>南-1-1-32</v>
      </c>
      <c r="F22" s="3283"/>
      <c r="G22" s="3283" t="s">
        <v>3059</v>
      </c>
      <c r="H22" s="3286"/>
      <c r="I22" s="3286">
        <v>218.81</v>
      </c>
      <c r="J22" s="3286">
        <v>144.05000000000001</v>
      </c>
    </row>
    <row r="23" spans="1:11">
      <c r="A23" s="3282">
        <v>22</v>
      </c>
      <c r="B23" s="3283" t="s">
        <v>3057</v>
      </c>
      <c r="C23" s="3283">
        <v>1</v>
      </c>
      <c r="D23" s="3284" t="s">
        <v>3080</v>
      </c>
      <c r="E23" s="3285" t="str">
        <f t="shared" si="0"/>
        <v>南-1-1-36</v>
      </c>
      <c r="F23" s="3283"/>
      <c r="G23" s="3283" t="s">
        <v>3059</v>
      </c>
      <c r="H23" s="3286"/>
      <c r="I23" s="3286">
        <v>117.32</v>
      </c>
      <c r="J23" s="3286">
        <v>77.239999999999995</v>
      </c>
    </row>
    <row r="24" spans="1:11">
      <c r="A24" s="3282">
        <v>23</v>
      </c>
      <c r="B24" s="3283" t="s">
        <v>3057</v>
      </c>
      <c r="C24" s="3283">
        <v>1</v>
      </c>
      <c r="D24" s="3284" t="s">
        <v>3081</v>
      </c>
      <c r="E24" s="3285" t="str">
        <f t="shared" si="0"/>
        <v>南-1-1-40</v>
      </c>
      <c r="F24" s="3283"/>
      <c r="G24" s="3283" t="s">
        <v>3059</v>
      </c>
      <c r="H24" s="3286"/>
      <c r="I24" s="3286">
        <v>120.2</v>
      </c>
      <c r="J24" s="3286">
        <v>113.2</v>
      </c>
    </row>
    <row r="25" spans="1:11">
      <c r="A25" s="3282">
        <v>24</v>
      </c>
      <c r="B25" s="3283" t="s">
        <v>3057</v>
      </c>
      <c r="C25" s="3283">
        <v>5</v>
      </c>
      <c r="D25" s="3284" t="s">
        <v>3082</v>
      </c>
      <c r="E25" s="3285" t="str">
        <f t="shared" si="0"/>
        <v>南-5-5-11</v>
      </c>
      <c r="F25" s="3283"/>
      <c r="G25" s="3283" t="s">
        <v>3059</v>
      </c>
      <c r="H25" s="3286"/>
      <c r="I25" s="3287">
        <v>200.31</v>
      </c>
      <c r="J25" s="3286">
        <v>189.55</v>
      </c>
    </row>
    <row r="26" spans="1:11">
      <c r="A26" s="3282">
        <v>25</v>
      </c>
      <c r="B26" s="3283" t="s">
        <v>3057</v>
      </c>
      <c r="C26" s="3283">
        <v>5</v>
      </c>
      <c r="D26" s="3284" t="s">
        <v>3083</v>
      </c>
      <c r="E26" s="3285" t="str">
        <f t="shared" si="0"/>
        <v>南-5-5-23</v>
      </c>
      <c r="F26" s="3283"/>
      <c r="G26" s="3283" t="s">
        <v>3059</v>
      </c>
      <c r="H26" s="3286"/>
      <c r="I26" s="3286">
        <v>62.72</v>
      </c>
      <c r="J26" s="3286">
        <v>59.35</v>
      </c>
    </row>
    <row r="27" spans="1:11">
      <c r="A27" s="3282">
        <v>26</v>
      </c>
      <c r="B27" s="3283" t="s">
        <v>3057</v>
      </c>
      <c r="C27" s="3283">
        <v>5</v>
      </c>
      <c r="D27" s="3284" t="s">
        <v>3084</v>
      </c>
      <c r="E27" s="3285" t="str">
        <f t="shared" si="0"/>
        <v>南-5-5-24</v>
      </c>
      <c r="F27" s="3283"/>
      <c r="G27" s="3283" t="s">
        <v>3059</v>
      </c>
      <c r="H27" s="3286"/>
      <c r="I27" s="3286">
        <v>318.85000000000002</v>
      </c>
      <c r="J27" s="3286">
        <v>301.72000000000003</v>
      </c>
    </row>
    <row r="28" spans="1:11">
      <c r="A28" s="3282">
        <v>27</v>
      </c>
      <c r="B28" s="3283" t="s">
        <v>3057</v>
      </c>
      <c r="C28" s="3283">
        <v>5</v>
      </c>
      <c r="D28" s="3284" t="s">
        <v>3085</v>
      </c>
      <c r="E28" s="3285" t="str">
        <f t="shared" si="0"/>
        <v>南-5-5-26</v>
      </c>
      <c r="F28" s="3283"/>
      <c r="G28" s="3283" t="s">
        <v>3059</v>
      </c>
      <c r="H28" s="3286"/>
      <c r="I28" s="3286">
        <v>39.159999999999997</v>
      </c>
      <c r="J28" s="3286">
        <v>37.06</v>
      </c>
    </row>
    <row r="29" spans="1:11">
      <c r="A29" s="3282">
        <v>28</v>
      </c>
      <c r="B29" s="3283" t="s">
        <v>3057</v>
      </c>
      <c r="C29" s="3283">
        <v>5</v>
      </c>
      <c r="D29" s="3284" t="s">
        <v>3086</v>
      </c>
      <c r="E29" s="3285" t="str">
        <f t="shared" si="0"/>
        <v>南-5-5-30</v>
      </c>
      <c r="F29" s="3283"/>
      <c r="G29" s="3283" t="s">
        <v>3059</v>
      </c>
      <c r="H29" s="3286"/>
      <c r="I29" s="3286">
        <v>38.97</v>
      </c>
      <c r="J29" s="3286">
        <v>36.880000000000003</v>
      </c>
    </row>
    <row r="30" spans="1:11">
      <c r="A30" s="3282">
        <v>29</v>
      </c>
      <c r="B30" s="3283" t="s">
        <v>3057</v>
      </c>
      <c r="C30" s="3283">
        <v>5</v>
      </c>
      <c r="D30" s="3284" t="s">
        <v>3087</v>
      </c>
      <c r="E30" s="3285" t="str">
        <f t="shared" si="0"/>
        <v>南-5-5-32</v>
      </c>
      <c r="F30" s="3283"/>
      <c r="G30" s="3283" t="s">
        <v>3059</v>
      </c>
      <c r="H30" s="3286"/>
      <c r="I30" s="3286">
        <v>39.06</v>
      </c>
      <c r="J30" s="3286">
        <v>36.96</v>
      </c>
    </row>
    <row r="31" spans="1:11">
      <c r="A31" s="3282">
        <v>30</v>
      </c>
      <c r="B31" s="3283" t="s">
        <v>3057</v>
      </c>
      <c r="C31" s="3283">
        <v>5</v>
      </c>
      <c r="D31" s="3284" t="s">
        <v>3088</v>
      </c>
      <c r="E31" s="3285" t="str">
        <f t="shared" si="0"/>
        <v>南-5-5-33</v>
      </c>
      <c r="F31" s="3283"/>
      <c r="G31" s="3283" t="s">
        <v>3059</v>
      </c>
      <c r="H31" s="3286"/>
      <c r="I31" s="3286">
        <v>113.02</v>
      </c>
      <c r="J31" s="3286">
        <v>106.95</v>
      </c>
      <c r="K31" s="3281">
        <v>1</v>
      </c>
    </row>
    <row r="32" spans="1:11">
      <c r="A32" s="3282">
        <v>31</v>
      </c>
      <c r="B32" s="3283" t="s">
        <v>3057</v>
      </c>
      <c r="C32" s="3283">
        <v>5</v>
      </c>
      <c r="D32" s="3284" t="s">
        <v>3089</v>
      </c>
      <c r="E32" s="3285" t="str">
        <f t="shared" si="0"/>
        <v>南-5-5-8</v>
      </c>
      <c r="F32" s="3283"/>
      <c r="G32" s="3283" t="s">
        <v>3059</v>
      </c>
      <c r="H32" s="3286"/>
      <c r="I32" s="3287">
        <v>181.26</v>
      </c>
      <c r="J32" s="3286">
        <v>171.52</v>
      </c>
      <c r="K32" s="3281">
        <v>1</v>
      </c>
    </row>
    <row r="33" spans="1:12">
      <c r="A33" s="3282">
        <v>32</v>
      </c>
      <c r="B33" s="3283" t="s">
        <v>3057</v>
      </c>
      <c r="C33" s="3283">
        <v>5</v>
      </c>
      <c r="D33" s="3284" t="s">
        <v>3090</v>
      </c>
      <c r="E33" s="3285" t="str">
        <f t="shared" si="0"/>
        <v>南-5-5-9</v>
      </c>
      <c r="F33" s="3283"/>
      <c r="G33" s="3283" t="s">
        <v>3059</v>
      </c>
      <c r="H33" s="3286"/>
      <c r="I33" s="3287">
        <v>190.05</v>
      </c>
      <c r="J33" s="3286">
        <v>179.84</v>
      </c>
      <c r="K33" s="3281">
        <v>1</v>
      </c>
    </row>
    <row r="34" spans="1:12">
      <c r="A34" s="3282">
        <v>33</v>
      </c>
      <c r="B34" s="3283" t="s">
        <v>3057</v>
      </c>
      <c r="C34" s="3283">
        <v>5</v>
      </c>
      <c r="D34" s="3284" t="s">
        <v>3091</v>
      </c>
      <c r="E34" s="3285" t="str">
        <f t="shared" si="0"/>
        <v>南-5-5-10</v>
      </c>
      <c r="F34" s="3283"/>
      <c r="G34" s="3283" t="s">
        <v>3059</v>
      </c>
      <c r="H34" s="3286"/>
      <c r="I34" s="3287">
        <v>266.83</v>
      </c>
      <c r="J34" s="3286">
        <v>252.49</v>
      </c>
      <c r="K34" s="3281">
        <v>1</v>
      </c>
    </row>
    <row r="35" spans="1:12">
      <c r="A35" s="3282">
        <v>34</v>
      </c>
      <c r="B35" s="3283" t="s">
        <v>3057</v>
      </c>
      <c r="C35" s="3283">
        <v>5</v>
      </c>
      <c r="D35" s="3284" t="s">
        <v>3092</v>
      </c>
      <c r="E35" s="3285" t="str">
        <f t="shared" si="0"/>
        <v>南-5-5-7</v>
      </c>
      <c r="F35" s="3283"/>
      <c r="G35" s="3283" t="s">
        <v>3059</v>
      </c>
      <c r="H35" s="3286"/>
      <c r="I35" s="3287">
        <v>129.46</v>
      </c>
      <c r="J35" s="3286">
        <v>122.58</v>
      </c>
      <c r="K35" s="3281">
        <v>1</v>
      </c>
    </row>
    <row r="36" spans="1:12">
      <c r="A36" s="3282">
        <v>35</v>
      </c>
      <c r="B36" s="3283" t="s">
        <v>3057</v>
      </c>
      <c r="C36" s="3283">
        <v>5</v>
      </c>
      <c r="D36" s="3284" t="s">
        <v>3093</v>
      </c>
      <c r="E36" s="3285" t="str">
        <f t="shared" si="0"/>
        <v>南-5-5-6</v>
      </c>
      <c r="F36" s="3283"/>
      <c r="G36" s="3283" t="s">
        <v>3059</v>
      </c>
      <c r="H36" s="3286"/>
      <c r="I36" s="3287">
        <v>78.08</v>
      </c>
      <c r="J36" s="3286">
        <v>73.930000000000007</v>
      </c>
      <c r="K36" s="3281">
        <v>1</v>
      </c>
    </row>
    <row r="37" spans="1:12">
      <c r="A37" s="3282">
        <v>36</v>
      </c>
      <c r="B37" s="3283" t="s">
        <v>3057</v>
      </c>
      <c r="C37" s="3283">
        <v>5</v>
      </c>
      <c r="D37" s="3284" t="s">
        <v>3094</v>
      </c>
      <c r="E37" s="3285" t="str">
        <f t="shared" si="0"/>
        <v>南-5-5-5</v>
      </c>
      <c r="F37" s="3283"/>
      <c r="G37" s="3283" t="s">
        <v>3059</v>
      </c>
      <c r="H37" s="3286"/>
      <c r="I37" s="3287">
        <v>150.29</v>
      </c>
      <c r="J37" s="3286">
        <v>100.55</v>
      </c>
      <c r="K37" s="3281">
        <v>1</v>
      </c>
    </row>
    <row r="38" spans="1:12">
      <c r="A38" s="3282">
        <v>37</v>
      </c>
      <c r="B38" s="3283" t="s">
        <v>3057</v>
      </c>
      <c r="C38" s="3283">
        <v>5</v>
      </c>
      <c r="D38" s="3284" t="s">
        <v>3095</v>
      </c>
      <c r="E38" s="3285" t="str">
        <f t="shared" si="0"/>
        <v>南-5-5-4</v>
      </c>
      <c r="F38" s="3283"/>
      <c r="G38" s="3283" t="s">
        <v>3059</v>
      </c>
      <c r="H38" s="3286"/>
      <c r="I38" s="3287">
        <v>142.37</v>
      </c>
      <c r="J38" s="3286">
        <v>95.25</v>
      </c>
      <c r="K38" s="3281">
        <v>1</v>
      </c>
      <c r="L38" s="3288"/>
    </row>
    <row r="39" spans="1:12">
      <c r="A39" s="3282">
        <v>38</v>
      </c>
      <c r="B39" s="3283" t="s">
        <v>3057</v>
      </c>
      <c r="C39" s="3283">
        <v>5</v>
      </c>
      <c r="D39" s="3284" t="s">
        <v>3096</v>
      </c>
      <c r="E39" s="3285" t="str">
        <f t="shared" si="0"/>
        <v>南-5-5-3</v>
      </c>
      <c r="F39" s="3283"/>
      <c r="G39" s="3283" t="s">
        <v>3059</v>
      </c>
      <c r="H39" s="3286"/>
      <c r="I39" s="3287">
        <v>77.760000000000005</v>
      </c>
      <c r="J39" s="3286">
        <v>73.63</v>
      </c>
      <c r="K39" s="3281">
        <v>1</v>
      </c>
      <c r="L39" s="3288"/>
    </row>
    <row r="40" spans="1:12">
      <c r="A40" s="3282">
        <v>39</v>
      </c>
      <c r="B40" s="3283" t="s">
        <v>3057</v>
      </c>
      <c r="C40" s="3283">
        <v>5</v>
      </c>
      <c r="D40" s="3284" t="s">
        <v>3097</v>
      </c>
      <c r="E40" s="3285" t="str">
        <f t="shared" si="0"/>
        <v>南-5-5-2</v>
      </c>
      <c r="F40" s="3283"/>
      <c r="G40" s="3283" t="s">
        <v>3059</v>
      </c>
      <c r="H40" s="3286"/>
      <c r="I40" s="3287">
        <v>47.03</v>
      </c>
      <c r="J40" s="3286">
        <v>44.53</v>
      </c>
      <c r="K40" s="3281">
        <v>1</v>
      </c>
    </row>
    <row r="41" spans="1:12">
      <c r="A41" s="3282">
        <v>40</v>
      </c>
      <c r="B41" s="3283" t="s">
        <v>3057</v>
      </c>
      <c r="C41" s="3283">
        <v>5</v>
      </c>
      <c r="D41" s="3284" t="s">
        <v>3098</v>
      </c>
      <c r="E41" s="3285" t="str">
        <f t="shared" si="0"/>
        <v>南-5-5-1</v>
      </c>
      <c r="F41" s="3283"/>
      <c r="G41" s="3283" t="s">
        <v>3059</v>
      </c>
      <c r="H41" s="3286"/>
      <c r="I41" s="3287">
        <v>136.72</v>
      </c>
      <c r="J41" s="3286">
        <v>129.44999999999999</v>
      </c>
      <c r="K41" s="3281">
        <v>1</v>
      </c>
    </row>
    <row r="42" spans="1:12">
      <c r="A42" s="3282">
        <v>41</v>
      </c>
      <c r="B42" s="3283" t="s">
        <v>3057</v>
      </c>
      <c r="C42" s="3283">
        <v>5</v>
      </c>
      <c r="D42" s="3284" t="s">
        <v>3099</v>
      </c>
      <c r="E42" s="3285" t="str">
        <f t="shared" si="0"/>
        <v>南-5-5-12</v>
      </c>
      <c r="F42" s="3283"/>
      <c r="G42" s="3283" t="s">
        <v>3059</v>
      </c>
      <c r="H42" s="3286"/>
      <c r="I42" s="3286">
        <v>185.23</v>
      </c>
      <c r="J42" s="3286">
        <v>175.6</v>
      </c>
    </row>
    <row r="43" spans="1:12">
      <c r="A43" s="3282">
        <v>42</v>
      </c>
      <c r="B43" s="3283" t="s">
        <v>3057</v>
      </c>
      <c r="C43" s="3283">
        <v>5</v>
      </c>
      <c r="D43" s="3284" t="s">
        <v>3100</v>
      </c>
      <c r="E43" s="3285" t="str">
        <f t="shared" si="0"/>
        <v>南-5-5-22</v>
      </c>
      <c r="F43" s="3283"/>
      <c r="G43" s="3283" t="s">
        <v>3059</v>
      </c>
      <c r="H43" s="3286"/>
      <c r="I43" s="3286">
        <v>85.72</v>
      </c>
      <c r="J43" s="3286">
        <v>60.4</v>
      </c>
    </row>
    <row r="44" spans="1:12">
      <c r="A44" s="3282">
        <v>43</v>
      </c>
      <c r="B44" s="3283" t="s">
        <v>3057</v>
      </c>
      <c r="C44" s="3283">
        <v>5</v>
      </c>
      <c r="D44" s="3284" t="s">
        <v>3101</v>
      </c>
      <c r="E44" s="3285" t="str">
        <f t="shared" si="0"/>
        <v>南-5-5-21</v>
      </c>
      <c r="F44" s="3283"/>
      <c r="G44" s="3283" t="s">
        <v>3059</v>
      </c>
      <c r="H44" s="3286"/>
      <c r="I44" s="3286">
        <v>91.03</v>
      </c>
      <c r="J44" s="3286">
        <v>56.88</v>
      </c>
    </row>
    <row r="45" spans="1:12">
      <c r="A45" s="3282">
        <v>44</v>
      </c>
      <c r="B45" s="3283" t="s">
        <v>3057</v>
      </c>
      <c r="C45" s="3283">
        <v>5</v>
      </c>
      <c r="D45" s="3284" t="s">
        <v>3102</v>
      </c>
      <c r="E45" s="3285" t="str">
        <f t="shared" si="0"/>
        <v>南-5-5-20</v>
      </c>
      <c r="F45" s="3283"/>
      <c r="G45" s="3283" t="s">
        <v>3059</v>
      </c>
      <c r="H45" s="3286"/>
      <c r="I45" s="3286">
        <v>90.52</v>
      </c>
      <c r="J45" s="3286">
        <v>60.06</v>
      </c>
    </row>
    <row r="46" spans="1:12">
      <c r="A46" s="3282">
        <v>45</v>
      </c>
      <c r="B46" s="3283" t="s">
        <v>3057</v>
      </c>
      <c r="C46" s="3283">
        <v>5</v>
      </c>
      <c r="D46" s="3284" t="s">
        <v>3103</v>
      </c>
      <c r="E46" s="3285" t="str">
        <f t="shared" si="0"/>
        <v>南-5-5-19</v>
      </c>
      <c r="F46" s="3283"/>
      <c r="G46" s="3283" t="s">
        <v>3059</v>
      </c>
      <c r="H46" s="3286"/>
      <c r="I46" s="3286">
        <v>66.83</v>
      </c>
      <c r="J46" s="3286">
        <v>63.36</v>
      </c>
    </row>
    <row r="47" spans="1:12">
      <c r="A47" s="3282">
        <v>46</v>
      </c>
      <c r="B47" s="3283" t="s">
        <v>3057</v>
      </c>
      <c r="C47" s="3283">
        <v>5</v>
      </c>
      <c r="D47" s="3284" t="s">
        <v>3104</v>
      </c>
      <c r="E47" s="3285" t="str">
        <f t="shared" si="0"/>
        <v>南-5-5-18</v>
      </c>
      <c r="F47" s="3283"/>
      <c r="G47" s="3283" t="s">
        <v>3059</v>
      </c>
      <c r="H47" s="3286"/>
      <c r="I47" s="3286">
        <v>52.9</v>
      </c>
      <c r="J47" s="3286">
        <v>50.15</v>
      </c>
    </row>
    <row r="48" spans="1:12">
      <c r="A48" s="3282">
        <v>47</v>
      </c>
      <c r="B48" s="3283" t="s">
        <v>3057</v>
      </c>
      <c r="C48" s="3283">
        <v>5</v>
      </c>
      <c r="D48" s="3284" t="s">
        <v>3105</v>
      </c>
      <c r="E48" s="3285" t="str">
        <f t="shared" si="0"/>
        <v>南-5-5-17</v>
      </c>
      <c r="F48" s="3283"/>
      <c r="G48" s="3283" t="s">
        <v>3059</v>
      </c>
      <c r="H48" s="3286"/>
      <c r="I48" s="3286">
        <v>60.93</v>
      </c>
      <c r="J48" s="3286">
        <v>57.76</v>
      </c>
    </row>
    <row r="49" spans="1:14">
      <c r="A49" s="3282">
        <v>48</v>
      </c>
      <c r="B49" s="3283" t="s">
        <v>3057</v>
      </c>
      <c r="C49" s="3283">
        <v>5</v>
      </c>
      <c r="D49" s="3284" t="s">
        <v>3106</v>
      </c>
      <c r="E49" s="3285" t="str">
        <f t="shared" si="0"/>
        <v>南-5-5-16</v>
      </c>
      <c r="F49" s="3283"/>
      <c r="G49" s="3283" t="s">
        <v>3059</v>
      </c>
      <c r="H49" s="3286"/>
      <c r="I49" s="3286">
        <v>64.23</v>
      </c>
      <c r="J49" s="3286">
        <v>60.89</v>
      </c>
    </row>
    <row r="50" spans="1:14">
      <c r="A50" s="3282">
        <v>49</v>
      </c>
      <c r="B50" s="3283" t="s">
        <v>3057</v>
      </c>
      <c r="C50" s="3283">
        <v>5</v>
      </c>
      <c r="D50" s="3284" t="s">
        <v>3107</v>
      </c>
      <c r="E50" s="3285" t="str">
        <f t="shared" si="0"/>
        <v>南-5-5-15</v>
      </c>
      <c r="F50" s="3283"/>
      <c r="G50" s="3283" t="s">
        <v>3059</v>
      </c>
      <c r="H50" s="3286"/>
      <c r="I50" s="3286">
        <v>64.2</v>
      </c>
      <c r="J50" s="3286">
        <v>60.86</v>
      </c>
    </row>
    <row r="51" spans="1:14">
      <c r="A51" s="3282">
        <v>50</v>
      </c>
      <c r="B51" s="3283" t="s">
        <v>3057</v>
      </c>
      <c r="C51" s="3283">
        <v>5</v>
      </c>
      <c r="D51" s="3284" t="s">
        <v>3108</v>
      </c>
      <c r="E51" s="3285" t="str">
        <f t="shared" si="0"/>
        <v>南-5-5-14</v>
      </c>
      <c r="F51" s="3283"/>
      <c r="G51" s="3283" t="s">
        <v>3059</v>
      </c>
      <c r="H51" s="3286"/>
      <c r="I51" s="3286">
        <v>132.96</v>
      </c>
      <c r="J51" s="3286">
        <v>88.22</v>
      </c>
    </row>
    <row r="52" spans="1:14">
      <c r="A52" s="3282">
        <v>51</v>
      </c>
      <c r="B52" s="3283" t="s">
        <v>3057</v>
      </c>
      <c r="C52" s="3283">
        <v>5</v>
      </c>
      <c r="D52" s="3284" t="s">
        <v>3109</v>
      </c>
      <c r="E52" s="3285" t="str">
        <f t="shared" si="0"/>
        <v>南-5-5-13</v>
      </c>
      <c r="F52" s="3283"/>
      <c r="G52" s="3283" t="s">
        <v>3059</v>
      </c>
      <c r="H52" s="3286"/>
      <c r="I52" s="3286">
        <v>64.34</v>
      </c>
      <c r="J52" s="3286">
        <v>61</v>
      </c>
    </row>
    <row r="53" spans="1:14">
      <c r="A53" s="3282">
        <v>52</v>
      </c>
      <c r="B53" s="3283" t="s">
        <v>3057</v>
      </c>
      <c r="C53" s="3283">
        <v>9</v>
      </c>
      <c r="D53" s="3284" t="s">
        <v>3110</v>
      </c>
      <c r="E53" s="3285" t="str">
        <f t="shared" si="0"/>
        <v>南-9-9-2</v>
      </c>
      <c r="F53" s="3283"/>
      <c r="G53" s="3283" t="s">
        <v>3059</v>
      </c>
      <c r="H53" s="3286"/>
      <c r="I53" s="3286">
        <v>39.090000000000003</v>
      </c>
      <c r="J53" s="3286">
        <v>36.96</v>
      </c>
    </row>
    <row r="54" spans="1:14">
      <c r="A54" s="3282">
        <v>53</v>
      </c>
      <c r="B54" s="3283" t="s">
        <v>3057</v>
      </c>
      <c r="C54" s="3283">
        <v>9</v>
      </c>
      <c r="D54" s="3284" t="s">
        <v>3111</v>
      </c>
      <c r="E54" s="3285" t="str">
        <f t="shared" si="0"/>
        <v>南-9-9-3</v>
      </c>
      <c r="F54" s="3283"/>
      <c r="G54" s="3283" t="s">
        <v>3059</v>
      </c>
      <c r="H54" s="3286"/>
      <c r="I54" s="3286">
        <v>39.04</v>
      </c>
      <c r="J54" s="3286">
        <v>36.909999999999997</v>
      </c>
    </row>
    <row r="55" spans="1:14">
      <c r="A55" s="3282">
        <v>54</v>
      </c>
      <c r="B55" s="3283" t="s">
        <v>3057</v>
      </c>
      <c r="C55" s="3283">
        <v>9</v>
      </c>
      <c r="D55" s="3284" t="s">
        <v>3112</v>
      </c>
      <c r="E55" s="3285" t="str">
        <f t="shared" si="0"/>
        <v>南-9-9-4</v>
      </c>
      <c r="F55" s="3283"/>
      <c r="G55" s="3283" t="s">
        <v>3059</v>
      </c>
      <c r="H55" s="3286"/>
      <c r="I55" s="3286">
        <v>39</v>
      </c>
      <c r="J55" s="3286">
        <v>36.880000000000003</v>
      </c>
    </row>
    <row r="56" spans="1:14">
      <c r="A56" s="3282">
        <v>55</v>
      </c>
      <c r="B56" s="3283" t="s">
        <v>3057</v>
      </c>
      <c r="C56" s="3283">
        <v>9</v>
      </c>
      <c r="D56" s="3284" t="s">
        <v>3113</v>
      </c>
      <c r="E56" s="3285" t="str">
        <f t="shared" si="0"/>
        <v>南-9-9-5</v>
      </c>
      <c r="F56" s="3283"/>
      <c r="G56" s="3283" t="s">
        <v>3059</v>
      </c>
      <c r="H56" s="3286"/>
      <c r="I56" s="3286">
        <v>116.71</v>
      </c>
      <c r="J56" s="3286">
        <v>77.239999999999995</v>
      </c>
    </row>
    <row r="57" spans="1:14">
      <c r="A57" s="3282">
        <v>56</v>
      </c>
      <c r="B57" s="3283" t="s">
        <v>3057</v>
      </c>
      <c r="C57" s="3283">
        <v>9</v>
      </c>
      <c r="D57" s="3284" t="s">
        <v>3114</v>
      </c>
      <c r="E57" s="3285" t="str">
        <f t="shared" si="0"/>
        <v>南-9-9-6</v>
      </c>
      <c r="F57" s="3283"/>
      <c r="G57" s="3283" t="s">
        <v>3059</v>
      </c>
      <c r="H57" s="3286"/>
      <c r="I57" s="3286">
        <v>39</v>
      </c>
      <c r="J57" s="3286">
        <v>36.880000000000003</v>
      </c>
    </row>
    <row r="58" spans="1:14">
      <c r="A58" s="3282">
        <v>57</v>
      </c>
      <c r="B58" s="3283" t="s">
        <v>3057</v>
      </c>
      <c r="C58" s="3283">
        <v>9</v>
      </c>
      <c r="D58" s="3284" t="s">
        <v>3115</v>
      </c>
      <c r="E58" s="3285" t="str">
        <f t="shared" si="0"/>
        <v>南-9-9-7</v>
      </c>
      <c r="F58" s="3283"/>
      <c r="G58" s="3283" t="s">
        <v>3059</v>
      </c>
      <c r="H58" s="3286"/>
      <c r="I58" s="3286">
        <v>39.33</v>
      </c>
      <c r="J58" s="3286">
        <v>37.19</v>
      </c>
    </row>
    <row r="59" spans="1:14">
      <c r="A59" s="3282">
        <v>58</v>
      </c>
      <c r="B59" s="3283" t="s">
        <v>3057</v>
      </c>
      <c r="C59" s="3283">
        <v>9</v>
      </c>
      <c r="D59" s="3284" t="s">
        <v>3116</v>
      </c>
      <c r="E59" s="3285" t="str">
        <f t="shared" si="0"/>
        <v>南-9-9-11</v>
      </c>
      <c r="F59" s="3283"/>
      <c r="G59" s="3283" t="s">
        <v>3059</v>
      </c>
      <c r="H59" s="3286"/>
      <c r="I59" s="3286">
        <v>286.29000000000002</v>
      </c>
      <c r="J59" s="3286">
        <v>270.7</v>
      </c>
    </row>
    <row r="60" spans="1:14" hidden="1">
      <c r="A60" s="3282">
        <v>59</v>
      </c>
      <c r="B60" s="3283" t="s">
        <v>3057</v>
      </c>
      <c r="C60" s="3283">
        <v>3</v>
      </c>
      <c r="D60" s="3283">
        <v>314</v>
      </c>
      <c r="E60" s="3285" t="str">
        <f t="shared" si="0"/>
        <v>南-3-314</v>
      </c>
      <c r="F60" s="3283" t="s">
        <v>3117</v>
      </c>
      <c r="G60" s="3283" t="s">
        <v>3118</v>
      </c>
      <c r="H60" s="3286" t="s">
        <v>3119</v>
      </c>
      <c r="I60" s="3286">
        <v>85.76</v>
      </c>
      <c r="J60" s="3286">
        <v>58.8</v>
      </c>
    </row>
    <row r="61" spans="1:14" hidden="1">
      <c r="A61" s="3282">
        <v>60</v>
      </c>
      <c r="B61" s="3283" t="s">
        <v>3057</v>
      </c>
      <c r="C61" s="3283">
        <v>4</v>
      </c>
      <c r="D61" s="3283">
        <v>703</v>
      </c>
      <c r="E61" s="3285" t="str">
        <f t="shared" si="0"/>
        <v>南-4-703</v>
      </c>
      <c r="F61" s="3283" t="s">
        <v>3120</v>
      </c>
      <c r="G61" s="3283" t="s">
        <v>3118</v>
      </c>
      <c r="H61" s="3286" t="s">
        <v>3121</v>
      </c>
      <c r="I61" s="3286">
        <v>73.55</v>
      </c>
      <c r="J61" s="3286">
        <v>48.51</v>
      </c>
    </row>
    <row r="62" spans="1:14" s="3289" customFormat="1" hidden="1">
      <c r="A62" s="3282">
        <v>61</v>
      </c>
      <c r="B62" s="3283" t="s">
        <v>3057</v>
      </c>
      <c r="C62" s="3283">
        <v>9</v>
      </c>
      <c r="D62" s="3283">
        <v>102</v>
      </c>
      <c r="E62" s="3285" t="str">
        <f t="shared" si="0"/>
        <v>南-9-102</v>
      </c>
      <c r="F62" s="3283" t="s">
        <v>3122</v>
      </c>
      <c r="G62" s="3283" t="s">
        <v>3118</v>
      </c>
      <c r="H62" s="3286" t="s">
        <v>3123</v>
      </c>
      <c r="I62" s="3287">
        <v>75.290000000000006</v>
      </c>
      <c r="J62" s="3286">
        <v>49.83</v>
      </c>
    </row>
    <row r="63" spans="1:14" hidden="1">
      <c r="A63" s="3282">
        <v>62</v>
      </c>
      <c r="B63" s="3283" t="s">
        <v>3057</v>
      </c>
      <c r="C63" s="3283">
        <v>9</v>
      </c>
      <c r="D63" s="3283">
        <v>204</v>
      </c>
      <c r="E63" s="3285" t="str">
        <f t="shared" si="0"/>
        <v>南-9-204</v>
      </c>
      <c r="F63" s="3283" t="s">
        <v>3124</v>
      </c>
      <c r="G63" s="3283" t="s">
        <v>3118</v>
      </c>
      <c r="H63" s="3286" t="s">
        <v>3119</v>
      </c>
      <c r="I63" s="3287">
        <v>88.84</v>
      </c>
      <c r="J63" s="3286">
        <v>58.8</v>
      </c>
      <c r="M63" s="3290"/>
      <c r="N63" s="3290"/>
    </row>
    <row r="64" spans="1:14" hidden="1">
      <c r="A64" s="3282">
        <v>63</v>
      </c>
      <c r="B64" s="3283" t="s">
        <v>3125</v>
      </c>
      <c r="C64" s="3283">
        <v>9</v>
      </c>
      <c r="D64" s="3283">
        <v>301</v>
      </c>
      <c r="E64" s="3285" t="str">
        <f t="shared" si="0"/>
        <v>南-9-301</v>
      </c>
      <c r="F64" s="3283" t="s">
        <v>3126</v>
      </c>
      <c r="G64" s="3283" t="s">
        <v>3127</v>
      </c>
      <c r="H64" s="3286" t="s">
        <v>3128</v>
      </c>
      <c r="I64" s="3287">
        <v>71.69</v>
      </c>
      <c r="J64" s="3286">
        <v>47.45</v>
      </c>
      <c r="M64" s="3290"/>
      <c r="N64" s="3290"/>
    </row>
    <row r="65" spans="1:14" hidden="1">
      <c r="A65" s="3282">
        <v>64</v>
      </c>
      <c r="B65" s="3283" t="s">
        <v>3057</v>
      </c>
      <c r="C65" s="3283">
        <v>9</v>
      </c>
      <c r="D65" s="3283">
        <v>405</v>
      </c>
      <c r="E65" s="3285" t="str">
        <f t="shared" si="0"/>
        <v>南-9-405</v>
      </c>
      <c r="F65" s="3283" t="s">
        <v>3129</v>
      </c>
      <c r="G65" s="3283" t="s">
        <v>3118</v>
      </c>
      <c r="H65" s="3286" t="s">
        <v>3119</v>
      </c>
      <c r="I65" s="3287">
        <v>88.84</v>
      </c>
      <c r="J65" s="3286">
        <v>58.8</v>
      </c>
      <c r="M65" s="3290"/>
      <c r="N65" s="3290"/>
    </row>
    <row r="66" spans="1:14" hidden="1">
      <c r="A66" s="3282">
        <v>65</v>
      </c>
      <c r="B66" s="3283" t="s">
        <v>3057</v>
      </c>
      <c r="C66" s="3283">
        <v>9</v>
      </c>
      <c r="D66" s="3283">
        <v>604</v>
      </c>
      <c r="E66" s="3285" t="str">
        <f t="shared" si="0"/>
        <v>南-9-604</v>
      </c>
      <c r="F66" s="3283" t="s">
        <v>3130</v>
      </c>
      <c r="G66" s="3283" t="s">
        <v>3118</v>
      </c>
      <c r="H66" s="3286" t="s">
        <v>3119</v>
      </c>
      <c r="I66" s="3287">
        <v>88.84</v>
      </c>
      <c r="J66" s="3286">
        <v>58.8</v>
      </c>
      <c r="M66" s="3290"/>
      <c r="N66" s="3290"/>
    </row>
    <row r="67" spans="1:14" hidden="1">
      <c r="A67" s="3282">
        <v>66</v>
      </c>
      <c r="B67" s="3283" t="s">
        <v>3057</v>
      </c>
      <c r="C67" s="3283">
        <v>9</v>
      </c>
      <c r="D67" s="3283">
        <v>703</v>
      </c>
      <c r="E67" s="3285" t="str">
        <f t="shared" ref="E67:E130" si="1">B67&amp;-C67&amp;"-"&amp;D67</f>
        <v>南-9-703</v>
      </c>
      <c r="F67" s="3283" t="s">
        <v>3131</v>
      </c>
      <c r="G67" s="3283" t="s">
        <v>3118</v>
      </c>
      <c r="H67" s="3286" t="s">
        <v>3119</v>
      </c>
      <c r="I67" s="3287">
        <v>88.84</v>
      </c>
      <c r="J67" s="3286">
        <v>58.8</v>
      </c>
      <c r="M67" s="3290"/>
      <c r="N67" s="3290"/>
    </row>
    <row r="68" spans="1:14" hidden="1">
      <c r="A68" s="3282">
        <v>67</v>
      </c>
      <c r="B68" s="3283" t="s">
        <v>3125</v>
      </c>
      <c r="C68" s="3283">
        <v>9</v>
      </c>
      <c r="D68" s="3283">
        <v>705</v>
      </c>
      <c r="E68" s="3285" t="str">
        <f t="shared" si="1"/>
        <v>南-9-705</v>
      </c>
      <c r="F68" s="3283" t="s">
        <v>3132</v>
      </c>
      <c r="G68" s="3283" t="s">
        <v>3127</v>
      </c>
      <c r="H68" s="3286" t="s">
        <v>3133</v>
      </c>
      <c r="I68" s="3287">
        <v>88.84</v>
      </c>
      <c r="J68" s="3286">
        <v>58.8</v>
      </c>
      <c r="M68" s="3290"/>
      <c r="N68" s="3290"/>
    </row>
    <row r="69" spans="1:14" hidden="1">
      <c r="A69" s="3282">
        <v>68</v>
      </c>
      <c r="B69" s="3283" t="s">
        <v>3057</v>
      </c>
      <c r="C69" s="3283">
        <v>9</v>
      </c>
      <c r="D69" s="3283">
        <v>715</v>
      </c>
      <c r="E69" s="3285" t="str">
        <f t="shared" si="1"/>
        <v>南-9-715</v>
      </c>
      <c r="F69" s="3283" t="s">
        <v>3134</v>
      </c>
      <c r="G69" s="3283" t="s">
        <v>3118</v>
      </c>
      <c r="H69" s="3286" t="s">
        <v>3135</v>
      </c>
      <c r="I69" s="3287">
        <v>80.52</v>
      </c>
      <c r="J69" s="3286">
        <v>53.29</v>
      </c>
      <c r="M69" s="3290"/>
      <c r="N69" s="3290"/>
    </row>
    <row r="70" spans="1:14" hidden="1">
      <c r="A70" s="3282">
        <v>69</v>
      </c>
      <c r="B70" s="3283" t="s">
        <v>3057</v>
      </c>
      <c r="C70" s="3283">
        <v>9</v>
      </c>
      <c r="D70" s="3283">
        <v>804</v>
      </c>
      <c r="E70" s="3285" t="str">
        <f t="shared" si="1"/>
        <v>南-9-804</v>
      </c>
      <c r="F70" s="3283" t="s">
        <v>3136</v>
      </c>
      <c r="G70" s="3283" t="s">
        <v>3118</v>
      </c>
      <c r="H70" s="3286" t="s">
        <v>3119</v>
      </c>
      <c r="I70" s="3286">
        <v>88.84</v>
      </c>
      <c r="J70" s="3286">
        <v>58.8</v>
      </c>
      <c r="M70" s="3290"/>
      <c r="N70" s="3290"/>
    </row>
    <row r="71" spans="1:14" hidden="1">
      <c r="A71" s="3282">
        <v>70</v>
      </c>
      <c r="B71" s="3283" t="s">
        <v>3057</v>
      </c>
      <c r="C71" s="3283">
        <v>9</v>
      </c>
      <c r="D71" s="3283">
        <v>814</v>
      </c>
      <c r="E71" s="3285" t="str">
        <f t="shared" si="1"/>
        <v>南-9-814</v>
      </c>
      <c r="F71" s="3283" t="s">
        <v>3137</v>
      </c>
      <c r="G71" s="3283" t="s">
        <v>3118</v>
      </c>
      <c r="H71" s="3286" t="s">
        <v>3138</v>
      </c>
      <c r="I71" s="3286">
        <v>73.3</v>
      </c>
      <c r="J71" s="3286">
        <v>48.51</v>
      </c>
      <c r="M71" s="3290"/>
      <c r="N71" s="3290"/>
    </row>
    <row r="72" spans="1:14" hidden="1">
      <c r="A72" s="3282">
        <v>71</v>
      </c>
      <c r="B72" s="3283" t="s">
        <v>3057</v>
      </c>
      <c r="C72" s="3283">
        <v>9</v>
      </c>
      <c r="D72" s="3283">
        <v>903</v>
      </c>
      <c r="E72" s="3285" t="str">
        <f t="shared" si="1"/>
        <v>南-9-903</v>
      </c>
      <c r="F72" s="3283" t="s">
        <v>3139</v>
      </c>
      <c r="G72" s="3283" t="s">
        <v>3118</v>
      </c>
      <c r="H72" s="3286" t="s">
        <v>3119</v>
      </c>
      <c r="I72" s="3287">
        <v>88.84</v>
      </c>
      <c r="J72" s="3286">
        <v>58.8</v>
      </c>
      <c r="M72" s="3290"/>
      <c r="N72" s="3290"/>
    </row>
    <row r="73" spans="1:14" hidden="1">
      <c r="A73" s="3282">
        <v>72</v>
      </c>
      <c r="B73" s="3283" t="s">
        <v>3057</v>
      </c>
      <c r="C73" s="3283">
        <v>9</v>
      </c>
      <c r="D73" s="3283">
        <v>904</v>
      </c>
      <c r="E73" s="3285" t="str">
        <f t="shared" si="1"/>
        <v>南-9-904</v>
      </c>
      <c r="F73" s="3283" t="s">
        <v>3140</v>
      </c>
      <c r="G73" s="3283" t="s">
        <v>3118</v>
      </c>
      <c r="H73" s="3286" t="s">
        <v>3119</v>
      </c>
      <c r="I73" s="3287">
        <v>88.84</v>
      </c>
      <c r="J73" s="3286">
        <v>58.8</v>
      </c>
      <c r="M73" s="3290"/>
      <c r="N73" s="3290"/>
    </row>
    <row r="74" spans="1:14" hidden="1">
      <c r="A74" s="3282">
        <v>73</v>
      </c>
      <c r="B74" s="3283" t="s">
        <v>3057</v>
      </c>
      <c r="C74" s="3283">
        <v>9</v>
      </c>
      <c r="D74" s="3283">
        <v>915</v>
      </c>
      <c r="E74" s="3285" t="str">
        <f t="shared" si="1"/>
        <v>南-9-915</v>
      </c>
      <c r="F74" s="3283" t="s">
        <v>3141</v>
      </c>
      <c r="G74" s="3283" t="s">
        <v>3118</v>
      </c>
      <c r="H74" s="3286" t="s">
        <v>3135</v>
      </c>
      <c r="I74" s="3287">
        <v>80.52</v>
      </c>
      <c r="J74" s="3286">
        <v>53.29</v>
      </c>
      <c r="M74" s="3290"/>
      <c r="N74" s="3290"/>
    </row>
    <row r="75" spans="1:14" hidden="1">
      <c r="A75" s="3282">
        <v>74</v>
      </c>
      <c r="B75" s="3283" t="s">
        <v>3057</v>
      </c>
      <c r="C75" s="3283">
        <v>9</v>
      </c>
      <c r="D75" s="3283">
        <v>916</v>
      </c>
      <c r="E75" s="3285" t="str">
        <f t="shared" si="1"/>
        <v>南-9-916</v>
      </c>
      <c r="F75" s="3283" t="s">
        <v>3142</v>
      </c>
      <c r="G75" s="3283" t="s">
        <v>3118</v>
      </c>
      <c r="H75" s="3286" t="s">
        <v>3143</v>
      </c>
      <c r="I75" s="3287">
        <v>62.64</v>
      </c>
      <c r="J75" s="3286">
        <v>41.46</v>
      </c>
      <c r="M75" s="3290"/>
      <c r="N75" s="3290"/>
    </row>
    <row r="76" spans="1:14" hidden="1">
      <c r="A76" s="3282">
        <v>75</v>
      </c>
      <c r="B76" s="3283" t="s">
        <v>3057</v>
      </c>
      <c r="C76" s="3283">
        <v>9</v>
      </c>
      <c r="D76" s="3283">
        <v>1004</v>
      </c>
      <c r="E76" s="3285" t="str">
        <f t="shared" si="1"/>
        <v>南-9-1004</v>
      </c>
      <c r="F76" s="3283" t="s">
        <v>3144</v>
      </c>
      <c r="G76" s="3283" t="s">
        <v>3118</v>
      </c>
      <c r="H76" s="3286" t="s">
        <v>3119</v>
      </c>
      <c r="I76" s="3286">
        <v>88.84</v>
      </c>
      <c r="J76" s="3286">
        <v>58.8</v>
      </c>
      <c r="M76" s="3290"/>
      <c r="N76" s="3290"/>
    </row>
    <row r="77" spans="1:14" hidden="1">
      <c r="A77" s="3282">
        <v>76</v>
      </c>
      <c r="B77" s="3283" t="s">
        <v>3057</v>
      </c>
      <c r="C77" s="3283">
        <v>9</v>
      </c>
      <c r="D77" s="3283">
        <v>1005</v>
      </c>
      <c r="E77" s="3285" t="str">
        <f t="shared" si="1"/>
        <v>南-9-1005</v>
      </c>
      <c r="F77" s="3283" t="s">
        <v>3145</v>
      </c>
      <c r="G77" s="3283" t="s">
        <v>3118</v>
      </c>
      <c r="H77" s="3286" t="s">
        <v>3119</v>
      </c>
      <c r="I77" s="3286">
        <v>88.84</v>
      </c>
      <c r="J77" s="3286">
        <v>58.8</v>
      </c>
      <c r="M77" s="3290"/>
      <c r="N77" s="3290"/>
    </row>
    <row r="78" spans="1:14" hidden="1">
      <c r="A78" s="3282">
        <v>77</v>
      </c>
      <c r="B78" s="3283" t="s">
        <v>3057</v>
      </c>
      <c r="C78" s="3283">
        <v>9</v>
      </c>
      <c r="D78" s="3283">
        <v>1014</v>
      </c>
      <c r="E78" s="3285" t="str">
        <f t="shared" si="1"/>
        <v>南-9-1014</v>
      </c>
      <c r="F78" s="3283" t="s">
        <v>3146</v>
      </c>
      <c r="G78" s="3283" t="s">
        <v>3118</v>
      </c>
      <c r="H78" s="3286" t="s">
        <v>3138</v>
      </c>
      <c r="I78" s="3286">
        <v>73.3</v>
      </c>
      <c r="J78" s="3286">
        <v>48.51</v>
      </c>
      <c r="M78" s="3290"/>
      <c r="N78" s="3290"/>
    </row>
    <row r="79" spans="1:14" hidden="1">
      <c r="A79" s="3282">
        <v>78</v>
      </c>
      <c r="B79" s="3283" t="s">
        <v>3125</v>
      </c>
      <c r="C79" s="3283">
        <v>9</v>
      </c>
      <c r="D79" s="3283">
        <v>1103</v>
      </c>
      <c r="E79" s="3285" t="str">
        <f t="shared" si="1"/>
        <v>南-9-1103</v>
      </c>
      <c r="F79" s="3283" t="s">
        <v>3147</v>
      </c>
      <c r="G79" s="3283" t="s">
        <v>3127</v>
      </c>
      <c r="H79" s="3286" t="s">
        <v>3133</v>
      </c>
      <c r="I79" s="3286">
        <v>88.84</v>
      </c>
      <c r="J79" s="3286">
        <v>58.8</v>
      </c>
      <c r="M79" s="3290"/>
      <c r="N79" s="3290"/>
    </row>
    <row r="80" spans="1:14" hidden="1">
      <c r="A80" s="3282">
        <v>79</v>
      </c>
      <c r="B80" s="3283" t="s">
        <v>3125</v>
      </c>
      <c r="C80" s="3283">
        <v>9</v>
      </c>
      <c r="D80" s="3283">
        <v>1104</v>
      </c>
      <c r="E80" s="3285" t="str">
        <f t="shared" si="1"/>
        <v>南-9-1104</v>
      </c>
      <c r="F80" s="3283" t="s">
        <v>3148</v>
      </c>
      <c r="G80" s="3283" t="s">
        <v>3127</v>
      </c>
      <c r="H80" s="3286" t="s">
        <v>3133</v>
      </c>
      <c r="I80" s="3286">
        <v>88.84</v>
      </c>
      <c r="J80" s="3286">
        <v>58.8</v>
      </c>
      <c r="M80" s="3290"/>
      <c r="N80" s="3290"/>
    </row>
    <row r="81" spans="1:14" hidden="1">
      <c r="A81" s="3282">
        <v>80</v>
      </c>
      <c r="B81" s="3283" t="s">
        <v>3057</v>
      </c>
      <c r="C81" s="3283">
        <v>9</v>
      </c>
      <c r="D81" s="3283">
        <v>1114</v>
      </c>
      <c r="E81" s="3285" t="str">
        <f t="shared" si="1"/>
        <v>南-9-1114</v>
      </c>
      <c r="F81" s="3283" t="s">
        <v>3149</v>
      </c>
      <c r="G81" s="3283" t="s">
        <v>3118</v>
      </c>
      <c r="H81" s="3286" t="s">
        <v>3121</v>
      </c>
      <c r="I81" s="3286">
        <v>73.3</v>
      </c>
      <c r="J81" s="3286">
        <v>48.51</v>
      </c>
      <c r="M81" s="3290"/>
      <c r="N81" s="3290"/>
    </row>
    <row r="82" spans="1:14" hidden="1">
      <c r="A82" s="3282">
        <v>81</v>
      </c>
      <c r="B82" s="3283" t="s">
        <v>3125</v>
      </c>
      <c r="C82" s="3283">
        <v>9</v>
      </c>
      <c r="D82" s="3283">
        <v>1203</v>
      </c>
      <c r="E82" s="3285" t="str">
        <f t="shared" si="1"/>
        <v>南-9-1203</v>
      </c>
      <c r="F82" s="3283" t="s">
        <v>3150</v>
      </c>
      <c r="G82" s="3283" t="s">
        <v>3127</v>
      </c>
      <c r="H82" s="3286" t="s">
        <v>3133</v>
      </c>
      <c r="I82" s="3287">
        <v>88.84</v>
      </c>
      <c r="J82" s="3286">
        <v>58.8</v>
      </c>
      <c r="M82" s="3290"/>
      <c r="N82" s="3290"/>
    </row>
    <row r="83" spans="1:14" hidden="1">
      <c r="A83" s="3282">
        <v>82</v>
      </c>
      <c r="B83" s="3283" t="s">
        <v>3057</v>
      </c>
      <c r="C83" s="3283">
        <v>9</v>
      </c>
      <c r="D83" s="3283">
        <v>1204</v>
      </c>
      <c r="E83" s="3285" t="str">
        <f t="shared" si="1"/>
        <v>南-9-1204</v>
      </c>
      <c r="F83" s="3283" t="s">
        <v>3151</v>
      </c>
      <c r="G83" s="3283" t="s">
        <v>3152</v>
      </c>
      <c r="H83" s="3286" t="s">
        <v>3153</v>
      </c>
      <c r="I83" s="3287">
        <v>88.84</v>
      </c>
      <c r="J83" s="3286">
        <v>58.8</v>
      </c>
      <c r="M83" s="3290"/>
      <c r="N83" s="3290"/>
    </row>
    <row r="84" spans="1:14" hidden="1">
      <c r="A84" s="3282">
        <v>83</v>
      </c>
      <c r="B84" s="3283" t="s">
        <v>3154</v>
      </c>
      <c r="C84" s="3283">
        <v>9</v>
      </c>
      <c r="D84" s="3283">
        <v>1207</v>
      </c>
      <c r="E84" s="3285" t="str">
        <f t="shared" si="1"/>
        <v>南-9-1207</v>
      </c>
      <c r="F84" s="3283" t="s">
        <v>3155</v>
      </c>
      <c r="G84" s="3283" t="s">
        <v>3152</v>
      </c>
      <c r="H84" s="3286" t="s">
        <v>3156</v>
      </c>
      <c r="I84" s="3287">
        <v>62.7</v>
      </c>
      <c r="J84" s="3286">
        <v>41.5</v>
      </c>
      <c r="M84" s="3290"/>
      <c r="N84" s="3290"/>
    </row>
    <row r="85" spans="1:14" hidden="1">
      <c r="A85" s="3282">
        <v>84</v>
      </c>
      <c r="B85" s="3283" t="s">
        <v>3125</v>
      </c>
      <c r="C85" s="3283">
        <v>9</v>
      </c>
      <c r="D85" s="3283">
        <v>1211</v>
      </c>
      <c r="E85" s="3285" t="str">
        <f t="shared" si="1"/>
        <v>南-9-1211</v>
      </c>
      <c r="F85" s="3283" t="s">
        <v>3157</v>
      </c>
      <c r="G85" s="3283" t="s">
        <v>3127</v>
      </c>
      <c r="H85" s="3286" t="s">
        <v>3158</v>
      </c>
      <c r="I85" s="3287">
        <v>43.98</v>
      </c>
      <c r="J85" s="3286">
        <v>29.11</v>
      </c>
      <c r="M85" s="3290"/>
      <c r="N85" s="3290"/>
    </row>
    <row r="86" spans="1:14" hidden="1">
      <c r="A86" s="3282">
        <v>85</v>
      </c>
      <c r="B86" s="3283" t="s">
        <v>3154</v>
      </c>
      <c r="C86" s="3283">
        <v>9</v>
      </c>
      <c r="D86" s="3283">
        <v>1214</v>
      </c>
      <c r="E86" s="3285" t="str">
        <f t="shared" si="1"/>
        <v>南-9-1214</v>
      </c>
      <c r="F86" s="3283" t="s">
        <v>3159</v>
      </c>
      <c r="G86" s="3283" t="s">
        <v>3152</v>
      </c>
      <c r="H86" s="3286" t="s">
        <v>3160</v>
      </c>
      <c r="I86" s="3287">
        <v>73.3</v>
      </c>
      <c r="J86" s="3286">
        <v>48.51</v>
      </c>
      <c r="M86" s="3290"/>
      <c r="N86" s="3290"/>
    </row>
    <row r="87" spans="1:14" hidden="1">
      <c r="A87" s="3282">
        <v>86</v>
      </c>
      <c r="B87" s="3283" t="s">
        <v>3154</v>
      </c>
      <c r="C87" s="3283">
        <v>9</v>
      </c>
      <c r="D87" s="3283">
        <v>1303</v>
      </c>
      <c r="E87" s="3285" t="str">
        <f t="shared" si="1"/>
        <v>南-9-1303</v>
      </c>
      <c r="F87" s="3283" t="s">
        <v>3161</v>
      </c>
      <c r="G87" s="3283" t="s">
        <v>3152</v>
      </c>
      <c r="H87" s="3286" t="s">
        <v>3153</v>
      </c>
      <c r="I87" s="3287">
        <v>88.84</v>
      </c>
      <c r="J87" s="3286">
        <v>58.8</v>
      </c>
      <c r="M87" s="3290"/>
      <c r="N87" s="3290"/>
    </row>
    <row r="88" spans="1:14" hidden="1">
      <c r="A88" s="3282">
        <v>87</v>
      </c>
      <c r="B88" s="3283" t="s">
        <v>3154</v>
      </c>
      <c r="C88" s="3283">
        <v>9</v>
      </c>
      <c r="D88" s="3283">
        <v>1304</v>
      </c>
      <c r="E88" s="3285" t="str">
        <f t="shared" si="1"/>
        <v>南-9-1304</v>
      </c>
      <c r="F88" s="3283" t="s">
        <v>3162</v>
      </c>
      <c r="G88" s="3283" t="s">
        <v>3152</v>
      </c>
      <c r="H88" s="3286" t="s">
        <v>3153</v>
      </c>
      <c r="I88" s="3287">
        <v>88.84</v>
      </c>
      <c r="J88" s="3286">
        <v>58.8</v>
      </c>
      <c r="M88" s="3290"/>
      <c r="N88" s="3290"/>
    </row>
    <row r="89" spans="1:14" hidden="1">
      <c r="A89" s="3282">
        <v>88</v>
      </c>
      <c r="B89" s="3283" t="s">
        <v>3154</v>
      </c>
      <c r="C89" s="3283">
        <v>9</v>
      </c>
      <c r="D89" s="3283">
        <v>1305</v>
      </c>
      <c r="E89" s="3285" t="str">
        <f t="shared" si="1"/>
        <v>南-9-1305</v>
      </c>
      <c r="F89" s="3283" t="s">
        <v>3163</v>
      </c>
      <c r="G89" s="3283" t="s">
        <v>3152</v>
      </c>
      <c r="H89" s="3286" t="s">
        <v>3153</v>
      </c>
      <c r="I89" s="3287">
        <v>88.84</v>
      </c>
      <c r="J89" s="3286">
        <v>58.8</v>
      </c>
      <c r="M89" s="3290"/>
      <c r="N89" s="3290"/>
    </row>
    <row r="90" spans="1:14" hidden="1">
      <c r="A90" s="3282">
        <v>89</v>
      </c>
      <c r="B90" s="3283" t="s">
        <v>3154</v>
      </c>
      <c r="C90" s="3283">
        <v>9</v>
      </c>
      <c r="D90" s="3283">
        <v>1314</v>
      </c>
      <c r="E90" s="3285" t="str">
        <f t="shared" si="1"/>
        <v>南-9-1314</v>
      </c>
      <c r="F90" s="3283" t="s">
        <v>3164</v>
      </c>
      <c r="G90" s="3283" t="s">
        <v>3152</v>
      </c>
      <c r="H90" s="3286" t="s">
        <v>3165</v>
      </c>
      <c r="I90" s="3287">
        <v>73.3</v>
      </c>
      <c r="J90" s="3286">
        <v>48.51</v>
      </c>
      <c r="M90" s="3290"/>
      <c r="N90" s="3290"/>
    </row>
    <row r="91" spans="1:14" hidden="1">
      <c r="A91" s="3282">
        <v>90</v>
      </c>
      <c r="B91" s="3283" t="s">
        <v>3154</v>
      </c>
      <c r="C91" s="3283">
        <v>9</v>
      </c>
      <c r="D91" s="3283">
        <v>1316</v>
      </c>
      <c r="E91" s="3285" t="str">
        <f t="shared" si="1"/>
        <v>南-9-1316</v>
      </c>
      <c r="F91" s="3283" t="s">
        <v>3166</v>
      </c>
      <c r="G91" s="3283" t="s">
        <v>3152</v>
      </c>
      <c r="H91" s="3286" t="s">
        <v>3167</v>
      </c>
      <c r="I91" s="3287">
        <v>62.64</v>
      </c>
      <c r="J91" s="3286">
        <v>41.46</v>
      </c>
      <c r="M91" s="3290"/>
      <c r="N91" s="3290"/>
    </row>
    <row r="92" spans="1:14" hidden="1">
      <c r="A92" s="3282">
        <v>91</v>
      </c>
      <c r="B92" s="3283" t="s">
        <v>3154</v>
      </c>
      <c r="C92" s="3283">
        <v>9</v>
      </c>
      <c r="D92" s="3283">
        <v>1404</v>
      </c>
      <c r="E92" s="3285" t="str">
        <f t="shared" si="1"/>
        <v>南-9-1404</v>
      </c>
      <c r="F92" s="3283" t="s">
        <v>3168</v>
      </c>
      <c r="G92" s="3283" t="s">
        <v>3152</v>
      </c>
      <c r="H92" s="3286" t="s">
        <v>3153</v>
      </c>
      <c r="I92" s="3287">
        <v>88.84</v>
      </c>
      <c r="J92" s="3286">
        <v>58.8</v>
      </c>
      <c r="M92" s="3290"/>
      <c r="N92" s="3290"/>
    </row>
    <row r="93" spans="1:14" hidden="1">
      <c r="A93" s="3282">
        <v>92</v>
      </c>
      <c r="B93" s="3283" t="s">
        <v>3154</v>
      </c>
      <c r="C93" s="3283">
        <v>9</v>
      </c>
      <c r="D93" s="3283">
        <v>1405</v>
      </c>
      <c r="E93" s="3285" t="str">
        <f t="shared" si="1"/>
        <v>南-9-1405</v>
      </c>
      <c r="F93" s="3283" t="s">
        <v>3169</v>
      </c>
      <c r="G93" s="3283" t="s">
        <v>3152</v>
      </c>
      <c r="H93" s="3286" t="s">
        <v>3153</v>
      </c>
      <c r="I93" s="3287">
        <v>88.84</v>
      </c>
      <c r="J93" s="3286">
        <v>58.8</v>
      </c>
      <c r="M93" s="3290"/>
      <c r="N93" s="3290"/>
    </row>
    <row r="94" spans="1:14" hidden="1">
      <c r="A94" s="3282">
        <v>93</v>
      </c>
      <c r="B94" s="3283" t="s">
        <v>3154</v>
      </c>
      <c r="C94" s="3283">
        <v>9</v>
      </c>
      <c r="D94" s="3283">
        <v>1407</v>
      </c>
      <c r="E94" s="3285" t="str">
        <f t="shared" si="1"/>
        <v>南-9-1407</v>
      </c>
      <c r="F94" s="3283" t="s">
        <v>3170</v>
      </c>
      <c r="G94" s="3283" t="s">
        <v>3152</v>
      </c>
      <c r="H94" s="3286" t="s">
        <v>3156</v>
      </c>
      <c r="I94" s="3287">
        <v>62.7</v>
      </c>
      <c r="J94" s="3286">
        <v>41.5</v>
      </c>
      <c r="M94" s="3290"/>
      <c r="N94" s="3290"/>
    </row>
    <row r="95" spans="1:14" hidden="1">
      <c r="A95" s="3282">
        <v>94</v>
      </c>
      <c r="B95" s="3283" t="s">
        <v>3154</v>
      </c>
      <c r="C95" s="3283">
        <v>9</v>
      </c>
      <c r="D95" s="3283">
        <v>1503</v>
      </c>
      <c r="E95" s="3285" t="str">
        <f t="shared" si="1"/>
        <v>南-9-1503</v>
      </c>
      <c r="F95" s="3283" t="s">
        <v>3171</v>
      </c>
      <c r="G95" s="3283" t="s">
        <v>3152</v>
      </c>
      <c r="H95" s="3286" t="s">
        <v>3153</v>
      </c>
      <c r="I95" s="3287">
        <v>88.84</v>
      </c>
      <c r="J95" s="3286">
        <v>58.8</v>
      </c>
      <c r="M95" s="3290"/>
      <c r="N95" s="3290"/>
    </row>
    <row r="96" spans="1:14" hidden="1">
      <c r="A96" s="3282">
        <v>95</v>
      </c>
      <c r="B96" s="3283" t="s">
        <v>3154</v>
      </c>
      <c r="C96" s="3283">
        <v>9</v>
      </c>
      <c r="D96" s="3283">
        <v>1504</v>
      </c>
      <c r="E96" s="3285" t="str">
        <f t="shared" si="1"/>
        <v>南-9-1504</v>
      </c>
      <c r="F96" s="3283" t="s">
        <v>3172</v>
      </c>
      <c r="G96" s="3283" t="s">
        <v>3152</v>
      </c>
      <c r="H96" s="3286" t="s">
        <v>3153</v>
      </c>
      <c r="I96" s="3287">
        <v>88.84</v>
      </c>
      <c r="J96" s="3286">
        <v>58.8</v>
      </c>
      <c r="M96" s="3290"/>
      <c r="N96" s="3290"/>
    </row>
    <row r="97" spans="1:14" hidden="1">
      <c r="A97" s="3282">
        <v>96</v>
      </c>
      <c r="B97" s="3283" t="s">
        <v>3154</v>
      </c>
      <c r="C97" s="3283">
        <v>9</v>
      </c>
      <c r="D97" s="3283">
        <v>1505</v>
      </c>
      <c r="E97" s="3285" t="str">
        <f t="shared" si="1"/>
        <v>南-9-1505</v>
      </c>
      <c r="F97" s="3283" t="s">
        <v>3173</v>
      </c>
      <c r="G97" s="3283" t="s">
        <v>3152</v>
      </c>
      <c r="H97" s="3286" t="s">
        <v>3153</v>
      </c>
      <c r="I97" s="3287">
        <v>88.84</v>
      </c>
      <c r="J97" s="3286">
        <v>58.8</v>
      </c>
      <c r="M97" s="3290"/>
      <c r="N97" s="3290"/>
    </row>
    <row r="98" spans="1:14" hidden="1">
      <c r="A98" s="3282">
        <v>97</v>
      </c>
      <c r="B98" s="3283" t="s">
        <v>3154</v>
      </c>
      <c r="C98" s="3283">
        <v>9</v>
      </c>
      <c r="D98" s="3283">
        <v>1507</v>
      </c>
      <c r="E98" s="3285" t="str">
        <f t="shared" si="1"/>
        <v>南-9-1507</v>
      </c>
      <c r="F98" s="3283" t="s">
        <v>3174</v>
      </c>
      <c r="G98" s="3283" t="s">
        <v>3175</v>
      </c>
      <c r="H98" s="3286" t="s">
        <v>3176</v>
      </c>
      <c r="I98" s="3287">
        <v>62.64</v>
      </c>
      <c r="J98" s="3286">
        <v>41.46</v>
      </c>
      <c r="M98" s="3290"/>
      <c r="N98" s="3290"/>
    </row>
    <row r="99" spans="1:14" hidden="1">
      <c r="A99" s="3282">
        <v>98</v>
      </c>
      <c r="B99" s="3283" t="s">
        <v>3177</v>
      </c>
      <c r="C99" s="3283">
        <v>9</v>
      </c>
      <c r="D99" s="3283">
        <v>1511</v>
      </c>
      <c r="E99" s="3285" t="str">
        <f t="shared" si="1"/>
        <v>南-9-1511</v>
      </c>
      <c r="F99" s="3283" t="s">
        <v>3178</v>
      </c>
      <c r="G99" s="3283" t="s">
        <v>3175</v>
      </c>
      <c r="H99" s="3286" t="s">
        <v>3179</v>
      </c>
      <c r="I99" s="3287">
        <v>43.98</v>
      </c>
      <c r="J99" s="3286">
        <v>29.11</v>
      </c>
      <c r="M99" s="3290"/>
      <c r="N99" s="3290"/>
    </row>
    <row r="100" spans="1:14" hidden="1">
      <c r="A100" s="3282">
        <v>99</v>
      </c>
      <c r="B100" s="3283" t="s">
        <v>3177</v>
      </c>
      <c r="C100" s="3283">
        <v>9</v>
      </c>
      <c r="D100" s="3283">
        <v>1514</v>
      </c>
      <c r="E100" s="3285" t="str">
        <f t="shared" si="1"/>
        <v>南-9-1514</v>
      </c>
      <c r="F100" s="3283" t="s">
        <v>3180</v>
      </c>
      <c r="G100" s="3283" t="s">
        <v>3175</v>
      </c>
      <c r="H100" s="3286" t="s">
        <v>3181</v>
      </c>
      <c r="I100" s="3287">
        <v>73.3</v>
      </c>
      <c r="J100" s="3286">
        <v>48.51</v>
      </c>
      <c r="M100" s="3290"/>
      <c r="N100" s="3290"/>
    </row>
    <row r="101" spans="1:14" hidden="1">
      <c r="A101" s="3282">
        <v>100</v>
      </c>
      <c r="B101" s="3283" t="s">
        <v>3177</v>
      </c>
      <c r="C101" s="3283">
        <v>9</v>
      </c>
      <c r="D101" s="3283">
        <v>1516</v>
      </c>
      <c r="E101" s="3285" t="str">
        <f t="shared" si="1"/>
        <v>南-9-1516</v>
      </c>
      <c r="F101" s="3283" t="s">
        <v>3182</v>
      </c>
      <c r="G101" s="3283" t="s">
        <v>3175</v>
      </c>
      <c r="H101" s="3286" t="s">
        <v>3176</v>
      </c>
      <c r="I101" s="3287">
        <v>62.64</v>
      </c>
      <c r="J101" s="3286">
        <v>41.46</v>
      </c>
      <c r="M101" s="3290"/>
      <c r="N101" s="3290"/>
    </row>
    <row r="102" spans="1:14" hidden="1">
      <c r="A102" s="3282">
        <v>101</v>
      </c>
      <c r="B102" s="3283" t="s">
        <v>3177</v>
      </c>
      <c r="C102" s="3283">
        <v>9</v>
      </c>
      <c r="D102" s="3283">
        <v>1604</v>
      </c>
      <c r="E102" s="3285" t="str">
        <f t="shared" si="1"/>
        <v>南-9-1604</v>
      </c>
      <c r="F102" s="3283" t="s">
        <v>3183</v>
      </c>
      <c r="G102" s="3283" t="s">
        <v>3175</v>
      </c>
      <c r="H102" s="3286" t="s">
        <v>3184</v>
      </c>
      <c r="I102" s="3287">
        <v>88.84</v>
      </c>
      <c r="J102" s="3286">
        <v>58.8</v>
      </c>
      <c r="M102" s="3290"/>
      <c r="N102" s="3290"/>
    </row>
    <row r="103" spans="1:14" hidden="1">
      <c r="A103" s="3282">
        <v>102</v>
      </c>
      <c r="B103" s="3283" t="s">
        <v>3177</v>
      </c>
      <c r="C103" s="3283">
        <v>9</v>
      </c>
      <c r="D103" s="3283">
        <v>1605</v>
      </c>
      <c r="E103" s="3285" t="str">
        <f t="shared" si="1"/>
        <v>南-9-1605</v>
      </c>
      <c r="F103" s="3283" t="s">
        <v>3185</v>
      </c>
      <c r="G103" s="3283" t="s">
        <v>3175</v>
      </c>
      <c r="H103" s="3286" t="s">
        <v>3184</v>
      </c>
      <c r="I103" s="3287">
        <v>88.84</v>
      </c>
      <c r="J103" s="3286">
        <v>58.8</v>
      </c>
      <c r="M103" s="3290"/>
      <c r="N103" s="3290"/>
    </row>
    <row r="104" spans="1:14" hidden="1">
      <c r="A104" s="3282">
        <v>103</v>
      </c>
      <c r="B104" s="3283" t="s">
        <v>3177</v>
      </c>
      <c r="C104" s="3283">
        <v>9</v>
      </c>
      <c r="D104" s="3283">
        <v>1607</v>
      </c>
      <c r="E104" s="3285" t="str">
        <f t="shared" si="1"/>
        <v>南-9-1607</v>
      </c>
      <c r="F104" s="3283" t="s">
        <v>3186</v>
      </c>
      <c r="G104" s="3283" t="s">
        <v>3175</v>
      </c>
      <c r="H104" s="3286" t="s">
        <v>3187</v>
      </c>
      <c r="I104" s="3287">
        <v>62.7</v>
      </c>
      <c r="J104" s="3286">
        <v>41.5</v>
      </c>
      <c r="M104" s="3290"/>
      <c r="N104" s="3290"/>
    </row>
    <row r="105" spans="1:14" hidden="1">
      <c r="A105" s="3282">
        <v>104</v>
      </c>
      <c r="B105" s="3283" t="s">
        <v>3177</v>
      </c>
      <c r="C105" s="3283">
        <v>9</v>
      </c>
      <c r="D105" s="3283">
        <v>1614</v>
      </c>
      <c r="E105" s="3285" t="str">
        <f t="shared" si="1"/>
        <v>南-9-1614</v>
      </c>
      <c r="F105" s="3283" t="s">
        <v>3188</v>
      </c>
      <c r="G105" s="3283" t="s">
        <v>3175</v>
      </c>
      <c r="H105" s="3286" t="s">
        <v>3189</v>
      </c>
      <c r="I105" s="3287">
        <v>73.3</v>
      </c>
      <c r="J105" s="3286">
        <v>48.51</v>
      </c>
      <c r="M105" s="3290"/>
      <c r="N105" s="3290"/>
    </row>
    <row r="106" spans="1:14" hidden="1">
      <c r="A106" s="3282">
        <v>105</v>
      </c>
      <c r="B106" s="3283" t="s">
        <v>3177</v>
      </c>
      <c r="C106" s="3283">
        <v>9</v>
      </c>
      <c r="D106" s="3283">
        <v>1615</v>
      </c>
      <c r="E106" s="3285" t="str">
        <f t="shared" si="1"/>
        <v>南-9-1615</v>
      </c>
      <c r="F106" s="3283" t="s">
        <v>3190</v>
      </c>
      <c r="G106" s="3283" t="s">
        <v>3175</v>
      </c>
      <c r="H106" s="3286" t="s">
        <v>3191</v>
      </c>
      <c r="I106" s="3287">
        <v>80.64</v>
      </c>
      <c r="J106" s="3286">
        <v>53.37</v>
      </c>
      <c r="M106" s="3290"/>
      <c r="N106" s="3290"/>
    </row>
    <row r="107" spans="1:14" hidden="1">
      <c r="A107" s="3282">
        <v>106</v>
      </c>
      <c r="B107" s="3283" t="s">
        <v>3177</v>
      </c>
      <c r="C107" s="3283">
        <v>9</v>
      </c>
      <c r="D107" s="3283">
        <v>1616</v>
      </c>
      <c r="E107" s="3285" t="str">
        <f t="shared" si="1"/>
        <v>南-9-1616</v>
      </c>
      <c r="F107" s="3283" t="s">
        <v>3192</v>
      </c>
      <c r="G107" s="3283" t="s">
        <v>3175</v>
      </c>
      <c r="H107" s="3286" t="s">
        <v>3187</v>
      </c>
      <c r="I107" s="3287">
        <v>62.7</v>
      </c>
      <c r="J107" s="3286">
        <v>41.5</v>
      </c>
      <c r="M107" s="3290"/>
      <c r="N107" s="3290"/>
    </row>
    <row r="108" spans="1:14" hidden="1">
      <c r="A108" s="3282">
        <v>107</v>
      </c>
      <c r="B108" s="3283" t="s">
        <v>3177</v>
      </c>
      <c r="C108" s="3283">
        <v>9</v>
      </c>
      <c r="D108" s="3283">
        <v>1703</v>
      </c>
      <c r="E108" s="3285" t="str">
        <f t="shared" si="1"/>
        <v>南-9-1703</v>
      </c>
      <c r="F108" s="3283" t="s">
        <v>3193</v>
      </c>
      <c r="G108" s="3283" t="s">
        <v>3175</v>
      </c>
      <c r="H108" s="3286" t="s">
        <v>3184</v>
      </c>
      <c r="I108" s="3287">
        <v>88.84</v>
      </c>
      <c r="J108" s="3286">
        <v>58.8</v>
      </c>
      <c r="M108" s="3290"/>
      <c r="N108" s="3290"/>
    </row>
    <row r="109" spans="1:14" hidden="1">
      <c r="A109" s="3282">
        <v>108</v>
      </c>
      <c r="B109" s="3283" t="s">
        <v>3177</v>
      </c>
      <c r="C109" s="3283">
        <v>9</v>
      </c>
      <c r="D109" s="3283">
        <v>1704</v>
      </c>
      <c r="E109" s="3285" t="str">
        <f t="shared" si="1"/>
        <v>南-9-1704</v>
      </c>
      <c r="F109" s="3283" t="s">
        <v>3194</v>
      </c>
      <c r="G109" s="3283" t="s">
        <v>3175</v>
      </c>
      <c r="H109" s="3286" t="s">
        <v>3184</v>
      </c>
      <c r="I109" s="3287">
        <v>88.84</v>
      </c>
      <c r="J109" s="3286">
        <v>58.8</v>
      </c>
      <c r="M109" s="3290"/>
      <c r="N109" s="3290"/>
    </row>
    <row r="110" spans="1:14" hidden="1">
      <c r="A110" s="3282">
        <v>109</v>
      </c>
      <c r="B110" s="3283" t="s">
        <v>3177</v>
      </c>
      <c r="C110" s="3283">
        <v>9</v>
      </c>
      <c r="D110" s="3283">
        <v>1705</v>
      </c>
      <c r="E110" s="3285" t="str">
        <f t="shared" si="1"/>
        <v>南-9-1705</v>
      </c>
      <c r="F110" s="3283" t="s">
        <v>3195</v>
      </c>
      <c r="G110" s="3283" t="s">
        <v>3175</v>
      </c>
      <c r="H110" s="3286" t="s">
        <v>3184</v>
      </c>
      <c r="I110" s="3287">
        <v>88.84</v>
      </c>
      <c r="J110" s="3286">
        <v>58.8</v>
      </c>
      <c r="M110" s="3290"/>
      <c r="N110" s="3290"/>
    </row>
    <row r="111" spans="1:14" hidden="1">
      <c r="A111" s="3282">
        <v>110</v>
      </c>
      <c r="B111" s="3283" t="s">
        <v>3177</v>
      </c>
      <c r="C111" s="3283">
        <v>9</v>
      </c>
      <c r="D111" s="3283">
        <v>1707</v>
      </c>
      <c r="E111" s="3285" t="str">
        <f t="shared" si="1"/>
        <v>南-9-1707</v>
      </c>
      <c r="F111" s="3283" t="s">
        <v>3196</v>
      </c>
      <c r="G111" s="3283" t="s">
        <v>3175</v>
      </c>
      <c r="H111" s="3286" t="s">
        <v>3176</v>
      </c>
      <c r="I111" s="3287">
        <v>62.64</v>
      </c>
      <c r="J111" s="3286">
        <v>41.46</v>
      </c>
      <c r="M111" s="3290"/>
      <c r="N111" s="3290"/>
    </row>
    <row r="112" spans="1:14" hidden="1">
      <c r="A112" s="3282">
        <v>111</v>
      </c>
      <c r="B112" s="3283" t="s">
        <v>3177</v>
      </c>
      <c r="C112" s="3283">
        <v>9</v>
      </c>
      <c r="D112" s="3283">
        <v>1708</v>
      </c>
      <c r="E112" s="3285" t="str">
        <f t="shared" si="1"/>
        <v>南-9-1708</v>
      </c>
      <c r="F112" s="3283" t="s">
        <v>3197</v>
      </c>
      <c r="G112" s="3283" t="s">
        <v>3175</v>
      </c>
      <c r="H112" s="3286" t="s">
        <v>3191</v>
      </c>
      <c r="I112" s="3287">
        <v>80.58</v>
      </c>
      <c r="J112" s="3286">
        <v>53.33</v>
      </c>
      <c r="M112" s="3290"/>
      <c r="N112" s="3290"/>
    </row>
    <row r="113" spans="1:14" hidden="1">
      <c r="A113" s="3282">
        <v>112</v>
      </c>
      <c r="B113" s="3283" t="s">
        <v>3177</v>
      </c>
      <c r="C113" s="3283">
        <v>9</v>
      </c>
      <c r="D113" s="3283">
        <v>1714</v>
      </c>
      <c r="E113" s="3285" t="str">
        <f t="shared" si="1"/>
        <v>南-9-1714</v>
      </c>
      <c r="F113" s="3283" t="s">
        <v>3198</v>
      </c>
      <c r="G113" s="3283" t="s">
        <v>3175</v>
      </c>
      <c r="H113" s="3286" t="s">
        <v>3181</v>
      </c>
      <c r="I113" s="3287">
        <v>73.3</v>
      </c>
      <c r="J113" s="3286">
        <v>48.51</v>
      </c>
      <c r="M113" s="3290"/>
      <c r="N113" s="3290"/>
    </row>
    <row r="114" spans="1:14" hidden="1">
      <c r="A114" s="3282">
        <v>113</v>
      </c>
      <c r="B114" s="3283" t="s">
        <v>3177</v>
      </c>
      <c r="C114" s="3283">
        <v>9</v>
      </c>
      <c r="D114" s="3283">
        <v>1716</v>
      </c>
      <c r="E114" s="3285" t="str">
        <f t="shared" si="1"/>
        <v>南-9-1716</v>
      </c>
      <c r="F114" s="3283" t="s">
        <v>3199</v>
      </c>
      <c r="G114" s="3283" t="s">
        <v>3175</v>
      </c>
      <c r="H114" s="3286" t="s">
        <v>3176</v>
      </c>
      <c r="I114" s="3287">
        <v>62.64</v>
      </c>
      <c r="J114" s="3286">
        <v>41.46</v>
      </c>
      <c r="M114" s="3290"/>
      <c r="N114" s="3290"/>
    </row>
    <row r="115" spans="1:14" s="3289" customFormat="1" hidden="1">
      <c r="A115" s="3291">
        <v>114</v>
      </c>
      <c r="B115" s="3283" t="s">
        <v>3177</v>
      </c>
      <c r="C115" s="3283">
        <v>6</v>
      </c>
      <c r="D115" s="3283">
        <v>103</v>
      </c>
      <c r="E115" s="3285" t="str">
        <f t="shared" si="1"/>
        <v>南-6-103</v>
      </c>
      <c r="F115" s="3292" t="s">
        <v>3200</v>
      </c>
      <c r="G115" s="3283" t="s">
        <v>3175</v>
      </c>
      <c r="H115" s="3286" t="s">
        <v>3201</v>
      </c>
      <c r="I115" s="3287">
        <v>45.03</v>
      </c>
      <c r="J115" s="3286">
        <v>29.9</v>
      </c>
    </row>
    <row r="116" spans="1:14" hidden="1">
      <c r="A116" s="3282">
        <v>115</v>
      </c>
      <c r="B116" s="3283" t="s">
        <v>3177</v>
      </c>
      <c r="C116" s="3283">
        <v>6</v>
      </c>
      <c r="D116" s="3283">
        <v>104</v>
      </c>
      <c r="E116" s="3285" t="str">
        <f t="shared" si="1"/>
        <v>南-6-104</v>
      </c>
      <c r="F116" s="3283" t="s">
        <v>3202</v>
      </c>
      <c r="G116" s="3283" t="s">
        <v>3175</v>
      </c>
      <c r="H116" s="3286" t="s">
        <v>3201</v>
      </c>
      <c r="I116" s="3287">
        <v>45.03</v>
      </c>
      <c r="J116" s="3286">
        <v>29.9</v>
      </c>
    </row>
    <row r="117" spans="1:14" hidden="1">
      <c r="A117" s="3282">
        <v>116</v>
      </c>
      <c r="B117" s="3283" t="s">
        <v>3177</v>
      </c>
      <c r="C117" s="3283">
        <v>6</v>
      </c>
      <c r="D117" s="3283">
        <v>107</v>
      </c>
      <c r="E117" s="3285" t="str">
        <f t="shared" si="1"/>
        <v>南-6-107</v>
      </c>
      <c r="F117" s="3283" t="s">
        <v>3203</v>
      </c>
      <c r="G117" s="3283" t="s">
        <v>3175</v>
      </c>
      <c r="H117" s="3286" t="s">
        <v>3204</v>
      </c>
      <c r="I117" s="3287">
        <v>59.91</v>
      </c>
      <c r="J117" s="3286">
        <v>39.78</v>
      </c>
    </row>
    <row r="118" spans="1:14" hidden="1">
      <c r="A118" s="3282">
        <v>117</v>
      </c>
      <c r="B118" s="3283" t="s">
        <v>3177</v>
      </c>
      <c r="C118" s="3283">
        <v>6</v>
      </c>
      <c r="D118" s="3283">
        <v>201</v>
      </c>
      <c r="E118" s="3285" t="str">
        <f t="shared" si="1"/>
        <v>南-6-201</v>
      </c>
      <c r="F118" s="3283" t="s">
        <v>3205</v>
      </c>
      <c r="G118" s="3283" t="s">
        <v>3152</v>
      </c>
      <c r="H118" s="3286" t="s">
        <v>3206</v>
      </c>
      <c r="I118" s="3287">
        <v>80.38</v>
      </c>
      <c r="J118" s="3286">
        <v>53.37</v>
      </c>
      <c r="M118" s="3290"/>
      <c r="N118" s="3290"/>
    </row>
    <row r="119" spans="1:14" hidden="1">
      <c r="A119" s="3282">
        <v>118</v>
      </c>
      <c r="B119" s="3283" t="s">
        <v>3154</v>
      </c>
      <c r="C119" s="3283">
        <v>6</v>
      </c>
      <c r="D119" s="3283">
        <v>202</v>
      </c>
      <c r="E119" s="3285" t="str">
        <f t="shared" si="1"/>
        <v>南-6-202</v>
      </c>
      <c r="F119" s="3283" t="s">
        <v>3207</v>
      </c>
      <c r="G119" s="3283" t="s">
        <v>3118</v>
      </c>
      <c r="H119" s="3286" t="s">
        <v>3138</v>
      </c>
      <c r="I119" s="3287">
        <v>73.06</v>
      </c>
      <c r="J119" s="3286">
        <v>48.51</v>
      </c>
      <c r="M119" s="3290"/>
      <c r="N119" s="3290"/>
    </row>
    <row r="120" spans="1:14" hidden="1">
      <c r="A120" s="3282">
        <v>119</v>
      </c>
      <c r="B120" s="3283" t="s">
        <v>3057</v>
      </c>
      <c r="C120" s="3283">
        <v>6</v>
      </c>
      <c r="D120" s="3283">
        <v>204</v>
      </c>
      <c r="E120" s="3285" t="str">
        <f t="shared" si="1"/>
        <v>南-6-204</v>
      </c>
      <c r="F120" s="3283" t="s">
        <v>3208</v>
      </c>
      <c r="G120" s="3283" t="s">
        <v>3118</v>
      </c>
      <c r="H120" s="3286" t="s">
        <v>3209</v>
      </c>
      <c r="I120" s="3287">
        <v>43.84</v>
      </c>
      <c r="J120" s="3286">
        <v>29.11</v>
      </c>
      <c r="M120" s="3290"/>
      <c r="N120" s="3290"/>
    </row>
    <row r="121" spans="1:14" hidden="1">
      <c r="A121" s="3282">
        <v>120</v>
      </c>
      <c r="B121" s="3283" t="s">
        <v>3057</v>
      </c>
      <c r="C121" s="3283">
        <v>6</v>
      </c>
      <c r="D121" s="3283">
        <v>208</v>
      </c>
      <c r="E121" s="3285" t="str">
        <f t="shared" si="1"/>
        <v>南-6-208</v>
      </c>
      <c r="F121" s="3283" t="s">
        <v>3210</v>
      </c>
      <c r="G121" s="3283" t="s">
        <v>3118</v>
      </c>
      <c r="H121" s="3286" t="s">
        <v>3135</v>
      </c>
      <c r="I121" s="3287">
        <v>80.260000000000005</v>
      </c>
      <c r="J121" s="3286">
        <v>53.29</v>
      </c>
      <c r="M121" s="3290"/>
      <c r="N121" s="3290"/>
    </row>
    <row r="122" spans="1:14" hidden="1">
      <c r="A122" s="3282">
        <v>121</v>
      </c>
      <c r="B122" s="3283" t="s">
        <v>3057</v>
      </c>
      <c r="C122" s="3283">
        <v>6</v>
      </c>
      <c r="D122" s="3283">
        <v>209</v>
      </c>
      <c r="E122" s="3285" t="str">
        <f t="shared" si="1"/>
        <v>南-6-209</v>
      </c>
      <c r="F122" s="3283" t="s">
        <v>3211</v>
      </c>
      <c r="G122" s="3283" t="s">
        <v>3118</v>
      </c>
      <c r="H122" s="3286" t="s">
        <v>3212</v>
      </c>
      <c r="I122" s="3287">
        <v>62.5</v>
      </c>
      <c r="J122" s="3286">
        <v>41.5</v>
      </c>
      <c r="M122" s="3290"/>
      <c r="N122" s="3290"/>
    </row>
    <row r="123" spans="1:14" hidden="1">
      <c r="A123" s="3282">
        <v>122</v>
      </c>
      <c r="B123" s="3283" t="s">
        <v>3057</v>
      </c>
      <c r="C123" s="3283">
        <v>6</v>
      </c>
      <c r="D123" s="3283">
        <v>210</v>
      </c>
      <c r="E123" s="3285" t="str">
        <f t="shared" si="1"/>
        <v>南-6-210</v>
      </c>
      <c r="F123" s="3283" t="s">
        <v>3213</v>
      </c>
      <c r="G123" s="3283" t="s">
        <v>3118</v>
      </c>
      <c r="H123" s="3286" t="s">
        <v>3128</v>
      </c>
      <c r="I123" s="3287">
        <v>71.540000000000006</v>
      </c>
      <c r="J123" s="3286">
        <v>47.5</v>
      </c>
      <c r="M123" s="3290"/>
      <c r="N123" s="3290"/>
    </row>
    <row r="124" spans="1:14" hidden="1">
      <c r="A124" s="3282">
        <v>123</v>
      </c>
      <c r="B124" s="3283" t="s">
        <v>3057</v>
      </c>
      <c r="C124" s="3283">
        <v>6</v>
      </c>
      <c r="D124" s="3283">
        <v>211</v>
      </c>
      <c r="E124" s="3285" t="str">
        <f t="shared" si="1"/>
        <v>南-6-211</v>
      </c>
      <c r="F124" s="3283" t="s">
        <v>3214</v>
      </c>
      <c r="G124" s="3283" t="s">
        <v>3118</v>
      </c>
      <c r="H124" s="3286" t="s">
        <v>3119</v>
      </c>
      <c r="I124" s="3287">
        <v>88.56</v>
      </c>
      <c r="J124" s="3286">
        <v>58.8</v>
      </c>
      <c r="M124" s="3290"/>
      <c r="N124" s="3290"/>
    </row>
    <row r="125" spans="1:14" hidden="1">
      <c r="A125" s="3282">
        <v>124</v>
      </c>
      <c r="B125" s="3283" t="s">
        <v>3057</v>
      </c>
      <c r="C125" s="3283">
        <v>6</v>
      </c>
      <c r="D125" s="3283">
        <v>212</v>
      </c>
      <c r="E125" s="3285" t="str">
        <f t="shared" si="1"/>
        <v>南-6-212</v>
      </c>
      <c r="F125" s="3283" t="s">
        <v>3215</v>
      </c>
      <c r="G125" s="3283" t="s">
        <v>3118</v>
      </c>
      <c r="H125" s="3286" t="s">
        <v>3119</v>
      </c>
      <c r="I125" s="3287">
        <v>88.56</v>
      </c>
      <c r="J125" s="3286">
        <v>58.8</v>
      </c>
      <c r="M125" s="3290"/>
      <c r="N125" s="3290"/>
    </row>
    <row r="126" spans="1:14" hidden="1">
      <c r="A126" s="3282">
        <v>125</v>
      </c>
      <c r="B126" s="3283" t="s">
        <v>3057</v>
      </c>
      <c r="C126" s="3283">
        <v>6</v>
      </c>
      <c r="D126" s="3283">
        <v>213</v>
      </c>
      <c r="E126" s="3285" t="str">
        <f t="shared" si="1"/>
        <v>南-6-213</v>
      </c>
      <c r="F126" s="3283" t="s">
        <v>3216</v>
      </c>
      <c r="G126" s="3283" t="s">
        <v>3118</v>
      </c>
      <c r="H126" s="3286" t="s">
        <v>3119</v>
      </c>
      <c r="I126" s="3287">
        <v>88.56</v>
      </c>
      <c r="J126" s="3286">
        <v>58.8</v>
      </c>
      <c r="M126" s="3290"/>
      <c r="N126" s="3290"/>
    </row>
    <row r="127" spans="1:14" hidden="1">
      <c r="A127" s="3282">
        <v>126</v>
      </c>
      <c r="B127" s="3283" t="s">
        <v>3057</v>
      </c>
      <c r="C127" s="3283">
        <v>6</v>
      </c>
      <c r="D127" s="3283">
        <v>301</v>
      </c>
      <c r="E127" s="3285" t="str">
        <f t="shared" si="1"/>
        <v>南-6-301</v>
      </c>
      <c r="F127" s="3283" t="s">
        <v>3217</v>
      </c>
      <c r="G127" s="3283" t="s">
        <v>3118</v>
      </c>
      <c r="H127" s="3286" t="s">
        <v>3135</v>
      </c>
      <c r="I127" s="3287">
        <v>80.260000000000005</v>
      </c>
      <c r="J127" s="3286">
        <v>53.29</v>
      </c>
      <c r="M127" s="3290"/>
      <c r="N127" s="3290"/>
    </row>
    <row r="128" spans="1:14" hidden="1">
      <c r="A128" s="3282">
        <v>127</v>
      </c>
      <c r="B128" s="3283" t="s">
        <v>3057</v>
      </c>
      <c r="C128" s="3283">
        <v>6</v>
      </c>
      <c r="D128" s="3283">
        <v>302</v>
      </c>
      <c r="E128" s="3285" t="str">
        <f t="shared" si="1"/>
        <v>南-6-302</v>
      </c>
      <c r="F128" s="3283" t="s">
        <v>3218</v>
      </c>
      <c r="G128" s="3283" t="s">
        <v>3118</v>
      </c>
      <c r="H128" s="3286" t="s">
        <v>3121</v>
      </c>
      <c r="I128" s="3287">
        <v>73.06</v>
      </c>
      <c r="J128" s="3286">
        <v>48.51</v>
      </c>
      <c r="M128" s="3290"/>
      <c r="N128" s="3290"/>
    </row>
    <row r="129" spans="1:14" hidden="1">
      <c r="A129" s="3282">
        <v>128</v>
      </c>
      <c r="B129" s="3283" t="s">
        <v>3057</v>
      </c>
      <c r="C129" s="3283">
        <v>6</v>
      </c>
      <c r="D129" s="3283">
        <v>306</v>
      </c>
      <c r="E129" s="3285" t="str">
        <f t="shared" si="1"/>
        <v>南-6-306</v>
      </c>
      <c r="F129" s="3283" t="s">
        <v>3219</v>
      </c>
      <c r="G129" s="3283" t="s">
        <v>3118</v>
      </c>
      <c r="H129" s="3286" t="s">
        <v>3209</v>
      </c>
      <c r="I129" s="3287">
        <v>43.84</v>
      </c>
      <c r="J129" s="3286">
        <v>29.11</v>
      </c>
      <c r="M129" s="3290"/>
      <c r="N129" s="3290"/>
    </row>
    <row r="130" spans="1:14" hidden="1">
      <c r="A130" s="3282">
        <v>129</v>
      </c>
      <c r="B130" s="3283" t="s">
        <v>3057</v>
      </c>
      <c r="C130" s="3283">
        <v>6</v>
      </c>
      <c r="D130" s="3283">
        <v>307</v>
      </c>
      <c r="E130" s="3285" t="str">
        <f t="shared" si="1"/>
        <v>南-6-307</v>
      </c>
      <c r="F130" s="3283" t="s">
        <v>3220</v>
      </c>
      <c r="G130" s="3283" t="s">
        <v>3118</v>
      </c>
      <c r="H130" s="3286" t="s">
        <v>3209</v>
      </c>
      <c r="I130" s="3287">
        <v>43.84</v>
      </c>
      <c r="J130" s="3286">
        <v>29.11</v>
      </c>
      <c r="M130" s="3290"/>
      <c r="N130" s="3290"/>
    </row>
    <row r="131" spans="1:14" hidden="1">
      <c r="A131" s="3282">
        <v>130</v>
      </c>
      <c r="B131" s="3283" t="s">
        <v>3057</v>
      </c>
      <c r="C131" s="3283">
        <v>6</v>
      </c>
      <c r="D131" s="3283">
        <v>308</v>
      </c>
      <c r="E131" s="3285" t="str">
        <f t="shared" ref="E131:E194" si="2">B131&amp;-C131&amp;"-"&amp;D131</f>
        <v>南-6-308</v>
      </c>
      <c r="F131" s="3283" t="s">
        <v>3221</v>
      </c>
      <c r="G131" s="3283" t="s">
        <v>3118</v>
      </c>
      <c r="H131" s="3286" t="s">
        <v>3222</v>
      </c>
      <c r="I131" s="3287">
        <v>80.319999999999993</v>
      </c>
      <c r="J131" s="3286">
        <v>53.33</v>
      </c>
      <c r="M131" s="3290"/>
      <c r="N131" s="3290"/>
    </row>
    <row r="132" spans="1:14" hidden="1">
      <c r="A132" s="3282">
        <v>131</v>
      </c>
      <c r="B132" s="3283" t="s">
        <v>3057</v>
      </c>
      <c r="C132" s="3283">
        <v>6</v>
      </c>
      <c r="D132" s="3283">
        <v>309</v>
      </c>
      <c r="E132" s="3285" t="str">
        <f t="shared" si="2"/>
        <v>南-6-309</v>
      </c>
      <c r="F132" s="3283" t="s">
        <v>3223</v>
      </c>
      <c r="G132" s="3283" t="s">
        <v>3118</v>
      </c>
      <c r="H132" s="3286" t="s">
        <v>3224</v>
      </c>
      <c r="I132" s="3287">
        <v>62.46</v>
      </c>
      <c r="J132" s="3286">
        <v>41.47</v>
      </c>
      <c r="M132" s="3290"/>
      <c r="N132" s="3290"/>
    </row>
    <row r="133" spans="1:14" hidden="1">
      <c r="A133" s="3282">
        <v>132</v>
      </c>
      <c r="B133" s="3283" t="s">
        <v>3057</v>
      </c>
      <c r="C133" s="3283">
        <v>6</v>
      </c>
      <c r="D133" s="3283">
        <v>311</v>
      </c>
      <c r="E133" s="3285" t="str">
        <f t="shared" si="2"/>
        <v>南-6-311</v>
      </c>
      <c r="F133" s="3283" t="s">
        <v>3225</v>
      </c>
      <c r="G133" s="3283" t="s">
        <v>3118</v>
      </c>
      <c r="H133" s="3286" t="s">
        <v>3119</v>
      </c>
      <c r="I133" s="3287">
        <v>88.56</v>
      </c>
      <c r="J133" s="3286">
        <v>58.8</v>
      </c>
      <c r="M133" s="3290"/>
      <c r="N133" s="3290"/>
    </row>
    <row r="134" spans="1:14" hidden="1">
      <c r="A134" s="3282">
        <v>133</v>
      </c>
      <c r="B134" s="3283" t="s">
        <v>3057</v>
      </c>
      <c r="C134" s="3283">
        <v>6</v>
      </c>
      <c r="D134" s="3283">
        <v>313</v>
      </c>
      <c r="E134" s="3285" t="str">
        <f t="shared" si="2"/>
        <v>南-6-313</v>
      </c>
      <c r="F134" s="3283" t="s">
        <v>3226</v>
      </c>
      <c r="G134" s="3283" t="s">
        <v>3127</v>
      </c>
      <c r="H134" s="3286" t="s">
        <v>3133</v>
      </c>
      <c r="I134" s="3287">
        <v>88.56</v>
      </c>
      <c r="J134" s="3286">
        <v>58.8</v>
      </c>
      <c r="M134" s="3290"/>
      <c r="N134" s="3290"/>
    </row>
    <row r="135" spans="1:14" hidden="1">
      <c r="A135" s="3282">
        <v>134</v>
      </c>
      <c r="B135" s="3283" t="s">
        <v>3057</v>
      </c>
      <c r="C135" s="3283">
        <v>6</v>
      </c>
      <c r="D135" s="3283">
        <v>315</v>
      </c>
      <c r="E135" s="3285" t="str">
        <f t="shared" si="2"/>
        <v>南-6-315</v>
      </c>
      <c r="F135" s="3283" t="s">
        <v>3227</v>
      </c>
      <c r="G135" s="3283" t="s">
        <v>3118</v>
      </c>
      <c r="H135" s="3286" t="s">
        <v>3128</v>
      </c>
      <c r="I135" s="3287">
        <v>71.47</v>
      </c>
      <c r="J135" s="3286">
        <v>47.45</v>
      </c>
      <c r="M135" s="3290"/>
      <c r="N135" s="3290"/>
    </row>
    <row r="136" spans="1:14" hidden="1">
      <c r="A136" s="3282">
        <v>135</v>
      </c>
      <c r="B136" s="3283" t="s">
        <v>3057</v>
      </c>
      <c r="C136" s="3283">
        <v>6</v>
      </c>
      <c r="D136" s="3283">
        <v>401</v>
      </c>
      <c r="E136" s="3285" t="str">
        <f t="shared" si="2"/>
        <v>南-6-401</v>
      </c>
      <c r="F136" s="3283" t="s">
        <v>3228</v>
      </c>
      <c r="G136" s="3283" t="s">
        <v>3118</v>
      </c>
      <c r="H136" s="3286" t="s">
        <v>3222</v>
      </c>
      <c r="I136" s="3287">
        <v>80.38</v>
      </c>
      <c r="J136" s="3286">
        <v>53.37</v>
      </c>
      <c r="M136" s="3290"/>
      <c r="N136" s="3290"/>
    </row>
    <row r="137" spans="1:14" hidden="1">
      <c r="A137" s="3282">
        <v>136</v>
      </c>
      <c r="B137" s="3283" t="s">
        <v>3057</v>
      </c>
      <c r="C137" s="3283">
        <v>6</v>
      </c>
      <c r="D137" s="3283">
        <v>402</v>
      </c>
      <c r="E137" s="3285" t="str">
        <f t="shared" si="2"/>
        <v>南-6-402</v>
      </c>
      <c r="F137" s="3283" t="s">
        <v>3229</v>
      </c>
      <c r="G137" s="3283" t="s">
        <v>3118</v>
      </c>
      <c r="H137" s="3286" t="s">
        <v>3138</v>
      </c>
      <c r="I137" s="3287">
        <v>73.06</v>
      </c>
      <c r="J137" s="3286">
        <v>48.51</v>
      </c>
      <c r="M137" s="3290"/>
      <c r="N137" s="3290"/>
    </row>
    <row r="138" spans="1:14" hidden="1">
      <c r="A138" s="3282">
        <v>137</v>
      </c>
      <c r="B138" s="3283" t="s">
        <v>3125</v>
      </c>
      <c r="C138" s="3283">
        <v>6</v>
      </c>
      <c r="D138" s="3283">
        <v>405</v>
      </c>
      <c r="E138" s="3285" t="str">
        <f t="shared" si="2"/>
        <v>南-6-405</v>
      </c>
      <c r="F138" s="3283" t="s">
        <v>3230</v>
      </c>
      <c r="G138" s="3283" t="s">
        <v>3127</v>
      </c>
      <c r="H138" s="3286" t="s">
        <v>3231</v>
      </c>
      <c r="I138" s="3287">
        <v>43.84</v>
      </c>
      <c r="J138" s="3286">
        <v>29.11</v>
      </c>
      <c r="M138" s="3290"/>
      <c r="N138" s="3290"/>
    </row>
    <row r="139" spans="1:14" hidden="1">
      <c r="A139" s="3282">
        <v>138</v>
      </c>
      <c r="B139" s="3283" t="s">
        <v>3057</v>
      </c>
      <c r="C139" s="3283">
        <v>6</v>
      </c>
      <c r="D139" s="3283">
        <v>407</v>
      </c>
      <c r="E139" s="3285" t="str">
        <f t="shared" si="2"/>
        <v>南-6-407</v>
      </c>
      <c r="F139" s="3283" t="s">
        <v>3232</v>
      </c>
      <c r="G139" s="3283" t="s">
        <v>3118</v>
      </c>
      <c r="H139" s="3286" t="s">
        <v>3209</v>
      </c>
      <c r="I139" s="3287">
        <v>43.84</v>
      </c>
      <c r="J139" s="3286">
        <v>29.11</v>
      </c>
      <c r="M139" s="3290"/>
      <c r="N139" s="3290"/>
    </row>
    <row r="140" spans="1:14" hidden="1">
      <c r="A140" s="3282">
        <v>139</v>
      </c>
      <c r="B140" s="3283" t="s">
        <v>3057</v>
      </c>
      <c r="C140" s="3283">
        <v>6</v>
      </c>
      <c r="D140" s="3283">
        <v>408</v>
      </c>
      <c r="E140" s="3285" t="str">
        <f t="shared" si="2"/>
        <v>南-6-408</v>
      </c>
      <c r="F140" s="3283" t="s">
        <v>3233</v>
      </c>
      <c r="G140" s="3283" t="s">
        <v>3118</v>
      </c>
      <c r="H140" s="3286" t="s">
        <v>3135</v>
      </c>
      <c r="I140" s="3287">
        <v>80.260000000000005</v>
      </c>
      <c r="J140" s="3286">
        <v>53.29</v>
      </c>
      <c r="M140" s="3290"/>
      <c r="N140" s="3290"/>
    </row>
    <row r="141" spans="1:14" hidden="1">
      <c r="A141" s="3282">
        <v>140</v>
      </c>
      <c r="B141" s="3283" t="s">
        <v>3057</v>
      </c>
      <c r="C141" s="3283">
        <v>6</v>
      </c>
      <c r="D141" s="3283">
        <v>409</v>
      </c>
      <c r="E141" s="3285" t="str">
        <f t="shared" si="2"/>
        <v>南-6-409</v>
      </c>
      <c r="F141" s="3283" t="s">
        <v>3234</v>
      </c>
      <c r="G141" s="3283" t="s">
        <v>3118</v>
      </c>
      <c r="H141" s="3286" t="s">
        <v>3212</v>
      </c>
      <c r="I141" s="3287">
        <v>62.5</v>
      </c>
      <c r="J141" s="3286">
        <v>41.5</v>
      </c>
      <c r="M141" s="3290"/>
      <c r="N141" s="3290"/>
    </row>
    <row r="142" spans="1:14" hidden="1">
      <c r="A142" s="3282">
        <v>141</v>
      </c>
      <c r="B142" s="3283" t="s">
        <v>3057</v>
      </c>
      <c r="C142" s="3283">
        <v>6</v>
      </c>
      <c r="D142" s="3283">
        <v>411</v>
      </c>
      <c r="E142" s="3285" t="str">
        <f t="shared" si="2"/>
        <v>南-6-411</v>
      </c>
      <c r="F142" s="3283" t="s">
        <v>3235</v>
      </c>
      <c r="G142" s="3283" t="s">
        <v>3118</v>
      </c>
      <c r="H142" s="3286" t="s">
        <v>3119</v>
      </c>
      <c r="I142" s="3287">
        <v>88.56</v>
      </c>
      <c r="J142" s="3286">
        <v>58.8</v>
      </c>
      <c r="M142" s="3290"/>
      <c r="N142" s="3290"/>
    </row>
    <row r="143" spans="1:14" hidden="1">
      <c r="A143" s="3282">
        <v>142</v>
      </c>
      <c r="B143" s="3283" t="s">
        <v>3057</v>
      </c>
      <c r="C143" s="3283">
        <v>6</v>
      </c>
      <c r="D143" s="3283">
        <v>414</v>
      </c>
      <c r="E143" s="3285" t="str">
        <f t="shared" si="2"/>
        <v>南-6-414</v>
      </c>
      <c r="F143" s="3283" t="s">
        <v>3236</v>
      </c>
      <c r="G143" s="3283" t="s">
        <v>3118</v>
      </c>
      <c r="H143" s="3286" t="s">
        <v>3237</v>
      </c>
      <c r="I143" s="3287">
        <v>44.28</v>
      </c>
      <c r="J143" s="3286">
        <v>29.4</v>
      </c>
      <c r="M143" s="3290"/>
      <c r="N143" s="3290"/>
    </row>
    <row r="144" spans="1:14" hidden="1">
      <c r="A144" s="3282">
        <v>143</v>
      </c>
      <c r="B144" s="3283" t="s">
        <v>3057</v>
      </c>
      <c r="C144" s="3283">
        <v>6</v>
      </c>
      <c r="D144" s="3283">
        <v>415</v>
      </c>
      <c r="E144" s="3285" t="str">
        <f t="shared" si="2"/>
        <v>南-6-415</v>
      </c>
      <c r="F144" s="3283" t="s">
        <v>3238</v>
      </c>
      <c r="G144" s="3283" t="s">
        <v>3118</v>
      </c>
      <c r="H144" s="3286" t="s">
        <v>3239</v>
      </c>
      <c r="I144" s="3287">
        <v>71.41</v>
      </c>
      <c r="J144" s="3286">
        <v>47.41</v>
      </c>
      <c r="M144" s="3290"/>
      <c r="N144" s="3290"/>
    </row>
    <row r="145" spans="1:14" hidden="1">
      <c r="A145" s="3282">
        <v>144</v>
      </c>
      <c r="B145" s="3283" t="s">
        <v>3057</v>
      </c>
      <c r="C145" s="3283">
        <v>6</v>
      </c>
      <c r="D145" s="3283">
        <v>507</v>
      </c>
      <c r="E145" s="3285" t="str">
        <f t="shared" si="2"/>
        <v>南-6-507</v>
      </c>
      <c r="F145" s="3283" t="s">
        <v>3240</v>
      </c>
      <c r="G145" s="3283" t="s">
        <v>3118</v>
      </c>
      <c r="H145" s="3286" t="s">
        <v>3209</v>
      </c>
      <c r="I145" s="3287">
        <v>43.84</v>
      </c>
      <c r="J145" s="3286">
        <v>29.11</v>
      </c>
      <c r="M145" s="3290"/>
      <c r="N145" s="3290"/>
    </row>
    <row r="146" spans="1:14" hidden="1">
      <c r="A146" s="3282">
        <v>145</v>
      </c>
      <c r="B146" s="3283" t="s">
        <v>3057</v>
      </c>
      <c r="C146" s="3283">
        <v>6</v>
      </c>
      <c r="D146" s="3283">
        <v>509</v>
      </c>
      <c r="E146" s="3285" t="str">
        <f t="shared" si="2"/>
        <v>南-6-509</v>
      </c>
      <c r="F146" s="3283" t="s">
        <v>3241</v>
      </c>
      <c r="G146" s="3283" t="s">
        <v>3118</v>
      </c>
      <c r="H146" s="3286" t="s">
        <v>3224</v>
      </c>
      <c r="I146" s="3287">
        <v>62.46</v>
      </c>
      <c r="J146" s="3286">
        <v>41.47</v>
      </c>
      <c r="M146" s="3290"/>
      <c r="N146" s="3290"/>
    </row>
    <row r="147" spans="1:14" hidden="1">
      <c r="A147" s="3282">
        <v>146</v>
      </c>
      <c r="B147" s="3283" t="s">
        <v>3057</v>
      </c>
      <c r="C147" s="3283">
        <v>6</v>
      </c>
      <c r="D147" s="3283">
        <v>511</v>
      </c>
      <c r="E147" s="3285" t="str">
        <f t="shared" si="2"/>
        <v>南-6-511</v>
      </c>
      <c r="F147" s="3283" t="s">
        <v>3242</v>
      </c>
      <c r="G147" s="3283" t="s">
        <v>3118</v>
      </c>
      <c r="H147" s="3286" t="s">
        <v>3119</v>
      </c>
      <c r="I147" s="3287">
        <v>88.56</v>
      </c>
      <c r="J147" s="3286">
        <v>58.8</v>
      </c>
      <c r="M147" s="3290"/>
      <c r="N147" s="3290"/>
    </row>
    <row r="148" spans="1:14" hidden="1">
      <c r="A148" s="3282">
        <v>147</v>
      </c>
      <c r="B148" s="3283" t="s">
        <v>3057</v>
      </c>
      <c r="C148" s="3283">
        <v>6</v>
      </c>
      <c r="D148" s="3283">
        <v>604</v>
      </c>
      <c r="E148" s="3285" t="str">
        <f t="shared" si="2"/>
        <v>南-6-604</v>
      </c>
      <c r="F148" s="3283" t="s">
        <v>3243</v>
      </c>
      <c r="G148" s="3283" t="s">
        <v>3118</v>
      </c>
      <c r="H148" s="3286" t="s">
        <v>3209</v>
      </c>
      <c r="I148" s="3287">
        <v>43.84</v>
      </c>
      <c r="J148" s="3286">
        <v>29.11</v>
      </c>
      <c r="M148" s="3290"/>
      <c r="N148" s="3290"/>
    </row>
    <row r="149" spans="1:14" hidden="1">
      <c r="A149" s="3282">
        <v>148</v>
      </c>
      <c r="B149" s="3283" t="s">
        <v>3057</v>
      </c>
      <c r="C149" s="3283">
        <v>6</v>
      </c>
      <c r="D149" s="3283">
        <v>605</v>
      </c>
      <c r="E149" s="3285" t="str">
        <f t="shared" si="2"/>
        <v>南-6-605</v>
      </c>
      <c r="F149" s="3283" t="s">
        <v>3244</v>
      </c>
      <c r="G149" s="3283" t="s">
        <v>3118</v>
      </c>
      <c r="H149" s="3286" t="s">
        <v>3209</v>
      </c>
      <c r="I149" s="3287">
        <v>43.84</v>
      </c>
      <c r="J149" s="3286">
        <v>29.11</v>
      </c>
      <c r="M149" s="3290"/>
      <c r="N149" s="3290"/>
    </row>
    <row r="150" spans="1:14" hidden="1">
      <c r="A150" s="3282">
        <v>149</v>
      </c>
      <c r="B150" s="3283" t="s">
        <v>3057</v>
      </c>
      <c r="C150" s="3283">
        <v>6</v>
      </c>
      <c r="D150" s="3283">
        <v>606</v>
      </c>
      <c r="E150" s="3285" t="str">
        <f t="shared" si="2"/>
        <v>南-6-606</v>
      </c>
      <c r="F150" s="3283" t="s">
        <v>3245</v>
      </c>
      <c r="G150" s="3283" t="s">
        <v>3118</v>
      </c>
      <c r="H150" s="3286" t="s">
        <v>3209</v>
      </c>
      <c r="I150" s="3287">
        <v>43.84</v>
      </c>
      <c r="J150" s="3286">
        <v>29.11</v>
      </c>
      <c r="M150" s="3290"/>
      <c r="N150" s="3290"/>
    </row>
    <row r="151" spans="1:14" hidden="1">
      <c r="A151" s="3282">
        <v>150</v>
      </c>
      <c r="B151" s="3283" t="s">
        <v>3057</v>
      </c>
      <c r="C151" s="3283">
        <v>6</v>
      </c>
      <c r="D151" s="3283">
        <v>607</v>
      </c>
      <c r="E151" s="3285" t="str">
        <f t="shared" si="2"/>
        <v>南-6-607</v>
      </c>
      <c r="F151" s="3283" t="s">
        <v>3246</v>
      </c>
      <c r="G151" s="3283" t="s">
        <v>3118</v>
      </c>
      <c r="H151" s="3286" t="s">
        <v>3209</v>
      </c>
      <c r="I151" s="3287">
        <v>43.84</v>
      </c>
      <c r="J151" s="3286">
        <v>29.11</v>
      </c>
      <c r="M151" s="3290"/>
      <c r="N151" s="3290"/>
    </row>
    <row r="152" spans="1:14" hidden="1">
      <c r="A152" s="3282">
        <v>151</v>
      </c>
      <c r="B152" s="3283" t="s">
        <v>3057</v>
      </c>
      <c r="C152" s="3283">
        <v>6</v>
      </c>
      <c r="D152" s="3283">
        <v>611</v>
      </c>
      <c r="E152" s="3285" t="str">
        <f t="shared" si="2"/>
        <v>南-6-611</v>
      </c>
      <c r="F152" s="3283" t="s">
        <v>3247</v>
      </c>
      <c r="G152" s="3283" t="s">
        <v>3118</v>
      </c>
      <c r="H152" s="3286" t="s">
        <v>3119</v>
      </c>
      <c r="I152" s="3287">
        <v>88.56</v>
      </c>
      <c r="J152" s="3286">
        <v>58.8</v>
      </c>
      <c r="M152" s="3290"/>
      <c r="N152" s="3290"/>
    </row>
    <row r="153" spans="1:14" hidden="1">
      <c r="A153" s="3282">
        <v>152</v>
      </c>
      <c r="B153" s="3283" t="s">
        <v>3057</v>
      </c>
      <c r="C153" s="3283">
        <v>6</v>
      </c>
      <c r="D153" s="3283">
        <v>612</v>
      </c>
      <c r="E153" s="3285" t="str">
        <f t="shared" si="2"/>
        <v>南-6-612</v>
      </c>
      <c r="F153" s="3283" t="s">
        <v>3248</v>
      </c>
      <c r="G153" s="3283" t="s">
        <v>3118</v>
      </c>
      <c r="H153" s="3286" t="s">
        <v>3119</v>
      </c>
      <c r="I153" s="3287">
        <v>88.56</v>
      </c>
      <c r="J153" s="3286">
        <v>58.8</v>
      </c>
      <c r="M153" s="3290"/>
      <c r="N153" s="3290"/>
    </row>
    <row r="154" spans="1:14" hidden="1">
      <c r="A154" s="3282">
        <v>153</v>
      </c>
      <c r="B154" s="3283" t="s">
        <v>3057</v>
      </c>
      <c r="C154" s="3283">
        <v>6</v>
      </c>
      <c r="D154" s="3283">
        <v>613</v>
      </c>
      <c r="E154" s="3285" t="str">
        <f t="shared" si="2"/>
        <v>南-6-613</v>
      </c>
      <c r="F154" s="3283" t="s">
        <v>3249</v>
      </c>
      <c r="G154" s="3283" t="s">
        <v>3118</v>
      </c>
      <c r="H154" s="3286" t="s">
        <v>3119</v>
      </c>
      <c r="I154" s="3287">
        <v>88.56</v>
      </c>
      <c r="J154" s="3286">
        <v>58.8</v>
      </c>
      <c r="M154" s="3290"/>
      <c r="N154" s="3290"/>
    </row>
    <row r="155" spans="1:14" hidden="1">
      <c r="A155" s="3282">
        <v>154</v>
      </c>
      <c r="B155" s="3283" t="s">
        <v>3057</v>
      </c>
      <c r="C155" s="3283">
        <v>6</v>
      </c>
      <c r="D155" s="3283">
        <v>614</v>
      </c>
      <c r="E155" s="3285" t="str">
        <f t="shared" si="2"/>
        <v>南-6-614</v>
      </c>
      <c r="F155" s="3283" t="s">
        <v>3250</v>
      </c>
      <c r="G155" s="3283" t="s">
        <v>3118</v>
      </c>
      <c r="H155" s="3286" t="s">
        <v>3237</v>
      </c>
      <c r="I155" s="3287">
        <v>44.28</v>
      </c>
      <c r="J155" s="3286">
        <v>29.4</v>
      </c>
      <c r="M155" s="3290"/>
      <c r="N155" s="3290"/>
    </row>
    <row r="156" spans="1:14" hidden="1">
      <c r="A156" s="3282">
        <v>155</v>
      </c>
      <c r="B156" s="3283" t="s">
        <v>3057</v>
      </c>
      <c r="C156" s="3283">
        <v>6</v>
      </c>
      <c r="D156" s="3283">
        <v>701</v>
      </c>
      <c r="E156" s="3285" t="str">
        <f t="shared" si="2"/>
        <v>南-6-701</v>
      </c>
      <c r="F156" s="3283" t="s">
        <v>3251</v>
      </c>
      <c r="G156" s="3283" t="s">
        <v>3118</v>
      </c>
      <c r="H156" s="3286" t="s">
        <v>3135</v>
      </c>
      <c r="I156" s="3287">
        <v>80.260000000000005</v>
      </c>
      <c r="J156" s="3286">
        <v>53.29</v>
      </c>
      <c r="M156" s="3290"/>
      <c r="N156" s="3290"/>
    </row>
    <row r="157" spans="1:14" hidden="1">
      <c r="A157" s="3282">
        <v>156</v>
      </c>
      <c r="B157" s="3283" t="s">
        <v>3057</v>
      </c>
      <c r="C157" s="3283">
        <v>6</v>
      </c>
      <c r="D157" s="3283">
        <v>702</v>
      </c>
      <c r="E157" s="3285" t="str">
        <f t="shared" si="2"/>
        <v>南-6-702</v>
      </c>
      <c r="F157" s="3283" t="s">
        <v>3252</v>
      </c>
      <c r="G157" s="3283" t="s">
        <v>3118</v>
      </c>
      <c r="H157" s="3286" t="s">
        <v>3121</v>
      </c>
      <c r="I157" s="3287">
        <v>73.06</v>
      </c>
      <c r="J157" s="3286">
        <v>48.51</v>
      </c>
      <c r="M157" s="3290"/>
      <c r="N157" s="3290"/>
    </row>
    <row r="158" spans="1:14" hidden="1">
      <c r="A158" s="3282">
        <v>157</v>
      </c>
      <c r="B158" s="3283" t="s">
        <v>3057</v>
      </c>
      <c r="C158" s="3283">
        <v>6</v>
      </c>
      <c r="D158" s="3283">
        <v>705</v>
      </c>
      <c r="E158" s="3285" t="str">
        <f t="shared" si="2"/>
        <v>南-6-705</v>
      </c>
      <c r="F158" s="3283" t="s">
        <v>3253</v>
      </c>
      <c r="G158" s="3283" t="s">
        <v>3118</v>
      </c>
      <c r="H158" s="3286" t="s">
        <v>3209</v>
      </c>
      <c r="I158" s="3287">
        <v>43.84</v>
      </c>
      <c r="J158" s="3286">
        <v>29.11</v>
      </c>
      <c r="M158" s="3290"/>
      <c r="N158" s="3290"/>
    </row>
    <row r="159" spans="1:14" hidden="1">
      <c r="A159" s="3282">
        <v>158</v>
      </c>
      <c r="B159" s="3283" t="s">
        <v>3057</v>
      </c>
      <c r="C159" s="3283">
        <v>6</v>
      </c>
      <c r="D159" s="3283">
        <v>706</v>
      </c>
      <c r="E159" s="3285" t="str">
        <f t="shared" si="2"/>
        <v>南-6-706</v>
      </c>
      <c r="F159" s="3283" t="s">
        <v>3254</v>
      </c>
      <c r="G159" s="3283" t="s">
        <v>3118</v>
      </c>
      <c r="H159" s="3286" t="s">
        <v>3209</v>
      </c>
      <c r="I159" s="3287">
        <v>43.84</v>
      </c>
      <c r="J159" s="3286">
        <v>29.11</v>
      </c>
      <c r="M159" s="3290"/>
      <c r="N159" s="3290"/>
    </row>
    <row r="160" spans="1:14" hidden="1">
      <c r="A160" s="3282">
        <v>159</v>
      </c>
      <c r="B160" s="3283" t="s">
        <v>3057</v>
      </c>
      <c r="C160" s="3283">
        <v>6</v>
      </c>
      <c r="D160" s="3283">
        <v>707</v>
      </c>
      <c r="E160" s="3285" t="str">
        <f t="shared" si="2"/>
        <v>南-6-707</v>
      </c>
      <c r="F160" s="3283" t="s">
        <v>3255</v>
      </c>
      <c r="G160" s="3283" t="s">
        <v>3118</v>
      </c>
      <c r="H160" s="3286" t="s">
        <v>3209</v>
      </c>
      <c r="I160" s="3287">
        <v>43.84</v>
      </c>
      <c r="J160" s="3286">
        <v>29.11</v>
      </c>
      <c r="M160" s="3290"/>
      <c r="N160" s="3290"/>
    </row>
    <row r="161" spans="1:14" hidden="1">
      <c r="A161" s="3282">
        <v>160</v>
      </c>
      <c r="B161" s="3283" t="s">
        <v>3057</v>
      </c>
      <c r="C161" s="3283">
        <v>6</v>
      </c>
      <c r="D161" s="3283">
        <v>711</v>
      </c>
      <c r="E161" s="3285" t="str">
        <f t="shared" si="2"/>
        <v>南-6-711</v>
      </c>
      <c r="F161" s="3283" t="s">
        <v>3256</v>
      </c>
      <c r="G161" s="3283" t="s">
        <v>3118</v>
      </c>
      <c r="H161" s="3286" t="s">
        <v>3119</v>
      </c>
      <c r="I161" s="3287">
        <v>88.56</v>
      </c>
      <c r="J161" s="3286">
        <v>58.8</v>
      </c>
      <c r="M161" s="3290"/>
      <c r="N161" s="3290"/>
    </row>
    <row r="162" spans="1:14" hidden="1">
      <c r="A162" s="3282">
        <v>161</v>
      </c>
      <c r="B162" s="3283" t="s">
        <v>3057</v>
      </c>
      <c r="C162" s="3283">
        <v>6</v>
      </c>
      <c r="D162" s="3283">
        <v>712</v>
      </c>
      <c r="E162" s="3285" t="str">
        <f t="shared" si="2"/>
        <v>南-6-712</v>
      </c>
      <c r="F162" s="3283" t="s">
        <v>3257</v>
      </c>
      <c r="G162" s="3283" t="s">
        <v>3118</v>
      </c>
      <c r="H162" s="3286" t="s">
        <v>3119</v>
      </c>
      <c r="I162" s="3287">
        <v>88.56</v>
      </c>
      <c r="J162" s="3286">
        <v>58.8</v>
      </c>
      <c r="M162" s="3290"/>
      <c r="N162" s="3290"/>
    </row>
    <row r="163" spans="1:14" hidden="1">
      <c r="A163" s="3282">
        <v>162</v>
      </c>
      <c r="B163" s="3283" t="s">
        <v>3057</v>
      </c>
      <c r="C163" s="3283">
        <v>6</v>
      </c>
      <c r="D163" s="3283">
        <v>713</v>
      </c>
      <c r="E163" s="3285" t="str">
        <f t="shared" si="2"/>
        <v>南-6-713</v>
      </c>
      <c r="F163" s="3283" t="s">
        <v>3258</v>
      </c>
      <c r="G163" s="3283" t="s">
        <v>3118</v>
      </c>
      <c r="H163" s="3286" t="s">
        <v>3119</v>
      </c>
      <c r="I163" s="3287">
        <v>88.56</v>
      </c>
      <c r="J163" s="3286">
        <v>58.8</v>
      </c>
      <c r="M163" s="3290"/>
      <c r="N163" s="3290"/>
    </row>
    <row r="164" spans="1:14" hidden="1">
      <c r="A164" s="3282">
        <v>163</v>
      </c>
      <c r="B164" s="3283" t="s">
        <v>3057</v>
      </c>
      <c r="C164" s="3283">
        <v>6</v>
      </c>
      <c r="D164" s="3283">
        <v>716</v>
      </c>
      <c r="E164" s="3285" t="str">
        <f t="shared" si="2"/>
        <v>南-6-716</v>
      </c>
      <c r="F164" s="3283" t="s">
        <v>3259</v>
      </c>
      <c r="G164" s="3283" t="s">
        <v>3260</v>
      </c>
      <c r="H164" s="3286" t="s">
        <v>3261</v>
      </c>
      <c r="I164" s="3287">
        <v>62.46</v>
      </c>
      <c r="J164" s="3286">
        <v>41.47</v>
      </c>
      <c r="M164" s="3290"/>
      <c r="N164" s="3290"/>
    </row>
    <row r="165" spans="1:14" hidden="1">
      <c r="A165" s="3282">
        <v>164</v>
      </c>
      <c r="B165" s="3283" t="s">
        <v>3262</v>
      </c>
      <c r="C165" s="3283">
        <v>6</v>
      </c>
      <c r="D165" s="3283">
        <v>804</v>
      </c>
      <c r="E165" s="3285" t="str">
        <f t="shared" si="2"/>
        <v>南-6-804</v>
      </c>
      <c r="F165" s="3283" t="s">
        <v>3263</v>
      </c>
      <c r="G165" s="3283" t="s">
        <v>3260</v>
      </c>
      <c r="H165" s="3286" t="s">
        <v>3264</v>
      </c>
      <c r="I165" s="3287">
        <v>43.84</v>
      </c>
      <c r="J165" s="3286">
        <v>29.11</v>
      </c>
      <c r="M165" s="3290"/>
      <c r="N165" s="3290"/>
    </row>
    <row r="166" spans="1:14" hidden="1">
      <c r="A166" s="3282">
        <v>165</v>
      </c>
      <c r="B166" s="3283" t="s">
        <v>3262</v>
      </c>
      <c r="C166" s="3283">
        <v>6</v>
      </c>
      <c r="D166" s="3283">
        <v>805</v>
      </c>
      <c r="E166" s="3285" t="str">
        <f t="shared" si="2"/>
        <v>南-6-805</v>
      </c>
      <c r="F166" s="3283" t="s">
        <v>3265</v>
      </c>
      <c r="G166" s="3283" t="s">
        <v>3260</v>
      </c>
      <c r="H166" s="3286" t="s">
        <v>3264</v>
      </c>
      <c r="I166" s="3287">
        <v>43.84</v>
      </c>
      <c r="J166" s="3286">
        <v>29.11</v>
      </c>
      <c r="M166" s="3290"/>
      <c r="N166" s="3290"/>
    </row>
    <row r="167" spans="1:14" hidden="1">
      <c r="A167" s="3282">
        <v>166</v>
      </c>
      <c r="B167" s="3283" t="s">
        <v>3262</v>
      </c>
      <c r="C167" s="3283">
        <v>6</v>
      </c>
      <c r="D167" s="3283">
        <v>806</v>
      </c>
      <c r="E167" s="3285" t="str">
        <f t="shared" si="2"/>
        <v>南-6-806</v>
      </c>
      <c r="F167" s="3283" t="s">
        <v>3266</v>
      </c>
      <c r="G167" s="3283" t="s">
        <v>3260</v>
      </c>
      <c r="H167" s="3286" t="s">
        <v>3264</v>
      </c>
      <c r="I167" s="3287">
        <v>43.84</v>
      </c>
      <c r="J167" s="3286">
        <v>29.11</v>
      </c>
      <c r="M167" s="3290"/>
      <c r="N167" s="3290"/>
    </row>
    <row r="168" spans="1:14" hidden="1">
      <c r="A168" s="3282">
        <v>167</v>
      </c>
      <c r="B168" s="3283" t="s">
        <v>3262</v>
      </c>
      <c r="C168" s="3283">
        <v>6</v>
      </c>
      <c r="D168" s="3283">
        <v>807</v>
      </c>
      <c r="E168" s="3285" t="str">
        <f t="shared" si="2"/>
        <v>南-6-807</v>
      </c>
      <c r="F168" s="3283" t="s">
        <v>3267</v>
      </c>
      <c r="G168" s="3283" t="s">
        <v>3268</v>
      </c>
      <c r="H168" s="3286" t="s">
        <v>3269</v>
      </c>
      <c r="I168" s="3287">
        <v>43.84</v>
      </c>
      <c r="J168" s="3286">
        <v>29.11</v>
      </c>
      <c r="M168" s="3290"/>
      <c r="N168" s="3290"/>
    </row>
    <row r="169" spans="1:14" hidden="1">
      <c r="A169" s="3282">
        <v>168</v>
      </c>
      <c r="B169" s="3283" t="s">
        <v>3270</v>
      </c>
      <c r="C169" s="3283">
        <v>6</v>
      </c>
      <c r="D169" s="3283">
        <v>808</v>
      </c>
      <c r="E169" s="3285" t="str">
        <f t="shared" si="2"/>
        <v>南-6-808</v>
      </c>
      <c r="F169" s="3283" t="s">
        <v>3271</v>
      </c>
      <c r="G169" s="3283" t="s">
        <v>3260</v>
      </c>
      <c r="H169" s="3286" t="s">
        <v>3272</v>
      </c>
      <c r="I169" s="3287">
        <v>80.260000000000005</v>
      </c>
      <c r="J169" s="3286">
        <v>53.29</v>
      </c>
      <c r="M169" s="3290"/>
      <c r="N169" s="3290"/>
    </row>
    <row r="170" spans="1:14" hidden="1">
      <c r="A170" s="3282">
        <v>169</v>
      </c>
      <c r="B170" s="3283" t="s">
        <v>3262</v>
      </c>
      <c r="C170" s="3283">
        <v>6</v>
      </c>
      <c r="D170" s="3283">
        <v>809</v>
      </c>
      <c r="E170" s="3285" t="str">
        <f t="shared" si="2"/>
        <v>南-6-809</v>
      </c>
      <c r="F170" s="3283" t="s">
        <v>3273</v>
      </c>
      <c r="G170" s="3283" t="s">
        <v>3260</v>
      </c>
      <c r="H170" s="3286" t="s">
        <v>3274</v>
      </c>
      <c r="I170" s="3287">
        <v>62.5</v>
      </c>
      <c r="J170" s="3286">
        <v>41.5</v>
      </c>
      <c r="M170" s="3290"/>
      <c r="N170" s="3290"/>
    </row>
    <row r="171" spans="1:14" hidden="1">
      <c r="A171" s="3282">
        <v>170</v>
      </c>
      <c r="B171" s="3283" t="s">
        <v>3262</v>
      </c>
      <c r="C171" s="3283">
        <v>6</v>
      </c>
      <c r="D171" s="3283">
        <v>811</v>
      </c>
      <c r="E171" s="3285" t="str">
        <f t="shared" si="2"/>
        <v>南-6-811</v>
      </c>
      <c r="F171" s="3283" t="s">
        <v>3275</v>
      </c>
      <c r="G171" s="3283" t="s">
        <v>3260</v>
      </c>
      <c r="H171" s="3286" t="s">
        <v>3276</v>
      </c>
      <c r="I171" s="3287">
        <v>88.56</v>
      </c>
      <c r="J171" s="3286">
        <v>58.8</v>
      </c>
      <c r="M171" s="3290"/>
      <c r="N171" s="3290"/>
    </row>
    <row r="172" spans="1:14" hidden="1">
      <c r="A172" s="3282">
        <v>171</v>
      </c>
      <c r="B172" s="3283" t="s">
        <v>3262</v>
      </c>
      <c r="C172" s="3283">
        <v>6</v>
      </c>
      <c r="D172" s="3283">
        <v>813</v>
      </c>
      <c r="E172" s="3285" t="str">
        <f t="shared" si="2"/>
        <v>南-6-813</v>
      </c>
      <c r="F172" s="3283" t="s">
        <v>3277</v>
      </c>
      <c r="G172" s="3283" t="s">
        <v>3260</v>
      </c>
      <c r="H172" s="3286" t="s">
        <v>3276</v>
      </c>
      <c r="I172" s="3287">
        <v>88.56</v>
      </c>
      <c r="J172" s="3286">
        <v>58.8</v>
      </c>
      <c r="M172" s="3290"/>
      <c r="N172" s="3290"/>
    </row>
    <row r="173" spans="1:14" hidden="1">
      <c r="A173" s="3282">
        <v>172</v>
      </c>
      <c r="B173" s="3283" t="s">
        <v>3262</v>
      </c>
      <c r="C173" s="3283">
        <v>6</v>
      </c>
      <c r="D173" s="3283">
        <v>814</v>
      </c>
      <c r="E173" s="3285" t="str">
        <f t="shared" si="2"/>
        <v>南-6-814</v>
      </c>
      <c r="F173" s="3283" t="s">
        <v>3278</v>
      </c>
      <c r="G173" s="3283" t="s">
        <v>3268</v>
      </c>
      <c r="H173" s="3286" t="s">
        <v>3279</v>
      </c>
      <c r="I173" s="3287">
        <v>44.28</v>
      </c>
      <c r="J173" s="3286">
        <v>29.4</v>
      </c>
      <c r="M173" s="3290"/>
      <c r="N173" s="3290"/>
    </row>
    <row r="174" spans="1:14" hidden="1">
      <c r="A174" s="3282">
        <v>173</v>
      </c>
      <c r="B174" s="3283" t="s">
        <v>3270</v>
      </c>
      <c r="C174" s="3283">
        <v>6</v>
      </c>
      <c r="D174" s="3283">
        <v>815</v>
      </c>
      <c r="E174" s="3285" t="str">
        <f t="shared" si="2"/>
        <v>南-6-815</v>
      </c>
      <c r="F174" s="3283" t="s">
        <v>3280</v>
      </c>
      <c r="G174" s="3283" t="s">
        <v>3260</v>
      </c>
      <c r="H174" s="3286" t="s">
        <v>3281</v>
      </c>
      <c r="I174" s="3287">
        <v>71.41</v>
      </c>
      <c r="J174" s="3286">
        <v>47.41</v>
      </c>
      <c r="M174" s="3290"/>
      <c r="N174" s="3290"/>
    </row>
    <row r="175" spans="1:14" hidden="1">
      <c r="A175" s="3282">
        <v>174</v>
      </c>
      <c r="B175" s="3283" t="s">
        <v>3262</v>
      </c>
      <c r="C175" s="3283">
        <v>6</v>
      </c>
      <c r="D175" s="3283">
        <v>901</v>
      </c>
      <c r="E175" s="3285" t="str">
        <f t="shared" si="2"/>
        <v>南-6-901</v>
      </c>
      <c r="F175" s="3283" t="s">
        <v>3282</v>
      </c>
      <c r="G175" s="3283" t="s">
        <v>3260</v>
      </c>
      <c r="H175" s="3286" t="s">
        <v>3272</v>
      </c>
      <c r="I175" s="3287">
        <v>80.260000000000005</v>
      </c>
      <c r="J175" s="3286">
        <v>53.29</v>
      </c>
      <c r="M175" s="3290"/>
      <c r="N175" s="3290"/>
    </row>
    <row r="176" spans="1:14" hidden="1">
      <c r="A176" s="3282">
        <v>175</v>
      </c>
      <c r="B176" s="3283" t="s">
        <v>3262</v>
      </c>
      <c r="C176" s="3283">
        <v>6</v>
      </c>
      <c r="D176" s="3283">
        <v>902</v>
      </c>
      <c r="E176" s="3285" t="str">
        <f t="shared" si="2"/>
        <v>南-6-902</v>
      </c>
      <c r="F176" s="3283" t="s">
        <v>3283</v>
      </c>
      <c r="G176" s="3283" t="s">
        <v>3260</v>
      </c>
      <c r="H176" s="3286" t="s">
        <v>3284</v>
      </c>
      <c r="I176" s="3287">
        <v>73.06</v>
      </c>
      <c r="J176" s="3286">
        <v>48.51</v>
      </c>
      <c r="M176" s="3290"/>
      <c r="N176" s="3290"/>
    </row>
    <row r="177" spans="1:14" hidden="1">
      <c r="A177" s="3282">
        <v>176</v>
      </c>
      <c r="B177" s="3283" t="s">
        <v>3125</v>
      </c>
      <c r="C177" s="3283">
        <v>6</v>
      </c>
      <c r="D177" s="3283">
        <v>903</v>
      </c>
      <c r="E177" s="3285" t="str">
        <f t="shared" si="2"/>
        <v>南-6-903</v>
      </c>
      <c r="F177" s="3283" t="s">
        <v>3285</v>
      </c>
      <c r="G177" s="3283" t="s">
        <v>3127</v>
      </c>
      <c r="H177" s="3286" t="s">
        <v>3231</v>
      </c>
      <c r="I177" s="3287">
        <v>43.84</v>
      </c>
      <c r="J177" s="3286">
        <v>29.11</v>
      </c>
      <c r="M177" s="3290"/>
      <c r="N177" s="3290"/>
    </row>
    <row r="178" spans="1:14" hidden="1">
      <c r="A178" s="3282">
        <v>177</v>
      </c>
      <c r="B178" s="3283" t="s">
        <v>3262</v>
      </c>
      <c r="C178" s="3283">
        <v>6</v>
      </c>
      <c r="D178" s="3283">
        <v>904</v>
      </c>
      <c r="E178" s="3285" t="str">
        <f t="shared" si="2"/>
        <v>南-6-904</v>
      </c>
      <c r="F178" s="3283" t="s">
        <v>3286</v>
      </c>
      <c r="G178" s="3283" t="s">
        <v>3268</v>
      </c>
      <c r="H178" s="3286" t="s">
        <v>3269</v>
      </c>
      <c r="I178" s="3287">
        <v>43.84</v>
      </c>
      <c r="J178" s="3286">
        <v>29.11</v>
      </c>
      <c r="M178" s="3290"/>
      <c r="N178" s="3290"/>
    </row>
    <row r="179" spans="1:14" hidden="1">
      <c r="A179" s="3282">
        <v>178</v>
      </c>
      <c r="B179" s="3283" t="s">
        <v>3270</v>
      </c>
      <c r="C179" s="3283">
        <v>6</v>
      </c>
      <c r="D179" s="3283">
        <v>905</v>
      </c>
      <c r="E179" s="3285" t="str">
        <f t="shared" si="2"/>
        <v>南-6-905</v>
      </c>
      <c r="F179" s="3283" t="s">
        <v>3287</v>
      </c>
      <c r="G179" s="3283" t="s">
        <v>3260</v>
      </c>
      <c r="H179" s="3286" t="s">
        <v>3264</v>
      </c>
      <c r="I179" s="3287">
        <v>43.84</v>
      </c>
      <c r="J179" s="3286">
        <v>29.11</v>
      </c>
      <c r="M179" s="3290"/>
      <c r="N179" s="3290"/>
    </row>
    <row r="180" spans="1:14" hidden="1">
      <c r="A180" s="3282">
        <v>179</v>
      </c>
      <c r="B180" s="3283" t="s">
        <v>3262</v>
      </c>
      <c r="C180" s="3283">
        <v>6</v>
      </c>
      <c r="D180" s="3283">
        <v>906</v>
      </c>
      <c r="E180" s="3285" t="str">
        <f t="shared" si="2"/>
        <v>南-6-906</v>
      </c>
      <c r="F180" s="3283" t="s">
        <v>3288</v>
      </c>
      <c r="G180" s="3283" t="s">
        <v>3260</v>
      </c>
      <c r="H180" s="3286" t="s">
        <v>3264</v>
      </c>
      <c r="I180" s="3287">
        <v>43.84</v>
      </c>
      <c r="J180" s="3286">
        <v>29.11</v>
      </c>
      <c r="M180" s="3290"/>
      <c r="N180" s="3290"/>
    </row>
    <row r="181" spans="1:14" hidden="1">
      <c r="A181" s="3282">
        <v>180</v>
      </c>
      <c r="B181" s="3283" t="s">
        <v>3262</v>
      </c>
      <c r="C181" s="3283">
        <v>6</v>
      </c>
      <c r="D181" s="3283">
        <v>907</v>
      </c>
      <c r="E181" s="3285" t="str">
        <f t="shared" si="2"/>
        <v>南-6-907</v>
      </c>
      <c r="F181" s="3283" t="s">
        <v>3289</v>
      </c>
      <c r="G181" s="3283" t="s">
        <v>3260</v>
      </c>
      <c r="H181" s="3286" t="s">
        <v>3264</v>
      </c>
      <c r="I181" s="3287">
        <v>43.84</v>
      </c>
      <c r="J181" s="3286">
        <v>29.11</v>
      </c>
      <c r="M181" s="3290"/>
      <c r="N181" s="3290"/>
    </row>
    <row r="182" spans="1:14" hidden="1">
      <c r="A182" s="3282">
        <v>181</v>
      </c>
      <c r="B182" s="3283" t="s">
        <v>3262</v>
      </c>
      <c r="C182" s="3283">
        <v>6</v>
      </c>
      <c r="D182" s="3283">
        <v>908</v>
      </c>
      <c r="E182" s="3285" t="str">
        <f t="shared" si="2"/>
        <v>南-6-908</v>
      </c>
      <c r="F182" s="3283" t="s">
        <v>3290</v>
      </c>
      <c r="G182" s="3283" t="s">
        <v>3260</v>
      </c>
      <c r="H182" s="3286" t="s">
        <v>3291</v>
      </c>
      <c r="I182" s="3287">
        <v>80.319999999999993</v>
      </c>
      <c r="J182" s="3286">
        <v>53.33</v>
      </c>
      <c r="M182" s="3290"/>
      <c r="N182" s="3290"/>
    </row>
    <row r="183" spans="1:14" hidden="1">
      <c r="A183" s="3282">
        <v>182</v>
      </c>
      <c r="B183" s="3283" t="s">
        <v>3262</v>
      </c>
      <c r="C183" s="3283">
        <v>6</v>
      </c>
      <c r="D183" s="3283">
        <v>911</v>
      </c>
      <c r="E183" s="3285" t="str">
        <f t="shared" si="2"/>
        <v>南-6-911</v>
      </c>
      <c r="F183" s="3283" t="s">
        <v>3292</v>
      </c>
      <c r="G183" s="3283" t="s">
        <v>3268</v>
      </c>
      <c r="H183" s="3286" t="s">
        <v>3293</v>
      </c>
      <c r="I183" s="3287">
        <v>88.56</v>
      </c>
      <c r="J183" s="3286">
        <v>58.8</v>
      </c>
      <c r="M183" s="3290"/>
      <c r="N183" s="3290"/>
    </row>
    <row r="184" spans="1:14" hidden="1">
      <c r="A184" s="3282">
        <v>183</v>
      </c>
      <c r="B184" s="3283" t="s">
        <v>3270</v>
      </c>
      <c r="C184" s="3283">
        <v>6</v>
      </c>
      <c r="D184" s="3283">
        <v>912</v>
      </c>
      <c r="E184" s="3285" t="str">
        <f t="shared" si="2"/>
        <v>南-6-912</v>
      </c>
      <c r="F184" s="3283" t="s">
        <v>3294</v>
      </c>
      <c r="G184" s="3283" t="s">
        <v>3260</v>
      </c>
      <c r="H184" s="3286" t="s">
        <v>3276</v>
      </c>
      <c r="I184" s="3287">
        <v>88.56</v>
      </c>
      <c r="J184" s="3286">
        <v>58.8</v>
      </c>
      <c r="M184" s="3290"/>
      <c r="N184" s="3290"/>
    </row>
    <row r="185" spans="1:14" hidden="1">
      <c r="A185" s="3282">
        <v>184</v>
      </c>
      <c r="B185" s="3283" t="s">
        <v>3262</v>
      </c>
      <c r="C185" s="3283">
        <v>6</v>
      </c>
      <c r="D185" s="3283">
        <v>913</v>
      </c>
      <c r="E185" s="3285" t="str">
        <f t="shared" si="2"/>
        <v>南-6-913</v>
      </c>
      <c r="F185" s="3283" t="s">
        <v>3295</v>
      </c>
      <c r="G185" s="3283" t="s">
        <v>3260</v>
      </c>
      <c r="H185" s="3286" t="s">
        <v>3276</v>
      </c>
      <c r="I185" s="3287">
        <v>88.56</v>
      </c>
      <c r="J185" s="3286">
        <v>58.8</v>
      </c>
      <c r="M185" s="3290"/>
      <c r="N185" s="3290"/>
    </row>
    <row r="186" spans="1:14" hidden="1">
      <c r="A186" s="3282">
        <v>185</v>
      </c>
      <c r="B186" s="3283" t="s">
        <v>3262</v>
      </c>
      <c r="C186" s="3283">
        <v>6</v>
      </c>
      <c r="D186" s="3283">
        <v>914</v>
      </c>
      <c r="E186" s="3285" t="str">
        <f t="shared" si="2"/>
        <v>南-6-914</v>
      </c>
      <c r="F186" s="3283" t="s">
        <v>3296</v>
      </c>
      <c r="G186" s="3283" t="s">
        <v>3260</v>
      </c>
      <c r="H186" s="3286" t="s">
        <v>3297</v>
      </c>
      <c r="I186" s="3287">
        <v>44.28</v>
      </c>
      <c r="J186" s="3286">
        <v>29.4</v>
      </c>
      <c r="M186" s="3290"/>
      <c r="N186" s="3290"/>
    </row>
    <row r="187" spans="1:14" hidden="1">
      <c r="A187" s="3282">
        <v>186</v>
      </c>
      <c r="B187" s="3283" t="s">
        <v>3262</v>
      </c>
      <c r="C187" s="3283">
        <v>6</v>
      </c>
      <c r="D187" s="3283">
        <v>915</v>
      </c>
      <c r="E187" s="3285" t="str">
        <f t="shared" si="2"/>
        <v>南-6-915</v>
      </c>
      <c r="F187" s="3283" t="s">
        <v>3298</v>
      </c>
      <c r="G187" s="3283" t="s">
        <v>3260</v>
      </c>
      <c r="H187" s="3286" t="s">
        <v>3299</v>
      </c>
      <c r="I187" s="3287">
        <v>71.47</v>
      </c>
      <c r="J187" s="3286">
        <v>47.45</v>
      </c>
      <c r="M187" s="3290"/>
      <c r="N187" s="3290"/>
    </row>
    <row r="188" spans="1:14" hidden="1">
      <c r="A188" s="3282">
        <v>187</v>
      </c>
      <c r="B188" s="3283" t="s">
        <v>3262</v>
      </c>
      <c r="C188" s="3283">
        <v>6</v>
      </c>
      <c r="D188" s="3283">
        <v>916</v>
      </c>
      <c r="E188" s="3285" t="str">
        <f t="shared" si="2"/>
        <v>南-6-916</v>
      </c>
      <c r="F188" s="3283" t="s">
        <v>3300</v>
      </c>
      <c r="G188" s="3283" t="s">
        <v>3268</v>
      </c>
      <c r="H188" s="3286" t="s">
        <v>3301</v>
      </c>
      <c r="I188" s="3287">
        <v>62.46</v>
      </c>
      <c r="J188" s="3286">
        <v>41.47</v>
      </c>
      <c r="M188" s="3290"/>
      <c r="N188" s="3290"/>
    </row>
    <row r="189" spans="1:14" hidden="1">
      <c r="A189" s="3282">
        <v>188</v>
      </c>
      <c r="B189" s="3283" t="s">
        <v>3270</v>
      </c>
      <c r="C189" s="3283">
        <v>6</v>
      </c>
      <c r="D189" s="3283">
        <v>1001</v>
      </c>
      <c r="E189" s="3285" t="str">
        <f t="shared" si="2"/>
        <v>南-6-1001</v>
      </c>
      <c r="F189" s="3283" t="s">
        <v>3302</v>
      </c>
      <c r="G189" s="3283" t="s">
        <v>3268</v>
      </c>
      <c r="H189" s="3286" t="s">
        <v>3303</v>
      </c>
      <c r="I189" s="3287">
        <v>80.38</v>
      </c>
      <c r="J189" s="3286">
        <v>53.37</v>
      </c>
      <c r="M189" s="3290"/>
      <c r="N189" s="3290"/>
    </row>
    <row r="190" spans="1:14" hidden="1">
      <c r="A190" s="3282">
        <v>189</v>
      </c>
      <c r="B190" s="3283" t="s">
        <v>3270</v>
      </c>
      <c r="C190" s="3283">
        <v>6</v>
      </c>
      <c r="D190" s="3283">
        <v>1006</v>
      </c>
      <c r="E190" s="3285" t="str">
        <f t="shared" si="2"/>
        <v>南-6-1006</v>
      </c>
      <c r="F190" s="3283" t="s">
        <v>3304</v>
      </c>
      <c r="G190" s="3283" t="s">
        <v>3268</v>
      </c>
      <c r="H190" s="3286" t="s">
        <v>3269</v>
      </c>
      <c r="I190" s="3287">
        <v>43.84</v>
      </c>
      <c r="J190" s="3286">
        <v>29.11</v>
      </c>
      <c r="M190" s="3290"/>
      <c r="N190" s="3290"/>
    </row>
    <row r="191" spans="1:14" hidden="1">
      <c r="A191" s="3282">
        <v>190</v>
      </c>
      <c r="B191" s="3283" t="s">
        <v>3270</v>
      </c>
      <c r="C191" s="3283">
        <v>6</v>
      </c>
      <c r="D191" s="3283">
        <v>1007</v>
      </c>
      <c r="E191" s="3285" t="str">
        <f t="shared" si="2"/>
        <v>南-6-1007</v>
      </c>
      <c r="F191" s="3283" t="s">
        <v>3305</v>
      </c>
      <c r="G191" s="3283" t="s">
        <v>3268</v>
      </c>
      <c r="H191" s="3286" t="s">
        <v>3269</v>
      </c>
      <c r="I191" s="3287">
        <v>43.84</v>
      </c>
      <c r="J191" s="3286">
        <v>29.11</v>
      </c>
      <c r="M191" s="3290"/>
      <c r="N191" s="3290"/>
    </row>
    <row r="192" spans="1:14" hidden="1">
      <c r="A192" s="3282">
        <v>191</v>
      </c>
      <c r="B192" s="3283" t="s">
        <v>3270</v>
      </c>
      <c r="C192" s="3283">
        <v>6</v>
      </c>
      <c r="D192" s="3283">
        <v>1008</v>
      </c>
      <c r="E192" s="3285" t="str">
        <f t="shared" si="2"/>
        <v>南-6-1008</v>
      </c>
      <c r="F192" s="3283" t="s">
        <v>3306</v>
      </c>
      <c r="G192" s="3283" t="s">
        <v>3268</v>
      </c>
      <c r="H192" s="3286" t="s">
        <v>3307</v>
      </c>
      <c r="I192" s="3287">
        <v>80.260000000000005</v>
      </c>
      <c r="J192" s="3286">
        <v>53.29</v>
      </c>
      <c r="M192" s="3290"/>
      <c r="N192" s="3290"/>
    </row>
    <row r="193" spans="1:14" hidden="1">
      <c r="A193" s="3282">
        <v>192</v>
      </c>
      <c r="B193" s="3283" t="s">
        <v>3270</v>
      </c>
      <c r="C193" s="3283">
        <v>6</v>
      </c>
      <c r="D193" s="3283">
        <v>1009</v>
      </c>
      <c r="E193" s="3285" t="str">
        <f t="shared" si="2"/>
        <v>南-6-1009</v>
      </c>
      <c r="F193" s="3283" t="s">
        <v>3308</v>
      </c>
      <c r="G193" s="3283" t="s">
        <v>3268</v>
      </c>
      <c r="H193" s="3286" t="s">
        <v>3309</v>
      </c>
      <c r="I193" s="3287">
        <v>62.5</v>
      </c>
      <c r="J193" s="3286">
        <v>41.5</v>
      </c>
      <c r="M193" s="3290"/>
      <c r="N193" s="3290"/>
    </row>
    <row r="194" spans="1:14" hidden="1">
      <c r="A194" s="3282">
        <v>193</v>
      </c>
      <c r="B194" s="3283" t="s">
        <v>3270</v>
      </c>
      <c r="C194" s="3283">
        <v>6</v>
      </c>
      <c r="D194" s="3283">
        <v>1011</v>
      </c>
      <c r="E194" s="3285" t="str">
        <f t="shared" si="2"/>
        <v>南-6-1011</v>
      </c>
      <c r="F194" s="3283" t="s">
        <v>3310</v>
      </c>
      <c r="G194" s="3283" t="s">
        <v>3268</v>
      </c>
      <c r="H194" s="3286" t="s">
        <v>3293</v>
      </c>
      <c r="I194" s="3287">
        <v>88.56</v>
      </c>
      <c r="J194" s="3286">
        <v>58.8</v>
      </c>
      <c r="M194" s="3290"/>
      <c r="N194" s="3290"/>
    </row>
    <row r="195" spans="1:14" hidden="1">
      <c r="A195" s="3282">
        <v>194</v>
      </c>
      <c r="B195" s="3283" t="s">
        <v>3270</v>
      </c>
      <c r="C195" s="3283">
        <v>6</v>
      </c>
      <c r="D195" s="3283">
        <v>1012</v>
      </c>
      <c r="E195" s="3285" t="str">
        <f t="shared" ref="E195:E258" si="3">B195&amp;-C195&amp;"-"&amp;D195</f>
        <v>南-6-1012</v>
      </c>
      <c r="F195" s="3283" t="s">
        <v>3311</v>
      </c>
      <c r="G195" s="3283" t="s">
        <v>3268</v>
      </c>
      <c r="H195" s="3286" t="s">
        <v>3293</v>
      </c>
      <c r="I195" s="3287">
        <v>88.56</v>
      </c>
      <c r="J195" s="3286">
        <v>58.8</v>
      </c>
      <c r="M195" s="3290"/>
      <c r="N195" s="3290"/>
    </row>
    <row r="196" spans="1:14" hidden="1">
      <c r="A196" s="3282">
        <v>195</v>
      </c>
      <c r="B196" s="3283" t="s">
        <v>3270</v>
      </c>
      <c r="C196" s="3283">
        <v>6</v>
      </c>
      <c r="D196" s="3283">
        <v>1013</v>
      </c>
      <c r="E196" s="3285" t="str">
        <f t="shared" si="3"/>
        <v>南-6-1013</v>
      </c>
      <c r="F196" s="3283" t="s">
        <v>3312</v>
      </c>
      <c r="G196" s="3283" t="s">
        <v>3268</v>
      </c>
      <c r="H196" s="3286" t="s">
        <v>3293</v>
      </c>
      <c r="I196" s="3287">
        <v>88.56</v>
      </c>
      <c r="J196" s="3286">
        <v>58.8</v>
      </c>
      <c r="M196" s="3290"/>
      <c r="N196" s="3290"/>
    </row>
    <row r="197" spans="1:14" hidden="1">
      <c r="A197" s="3282">
        <v>196</v>
      </c>
      <c r="B197" s="3283" t="s">
        <v>3270</v>
      </c>
      <c r="C197" s="3283">
        <v>6</v>
      </c>
      <c r="D197" s="3283">
        <v>1016</v>
      </c>
      <c r="E197" s="3285" t="str">
        <f t="shared" si="3"/>
        <v>南-6-1016</v>
      </c>
      <c r="F197" s="3283" t="s">
        <v>3313</v>
      </c>
      <c r="G197" s="3283" t="s">
        <v>3268</v>
      </c>
      <c r="H197" s="3286" t="s">
        <v>3314</v>
      </c>
      <c r="I197" s="3287">
        <v>62.5</v>
      </c>
      <c r="J197" s="3286">
        <v>41.5</v>
      </c>
      <c r="M197" s="3290"/>
      <c r="N197" s="3290"/>
    </row>
    <row r="198" spans="1:14" hidden="1">
      <c r="A198" s="3282">
        <v>197</v>
      </c>
      <c r="B198" s="3283" t="s">
        <v>3270</v>
      </c>
      <c r="C198" s="3283">
        <v>6</v>
      </c>
      <c r="D198" s="3283">
        <v>1101</v>
      </c>
      <c r="E198" s="3285" t="str">
        <f t="shared" si="3"/>
        <v>南-6-1101</v>
      </c>
      <c r="F198" s="3283" t="s">
        <v>3315</v>
      </c>
      <c r="G198" s="3283" t="s">
        <v>3268</v>
      </c>
      <c r="H198" s="3286" t="s">
        <v>3307</v>
      </c>
      <c r="I198" s="3287">
        <v>80.260000000000005</v>
      </c>
      <c r="J198" s="3286">
        <v>53.29</v>
      </c>
      <c r="M198" s="3290"/>
      <c r="N198" s="3290"/>
    </row>
    <row r="199" spans="1:14" hidden="1">
      <c r="A199" s="3282">
        <v>198</v>
      </c>
      <c r="B199" s="3283" t="s">
        <v>3270</v>
      </c>
      <c r="C199" s="3283">
        <v>6</v>
      </c>
      <c r="D199" s="3283">
        <v>1102</v>
      </c>
      <c r="E199" s="3285" t="str">
        <f t="shared" si="3"/>
        <v>南-6-1102</v>
      </c>
      <c r="F199" s="3283" t="s">
        <v>3316</v>
      </c>
      <c r="G199" s="3283" t="s">
        <v>3260</v>
      </c>
      <c r="H199" s="3286" t="s">
        <v>3284</v>
      </c>
      <c r="I199" s="3287">
        <v>73.06</v>
      </c>
      <c r="J199" s="3286">
        <v>48.51</v>
      </c>
      <c r="M199" s="3290"/>
      <c r="N199" s="3290"/>
    </row>
    <row r="200" spans="1:14" hidden="1">
      <c r="A200" s="3282">
        <v>199</v>
      </c>
      <c r="B200" s="3283" t="s">
        <v>3262</v>
      </c>
      <c r="C200" s="3283">
        <v>6</v>
      </c>
      <c r="D200" s="3283">
        <v>1103</v>
      </c>
      <c r="E200" s="3285" t="str">
        <f t="shared" si="3"/>
        <v>南-6-1103</v>
      </c>
      <c r="F200" s="3283" t="s">
        <v>3317</v>
      </c>
      <c r="G200" s="3283" t="s">
        <v>3260</v>
      </c>
      <c r="H200" s="3286" t="s">
        <v>3264</v>
      </c>
      <c r="I200" s="3287">
        <v>43.84</v>
      </c>
      <c r="J200" s="3286">
        <v>29.11</v>
      </c>
      <c r="M200" s="3290"/>
      <c r="N200" s="3290"/>
    </row>
    <row r="201" spans="1:14" hidden="1">
      <c r="A201" s="3282">
        <v>200</v>
      </c>
      <c r="B201" s="3283" t="s">
        <v>3262</v>
      </c>
      <c r="C201" s="3283">
        <v>6</v>
      </c>
      <c r="D201" s="3283">
        <v>1104</v>
      </c>
      <c r="E201" s="3285" t="str">
        <f t="shared" si="3"/>
        <v>南-6-1104</v>
      </c>
      <c r="F201" s="3283" t="s">
        <v>3318</v>
      </c>
      <c r="G201" s="3283" t="s">
        <v>3260</v>
      </c>
      <c r="H201" s="3286" t="s">
        <v>3264</v>
      </c>
      <c r="I201" s="3287">
        <v>43.84</v>
      </c>
      <c r="J201" s="3286">
        <v>29.11</v>
      </c>
      <c r="M201" s="3290"/>
      <c r="N201" s="3290"/>
    </row>
    <row r="202" spans="1:14" hidden="1">
      <c r="A202" s="3282">
        <v>201</v>
      </c>
      <c r="B202" s="3283" t="s">
        <v>3262</v>
      </c>
      <c r="C202" s="3283">
        <v>6</v>
      </c>
      <c r="D202" s="3283">
        <v>1105</v>
      </c>
      <c r="E202" s="3285" t="str">
        <f t="shared" si="3"/>
        <v>南-6-1105</v>
      </c>
      <c r="F202" s="3283" t="s">
        <v>3319</v>
      </c>
      <c r="G202" s="3283" t="s">
        <v>3260</v>
      </c>
      <c r="H202" s="3286" t="s">
        <v>3264</v>
      </c>
      <c r="I202" s="3287">
        <v>43.84</v>
      </c>
      <c r="J202" s="3286">
        <v>29.11</v>
      </c>
      <c r="M202" s="3290"/>
      <c r="N202" s="3290"/>
    </row>
    <row r="203" spans="1:14" hidden="1">
      <c r="A203" s="3282">
        <v>202</v>
      </c>
      <c r="B203" s="3283" t="s">
        <v>3262</v>
      </c>
      <c r="C203" s="3283">
        <v>6</v>
      </c>
      <c r="D203" s="3283">
        <v>1106</v>
      </c>
      <c r="E203" s="3285" t="str">
        <f t="shared" si="3"/>
        <v>南-6-1106</v>
      </c>
      <c r="F203" s="3283" t="s">
        <v>3320</v>
      </c>
      <c r="G203" s="3283" t="s">
        <v>3260</v>
      </c>
      <c r="H203" s="3286" t="s">
        <v>3264</v>
      </c>
      <c r="I203" s="3287">
        <v>43.84</v>
      </c>
      <c r="J203" s="3286">
        <v>29.11</v>
      </c>
      <c r="M203" s="3290"/>
      <c r="N203" s="3290"/>
    </row>
    <row r="204" spans="1:14" hidden="1">
      <c r="A204" s="3282">
        <v>203</v>
      </c>
      <c r="B204" s="3283" t="s">
        <v>3262</v>
      </c>
      <c r="C204" s="3283">
        <v>6</v>
      </c>
      <c r="D204" s="3283">
        <v>1107</v>
      </c>
      <c r="E204" s="3285" t="str">
        <f t="shared" si="3"/>
        <v>南-6-1107</v>
      </c>
      <c r="F204" s="3283" t="s">
        <v>3321</v>
      </c>
      <c r="G204" s="3283" t="s">
        <v>3260</v>
      </c>
      <c r="H204" s="3286" t="s">
        <v>3264</v>
      </c>
      <c r="I204" s="3287">
        <v>43.84</v>
      </c>
      <c r="J204" s="3286">
        <v>29.11</v>
      </c>
      <c r="M204" s="3290"/>
      <c r="N204" s="3290"/>
    </row>
    <row r="205" spans="1:14" hidden="1">
      <c r="A205" s="3282">
        <v>204</v>
      </c>
      <c r="B205" s="3283" t="s">
        <v>3262</v>
      </c>
      <c r="C205" s="3283">
        <v>6</v>
      </c>
      <c r="D205" s="3283">
        <v>1108</v>
      </c>
      <c r="E205" s="3285" t="str">
        <f t="shared" si="3"/>
        <v>南-6-1108</v>
      </c>
      <c r="F205" s="3283" t="s">
        <v>3322</v>
      </c>
      <c r="G205" s="3283" t="s">
        <v>3175</v>
      </c>
      <c r="H205" s="3286" t="s">
        <v>3191</v>
      </c>
      <c r="I205" s="3287">
        <v>80.319999999999993</v>
      </c>
      <c r="J205" s="3286">
        <v>53.33</v>
      </c>
      <c r="M205" s="3290"/>
      <c r="N205" s="3290"/>
    </row>
    <row r="206" spans="1:14" hidden="1">
      <c r="A206" s="3282">
        <v>205</v>
      </c>
      <c r="B206" s="3283" t="s">
        <v>3177</v>
      </c>
      <c r="C206" s="3283">
        <v>6</v>
      </c>
      <c r="D206" s="3283">
        <v>1109</v>
      </c>
      <c r="E206" s="3285" t="str">
        <f t="shared" si="3"/>
        <v>南-6-1109</v>
      </c>
      <c r="F206" s="3283" t="s">
        <v>3323</v>
      </c>
      <c r="G206" s="3283" t="s">
        <v>3175</v>
      </c>
      <c r="H206" s="3286" t="s">
        <v>3324</v>
      </c>
      <c r="I206" s="3287">
        <v>62.46</v>
      </c>
      <c r="J206" s="3286">
        <v>41.47</v>
      </c>
      <c r="M206" s="3290"/>
      <c r="N206" s="3290"/>
    </row>
    <row r="207" spans="1:14" hidden="1">
      <c r="A207" s="3282">
        <v>206</v>
      </c>
      <c r="B207" s="3283" t="s">
        <v>3177</v>
      </c>
      <c r="C207" s="3283">
        <v>6</v>
      </c>
      <c r="D207" s="3283">
        <v>1110</v>
      </c>
      <c r="E207" s="3285" t="str">
        <f t="shared" si="3"/>
        <v>南-6-1110</v>
      </c>
      <c r="F207" s="3283" t="s">
        <v>3325</v>
      </c>
      <c r="G207" s="3283" t="s">
        <v>3175</v>
      </c>
      <c r="H207" s="3286" t="s">
        <v>3326</v>
      </c>
      <c r="I207" s="3287">
        <v>71.41</v>
      </c>
      <c r="J207" s="3286">
        <v>47.41</v>
      </c>
      <c r="M207" s="3290"/>
      <c r="N207" s="3290"/>
    </row>
    <row r="208" spans="1:14" hidden="1">
      <c r="A208" s="3282">
        <v>207</v>
      </c>
      <c r="B208" s="3283" t="s">
        <v>3177</v>
      </c>
      <c r="C208" s="3283">
        <v>6</v>
      </c>
      <c r="D208" s="3283">
        <v>1111</v>
      </c>
      <c r="E208" s="3285" t="str">
        <f t="shared" si="3"/>
        <v>南-6-1111</v>
      </c>
      <c r="F208" s="3283" t="s">
        <v>3327</v>
      </c>
      <c r="G208" s="3283" t="s">
        <v>3175</v>
      </c>
      <c r="H208" s="3286" t="s">
        <v>3184</v>
      </c>
      <c r="I208" s="3287">
        <v>88.56</v>
      </c>
      <c r="J208" s="3286">
        <v>58.8</v>
      </c>
      <c r="M208" s="3290"/>
      <c r="N208" s="3290"/>
    </row>
    <row r="209" spans="1:14" hidden="1">
      <c r="A209" s="3282">
        <v>208</v>
      </c>
      <c r="B209" s="3283" t="s">
        <v>3177</v>
      </c>
      <c r="C209" s="3283">
        <v>6</v>
      </c>
      <c r="D209" s="3283">
        <v>1112</v>
      </c>
      <c r="E209" s="3285" t="str">
        <f t="shared" si="3"/>
        <v>南-6-1112</v>
      </c>
      <c r="F209" s="3283" t="s">
        <v>3328</v>
      </c>
      <c r="G209" s="3283" t="s">
        <v>3175</v>
      </c>
      <c r="H209" s="3286" t="s">
        <v>3184</v>
      </c>
      <c r="I209" s="3287">
        <v>88.56</v>
      </c>
      <c r="J209" s="3286">
        <v>58.8</v>
      </c>
      <c r="M209" s="3290"/>
      <c r="N209" s="3290"/>
    </row>
    <row r="210" spans="1:14" hidden="1">
      <c r="A210" s="3282">
        <v>209</v>
      </c>
      <c r="B210" s="3283" t="s">
        <v>3177</v>
      </c>
      <c r="C210" s="3283">
        <v>6</v>
      </c>
      <c r="D210" s="3283">
        <v>1113</v>
      </c>
      <c r="E210" s="3285" t="str">
        <f t="shared" si="3"/>
        <v>南-6-1113</v>
      </c>
      <c r="F210" s="3283" t="s">
        <v>3329</v>
      </c>
      <c r="G210" s="3283" t="s">
        <v>3175</v>
      </c>
      <c r="H210" s="3286" t="s">
        <v>3184</v>
      </c>
      <c r="I210" s="3287">
        <v>88.56</v>
      </c>
      <c r="J210" s="3286">
        <v>58.8</v>
      </c>
      <c r="M210" s="3290"/>
      <c r="N210" s="3290"/>
    </row>
    <row r="211" spans="1:14" hidden="1">
      <c r="A211" s="3282">
        <v>210</v>
      </c>
      <c r="B211" s="3283" t="s">
        <v>3177</v>
      </c>
      <c r="C211" s="3283">
        <v>6</v>
      </c>
      <c r="D211" s="3283">
        <v>1114</v>
      </c>
      <c r="E211" s="3285" t="str">
        <f t="shared" si="3"/>
        <v>南-6-1114</v>
      </c>
      <c r="F211" s="3283" t="s">
        <v>3330</v>
      </c>
      <c r="G211" s="3283" t="s">
        <v>3175</v>
      </c>
      <c r="H211" s="3286" t="s">
        <v>3331</v>
      </c>
      <c r="I211" s="3287">
        <v>44.28</v>
      </c>
      <c r="J211" s="3286">
        <v>29.4</v>
      </c>
      <c r="M211" s="3290"/>
      <c r="N211" s="3290"/>
    </row>
    <row r="212" spans="1:14" hidden="1">
      <c r="A212" s="3282">
        <v>211</v>
      </c>
      <c r="B212" s="3283" t="s">
        <v>3177</v>
      </c>
      <c r="C212" s="3283">
        <v>6</v>
      </c>
      <c r="D212" s="3283">
        <v>1115</v>
      </c>
      <c r="E212" s="3285" t="str">
        <f t="shared" si="3"/>
        <v>南-6-1115</v>
      </c>
      <c r="F212" s="3283" t="s">
        <v>3332</v>
      </c>
      <c r="G212" s="3283" t="s">
        <v>3175</v>
      </c>
      <c r="H212" s="3286" t="s">
        <v>3333</v>
      </c>
      <c r="I212" s="3287">
        <v>71.47</v>
      </c>
      <c r="J212" s="3286">
        <v>47.45</v>
      </c>
      <c r="M212" s="3290"/>
      <c r="N212" s="3290"/>
    </row>
    <row r="213" spans="1:14" hidden="1">
      <c r="A213" s="3282">
        <v>212</v>
      </c>
      <c r="B213" s="3283" t="s">
        <v>3177</v>
      </c>
      <c r="C213" s="3283">
        <v>6</v>
      </c>
      <c r="D213" s="3283">
        <v>1116</v>
      </c>
      <c r="E213" s="3285" t="str">
        <f t="shared" si="3"/>
        <v>南-6-1116</v>
      </c>
      <c r="F213" s="3283" t="s">
        <v>3334</v>
      </c>
      <c r="G213" s="3283" t="s">
        <v>3175</v>
      </c>
      <c r="H213" s="3286" t="s">
        <v>3176</v>
      </c>
      <c r="I213" s="3287">
        <v>62.46</v>
      </c>
      <c r="J213" s="3286">
        <v>41.47</v>
      </c>
      <c r="M213" s="3290"/>
      <c r="N213" s="3290"/>
    </row>
    <row r="214" spans="1:14" hidden="1">
      <c r="A214" s="3282">
        <v>213</v>
      </c>
      <c r="B214" s="3283" t="s">
        <v>3177</v>
      </c>
      <c r="C214" s="3283">
        <v>6</v>
      </c>
      <c r="D214" s="3283">
        <v>1201</v>
      </c>
      <c r="E214" s="3285" t="str">
        <f t="shared" si="3"/>
        <v>南-6-1201</v>
      </c>
      <c r="F214" s="3283" t="s">
        <v>3335</v>
      </c>
      <c r="G214" s="3283" t="s">
        <v>3175</v>
      </c>
      <c r="H214" s="3286" t="s">
        <v>3191</v>
      </c>
      <c r="I214" s="3287">
        <v>80.38</v>
      </c>
      <c r="J214" s="3286">
        <v>53.37</v>
      </c>
      <c r="M214" s="3290"/>
      <c r="N214" s="3290"/>
    </row>
    <row r="215" spans="1:14" hidden="1">
      <c r="A215" s="3282">
        <v>214</v>
      </c>
      <c r="B215" s="3283" t="s">
        <v>3177</v>
      </c>
      <c r="C215" s="3283">
        <v>6</v>
      </c>
      <c r="D215" s="3283">
        <v>1202</v>
      </c>
      <c r="E215" s="3285" t="str">
        <f t="shared" si="3"/>
        <v>南-6-1202</v>
      </c>
      <c r="F215" s="3283" t="s">
        <v>3336</v>
      </c>
      <c r="G215" s="3283" t="s">
        <v>3175</v>
      </c>
      <c r="H215" s="3286" t="s">
        <v>3189</v>
      </c>
      <c r="I215" s="3287">
        <v>73.06</v>
      </c>
      <c r="J215" s="3286">
        <v>48.51</v>
      </c>
      <c r="M215" s="3290"/>
      <c r="N215" s="3290"/>
    </row>
    <row r="216" spans="1:14" hidden="1">
      <c r="A216" s="3282">
        <v>215</v>
      </c>
      <c r="B216" s="3283" t="s">
        <v>3177</v>
      </c>
      <c r="C216" s="3283">
        <v>6</v>
      </c>
      <c r="D216" s="3283">
        <v>1203</v>
      </c>
      <c r="E216" s="3285" t="str">
        <f t="shared" si="3"/>
        <v>南-6-1203</v>
      </c>
      <c r="F216" s="3283" t="s">
        <v>3337</v>
      </c>
      <c r="G216" s="3283" t="s">
        <v>3175</v>
      </c>
      <c r="H216" s="3286" t="s">
        <v>3179</v>
      </c>
      <c r="I216" s="3287">
        <v>43.84</v>
      </c>
      <c r="J216" s="3286">
        <v>29.11</v>
      </c>
      <c r="M216" s="3290"/>
      <c r="N216" s="3290"/>
    </row>
    <row r="217" spans="1:14" hidden="1">
      <c r="A217" s="3282">
        <v>216</v>
      </c>
      <c r="B217" s="3283" t="s">
        <v>3177</v>
      </c>
      <c r="C217" s="3283">
        <v>6</v>
      </c>
      <c r="D217" s="3283">
        <v>1204</v>
      </c>
      <c r="E217" s="3285" t="str">
        <f t="shared" si="3"/>
        <v>南-6-1204</v>
      </c>
      <c r="F217" s="3283" t="s">
        <v>3338</v>
      </c>
      <c r="G217" s="3283" t="s">
        <v>3175</v>
      </c>
      <c r="H217" s="3286" t="s">
        <v>3179</v>
      </c>
      <c r="I217" s="3287">
        <v>43.84</v>
      </c>
      <c r="J217" s="3286">
        <v>29.11</v>
      </c>
      <c r="M217" s="3290"/>
      <c r="N217" s="3290"/>
    </row>
    <row r="218" spans="1:14" hidden="1">
      <c r="A218" s="3282">
        <v>217</v>
      </c>
      <c r="B218" s="3283" t="s">
        <v>3177</v>
      </c>
      <c r="C218" s="3283">
        <v>6</v>
      </c>
      <c r="D218" s="3283">
        <v>1205</v>
      </c>
      <c r="E218" s="3285" t="str">
        <f t="shared" si="3"/>
        <v>南-6-1205</v>
      </c>
      <c r="F218" s="3283" t="s">
        <v>3339</v>
      </c>
      <c r="G218" s="3283" t="s">
        <v>3175</v>
      </c>
      <c r="H218" s="3286" t="s">
        <v>3179</v>
      </c>
      <c r="I218" s="3287">
        <v>43.84</v>
      </c>
      <c r="J218" s="3286">
        <v>29.11</v>
      </c>
      <c r="M218" s="3290"/>
      <c r="N218" s="3290"/>
    </row>
    <row r="219" spans="1:14" hidden="1">
      <c r="A219" s="3282">
        <v>218</v>
      </c>
      <c r="B219" s="3283" t="s">
        <v>3177</v>
      </c>
      <c r="C219" s="3283">
        <v>6</v>
      </c>
      <c r="D219" s="3283">
        <v>1206</v>
      </c>
      <c r="E219" s="3285" t="str">
        <f t="shared" si="3"/>
        <v>南-6-1206</v>
      </c>
      <c r="F219" s="3283" t="s">
        <v>3340</v>
      </c>
      <c r="G219" s="3283" t="s">
        <v>3175</v>
      </c>
      <c r="H219" s="3286" t="s">
        <v>3179</v>
      </c>
      <c r="I219" s="3287">
        <v>43.84</v>
      </c>
      <c r="J219" s="3286">
        <v>29.11</v>
      </c>
      <c r="M219" s="3290"/>
      <c r="N219" s="3290"/>
    </row>
    <row r="220" spans="1:14" hidden="1">
      <c r="A220" s="3282">
        <v>219</v>
      </c>
      <c r="B220" s="3283" t="s">
        <v>3177</v>
      </c>
      <c r="C220" s="3283">
        <v>6</v>
      </c>
      <c r="D220" s="3283">
        <v>1207</v>
      </c>
      <c r="E220" s="3285" t="str">
        <f t="shared" si="3"/>
        <v>南-6-1207</v>
      </c>
      <c r="F220" s="3283" t="s">
        <v>3341</v>
      </c>
      <c r="G220" s="3283" t="s">
        <v>3175</v>
      </c>
      <c r="H220" s="3286" t="s">
        <v>3179</v>
      </c>
      <c r="I220" s="3287">
        <v>43.84</v>
      </c>
      <c r="J220" s="3286">
        <v>29.11</v>
      </c>
      <c r="M220" s="3290"/>
      <c r="N220" s="3290"/>
    </row>
    <row r="221" spans="1:14" hidden="1">
      <c r="A221" s="3282">
        <v>220</v>
      </c>
      <c r="B221" s="3283" t="s">
        <v>3177</v>
      </c>
      <c r="C221" s="3283">
        <v>6</v>
      </c>
      <c r="D221" s="3283">
        <v>1208</v>
      </c>
      <c r="E221" s="3285" t="str">
        <f t="shared" si="3"/>
        <v>南-6-1208</v>
      </c>
      <c r="F221" s="3283" t="s">
        <v>3342</v>
      </c>
      <c r="G221" s="3283" t="s">
        <v>3175</v>
      </c>
      <c r="H221" s="3286" t="s">
        <v>3343</v>
      </c>
      <c r="I221" s="3287">
        <v>80.260000000000005</v>
      </c>
      <c r="J221" s="3286">
        <v>53.29</v>
      </c>
      <c r="M221" s="3290"/>
      <c r="N221" s="3290"/>
    </row>
    <row r="222" spans="1:14" hidden="1">
      <c r="A222" s="3282">
        <v>221</v>
      </c>
      <c r="B222" s="3283" t="s">
        <v>3177</v>
      </c>
      <c r="C222" s="3283">
        <v>6</v>
      </c>
      <c r="D222" s="3283">
        <v>1209</v>
      </c>
      <c r="E222" s="3285" t="str">
        <f t="shared" si="3"/>
        <v>南-6-1209</v>
      </c>
      <c r="F222" s="3283" t="s">
        <v>3344</v>
      </c>
      <c r="G222" s="3283" t="s">
        <v>3175</v>
      </c>
      <c r="H222" s="3286" t="s">
        <v>3345</v>
      </c>
      <c r="I222" s="3287">
        <v>62.5</v>
      </c>
      <c r="J222" s="3286">
        <v>41.5</v>
      </c>
      <c r="M222" s="3290"/>
      <c r="N222" s="3290"/>
    </row>
    <row r="223" spans="1:14" hidden="1">
      <c r="A223" s="3282">
        <v>222</v>
      </c>
      <c r="B223" s="3283" t="s">
        <v>3177</v>
      </c>
      <c r="C223" s="3283">
        <v>6</v>
      </c>
      <c r="D223" s="3283">
        <v>1211</v>
      </c>
      <c r="E223" s="3285" t="str">
        <f t="shared" si="3"/>
        <v>南-6-1211</v>
      </c>
      <c r="F223" s="3283" t="s">
        <v>3346</v>
      </c>
      <c r="G223" s="3283" t="s">
        <v>3175</v>
      </c>
      <c r="H223" s="3286" t="s">
        <v>3184</v>
      </c>
      <c r="I223" s="3287">
        <v>88.56</v>
      </c>
      <c r="J223" s="3286">
        <v>58.8</v>
      </c>
      <c r="M223" s="3290"/>
      <c r="N223" s="3290"/>
    </row>
    <row r="224" spans="1:14" hidden="1">
      <c r="A224" s="3282">
        <v>223</v>
      </c>
      <c r="B224" s="3283" t="s">
        <v>3177</v>
      </c>
      <c r="C224" s="3283">
        <v>6</v>
      </c>
      <c r="D224" s="3283">
        <v>1212</v>
      </c>
      <c r="E224" s="3285" t="str">
        <f t="shared" si="3"/>
        <v>南-6-1212</v>
      </c>
      <c r="F224" s="3283" t="s">
        <v>3347</v>
      </c>
      <c r="G224" s="3283" t="s">
        <v>3175</v>
      </c>
      <c r="H224" s="3286" t="s">
        <v>3184</v>
      </c>
      <c r="I224" s="3287">
        <v>88.56</v>
      </c>
      <c r="J224" s="3286">
        <v>58.8</v>
      </c>
      <c r="M224" s="3290"/>
      <c r="N224" s="3290"/>
    </row>
    <row r="225" spans="1:14" hidden="1">
      <c r="A225" s="3282">
        <v>224</v>
      </c>
      <c r="B225" s="3283" t="s">
        <v>3177</v>
      </c>
      <c r="C225" s="3283">
        <v>6</v>
      </c>
      <c r="D225" s="3283">
        <v>1213</v>
      </c>
      <c r="E225" s="3285" t="str">
        <f t="shared" si="3"/>
        <v>南-6-1213</v>
      </c>
      <c r="F225" s="3283" t="s">
        <v>3348</v>
      </c>
      <c r="G225" s="3283" t="s">
        <v>3175</v>
      </c>
      <c r="H225" s="3286" t="s">
        <v>3184</v>
      </c>
      <c r="I225" s="3287">
        <v>88.56</v>
      </c>
      <c r="J225" s="3286">
        <v>58.8</v>
      </c>
      <c r="M225" s="3290"/>
      <c r="N225" s="3290"/>
    </row>
    <row r="226" spans="1:14" hidden="1">
      <c r="A226" s="3282">
        <v>225</v>
      </c>
      <c r="B226" s="3283" t="s">
        <v>3177</v>
      </c>
      <c r="C226" s="3283">
        <v>6</v>
      </c>
      <c r="D226" s="3283">
        <v>1214</v>
      </c>
      <c r="E226" s="3285" t="str">
        <f t="shared" si="3"/>
        <v>南-6-1214</v>
      </c>
      <c r="F226" s="3283" t="s">
        <v>3349</v>
      </c>
      <c r="G226" s="3283" t="s">
        <v>3175</v>
      </c>
      <c r="H226" s="3286" t="s">
        <v>3331</v>
      </c>
      <c r="I226" s="3287">
        <v>44.28</v>
      </c>
      <c r="J226" s="3286">
        <v>29.4</v>
      </c>
      <c r="M226" s="3290"/>
      <c r="N226" s="3290"/>
    </row>
    <row r="227" spans="1:14" hidden="1">
      <c r="A227" s="3282">
        <v>226</v>
      </c>
      <c r="B227" s="3283" t="s">
        <v>3177</v>
      </c>
      <c r="C227" s="3283">
        <v>6</v>
      </c>
      <c r="D227" s="3283">
        <v>1215</v>
      </c>
      <c r="E227" s="3285" t="str">
        <f t="shared" si="3"/>
        <v>南-6-1215</v>
      </c>
      <c r="F227" s="3283" t="s">
        <v>3350</v>
      </c>
      <c r="G227" s="3283" t="s">
        <v>3152</v>
      </c>
      <c r="H227" s="3286" t="s">
        <v>3351</v>
      </c>
      <c r="I227" s="3287">
        <v>71.41</v>
      </c>
      <c r="J227" s="3286">
        <v>47.41</v>
      </c>
      <c r="M227" s="3290"/>
      <c r="N227" s="3290"/>
    </row>
    <row r="228" spans="1:14" hidden="1">
      <c r="A228" s="3282">
        <v>227</v>
      </c>
      <c r="B228" s="3283" t="s">
        <v>3154</v>
      </c>
      <c r="C228" s="3283">
        <v>6</v>
      </c>
      <c r="D228" s="3283">
        <v>1216</v>
      </c>
      <c r="E228" s="3285" t="str">
        <f t="shared" si="3"/>
        <v>南-6-1216</v>
      </c>
      <c r="F228" s="3283" t="s">
        <v>3352</v>
      </c>
      <c r="G228" s="3283" t="s">
        <v>3152</v>
      </c>
      <c r="H228" s="3286" t="s">
        <v>3156</v>
      </c>
      <c r="I228" s="3287">
        <v>62.5</v>
      </c>
      <c r="J228" s="3286">
        <v>41.5</v>
      </c>
      <c r="M228" s="3290"/>
      <c r="N228" s="3290"/>
    </row>
    <row r="229" spans="1:14" hidden="1">
      <c r="A229" s="3282">
        <v>228</v>
      </c>
      <c r="B229" s="3283" t="s">
        <v>3154</v>
      </c>
      <c r="C229" s="3283">
        <v>6</v>
      </c>
      <c r="D229" s="3283">
        <v>1301</v>
      </c>
      <c r="E229" s="3285" t="str">
        <f t="shared" si="3"/>
        <v>南-6-1301</v>
      </c>
      <c r="F229" s="3283" t="s">
        <v>3353</v>
      </c>
      <c r="G229" s="3283" t="s">
        <v>3152</v>
      </c>
      <c r="H229" s="3286" t="s">
        <v>3354</v>
      </c>
      <c r="I229" s="3287">
        <v>80.260000000000005</v>
      </c>
      <c r="J229" s="3286">
        <v>53.29</v>
      </c>
      <c r="M229" s="3290"/>
      <c r="N229" s="3290"/>
    </row>
    <row r="230" spans="1:14" hidden="1">
      <c r="A230" s="3282">
        <v>229</v>
      </c>
      <c r="B230" s="3283" t="s">
        <v>3154</v>
      </c>
      <c r="C230" s="3283">
        <v>6</v>
      </c>
      <c r="D230" s="3283">
        <v>1302</v>
      </c>
      <c r="E230" s="3285" t="str">
        <f t="shared" si="3"/>
        <v>南-6-1302</v>
      </c>
      <c r="F230" s="3283" t="s">
        <v>3355</v>
      </c>
      <c r="G230" s="3283" t="s">
        <v>3152</v>
      </c>
      <c r="H230" s="3286" t="s">
        <v>3165</v>
      </c>
      <c r="I230" s="3287">
        <v>73.06</v>
      </c>
      <c r="J230" s="3286">
        <v>48.51</v>
      </c>
      <c r="M230" s="3290"/>
      <c r="N230" s="3290"/>
    </row>
    <row r="231" spans="1:14" hidden="1">
      <c r="A231" s="3282">
        <v>230</v>
      </c>
      <c r="B231" s="3283" t="s">
        <v>3154</v>
      </c>
      <c r="C231" s="3283">
        <v>6</v>
      </c>
      <c r="D231" s="3283">
        <v>1305</v>
      </c>
      <c r="E231" s="3285" t="str">
        <f t="shared" si="3"/>
        <v>南-6-1305</v>
      </c>
      <c r="F231" s="3283" t="s">
        <v>3356</v>
      </c>
      <c r="G231" s="3283" t="s">
        <v>3152</v>
      </c>
      <c r="H231" s="3286" t="s">
        <v>3158</v>
      </c>
      <c r="I231" s="3287">
        <v>43.84</v>
      </c>
      <c r="J231" s="3286">
        <v>29.11</v>
      </c>
      <c r="M231" s="3290"/>
      <c r="N231" s="3290"/>
    </row>
    <row r="232" spans="1:14" hidden="1">
      <c r="A232" s="3282">
        <v>231</v>
      </c>
      <c r="B232" s="3283" t="s">
        <v>3154</v>
      </c>
      <c r="C232" s="3283">
        <v>6</v>
      </c>
      <c r="D232" s="3283">
        <v>1306</v>
      </c>
      <c r="E232" s="3285" t="str">
        <f t="shared" si="3"/>
        <v>南-6-1306</v>
      </c>
      <c r="F232" s="3283" t="s">
        <v>3357</v>
      </c>
      <c r="G232" s="3283" t="s">
        <v>3152</v>
      </c>
      <c r="H232" s="3286" t="s">
        <v>3158</v>
      </c>
      <c r="I232" s="3287">
        <v>43.84</v>
      </c>
      <c r="J232" s="3286">
        <v>29.11</v>
      </c>
      <c r="M232" s="3290"/>
      <c r="N232" s="3290"/>
    </row>
    <row r="233" spans="1:14" hidden="1">
      <c r="A233" s="3282">
        <v>232</v>
      </c>
      <c r="B233" s="3283" t="s">
        <v>3154</v>
      </c>
      <c r="C233" s="3283">
        <v>6</v>
      </c>
      <c r="D233" s="3283">
        <v>1307</v>
      </c>
      <c r="E233" s="3285" t="str">
        <f t="shared" si="3"/>
        <v>南-6-1307</v>
      </c>
      <c r="F233" s="3283" t="s">
        <v>3358</v>
      </c>
      <c r="G233" s="3283" t="s">
        <v>3152</v>
      </c>
      <c r="H233" s="3286" t="s">
        <v>3158</v>
      </c>
      <c r="I233" s="3287">
        <v>43.84</v>
      </c>
      <c r="J233" s="3286">
        <v>29.11</v>
      </c>
      <c r="M233" s="3290"/>
      <c r="N233" s="3290"/>
    </row>
    <row r="234" spans="1:14" hidden="1">
      <c r="A234" s="3282">
        <v>233</v>
      </c>
      <c r="B234" s="3283" t="s">
        <v>3154</v>
      </c>
      <c r="C234" s="3283">
        <v>6</v>
      </c>
      <c r="D234" s="3283">
        <v>1309</v>
      </c>
      <c r="E234" s="3285" t="str">
        <f t="shared" si="3"/>
        <v>南-6-1309</v>
      </c>
      <c r="F234" s="3283" t="s">
        <v>3359</v>
      </c>
      <c r="G234" s="3283" t="s">
        <v>3152</v>
      </c>
      <c r="H234" s="3286" t="s">
        <v>3360</v>
      </c>
      <c r="I234" s="3287">
        <v>62.46</v>
      </c>
      <c r="J234" s="3286">
        <v>41.47</v>
      </c>
      <c r="M234" s="3290"/>
      <c r="N234" s="3290"/>
    </row>
    <row r="235" spans="1:14" hidden="1">
      <c r="A235" s="3282">
        <v>234</v>
      </c>
      <c r="B235" s="3283" t="s">
        <v>3154</v>
      </c>
      <c r="C235" s="3283">
        <v>6</v>
      </c>
      <c r="D235" s="3283">
        <v>1311</v>
      </c>
      <c r="E235" s="3285" t="str">
        <f t="shared" si="3"/>
        <v>南-6-1311</v>
      </c>
      <c r="F235" s="3283" t="s">
        <v>3361</v>
      </c>
      <c r="G235" s="3283" t="s">
        <v>3152</v>
      </c>
      <c r="H235" s="3286" t="s">
        <v>3153</v>
      </c>
      <c r="I235" s="3287">
        <v>88.56</v>
      </c>
      <c r="J235" s="3286">
        <v>58.8</v>
      </c>
      <c r="M235" s="3290"/>
      <c r="N235" s="3290"/>
    </row>
    <row r="236" spans="1:14" hidden="1">
      <c r="A236" s="3282">
        <v>235</v>
      </c>
      <c r="B236" s="3283" t="s">
        <v>3154</v>
      </c>
      <c r="C236" s="3283">
        <v>6</v>
      </c>
      <c r="D236" s="3283">
        <v>1312</v>
      </c>
      <c r="E236" s="3285" t="str">
        <f t="shared" si="3"/>
        <v>南-6-1312</v>
      </c>
      <c r="F236" s="3283" t="s">
        <v>3362</v>
      </c>
      <c r="G236" s="3283" t="s">
        <v>3175</v>
      </c>
      <c r="H236" s="3286" t="s">
        <v>3184</v>
      </c>
      <c r="I236" s="3287">
        <v>88.56</v>
      </c>
      <c r="J236" s="3286">
        <v>58.8</v>
      </c>
      <c r="M236" s="3290"/>
      <c r="N236" s="3290"/>
    </row>
    <row r="237" spans="1:14" hidden="1">
      <c r="A237" s="3282">
        <v>236</v>
      </c>
      <c r="B237" s="3283" t="s">
        <v>3177</v>
      </c>
      <c r="C237" s="3283">
        <v>6</v>
      </c>
      <c r="D237" s="3283">
        <v>1313</v>
      </c>
      <c r="E237" s="3285" t="str">
        <f t="shared" si="3"/>
        <v>南-6-1313</v>
      </c>
      <c r="F237" s="3283" t="s">
        <v>3363</v>
      </c>
      <c r="G237" s="3283" t="s">
        <v>3175</v>
      </c>
      <c r="H237" s="3286" t="s">
        <v>3184</v>
      </c>
      <c r="I237" s="3287">
        <v>88.56</v>
      </c>
      <c r="J237" s="3286">
        <v>58.8</v>
      </c>
      <c r="M237" s="3290"/>
      <c r="N237" s="3290"/>
    </row>
    <row r="238" spans="1:14" hidden="1">
      <c r="A238" s="3282">
        <v>237</v>
      </c>
      <c r="B238" s="3283" t="s">
        <v>3177</v>
      </c>
      <c r="C238" s="3283">
        <v>6</v>
      </c>
      <c r="D238" s="3283">
        <v>1314</v>
      </c>
      <c r="E238" s="3285" t="str">
        <f t="shared" si="3"/>
        <v>南-6-1314</v>
      </c>
      <c r="F238" s="3283" t="s">
        <v>3364</v>
      </c>
      <c r="G238" s="3283" t="s">
        <v>3175</v>
      </c>
      <c r="H238" s="3286" t="s">
        <v>3331</v>
      </c>
      <c r="I238" s="3287">
        <v>44.28</v>
      </c>
      <c r="J238" s="3286">
        <v>29.4</v>
      </c>
      <c r="M238" s="3290"/>
      <c r="N238" s="3290"/>
    </row>
    <row r="239" spans="1:14" hidden="1">
      <c r="A239" s="3282">
        <v>238</v>
      </c>
      <c r="B239" s="3283" t="s">
        <v>3177</v>
      </c>
      <c r="C239" s="3283">
        <v>6</v>
      </c>
      <c r="D239" s="3283">
        <v>1315</v>
      </c>
      <c r="E239" s="3285" t="str">
        <f t="shared" si="3"/>
        <v>南-6-1315</v>
      </c>
      <c r="F239" s="3283" t="s">
        <v>3365</v>
      </c>
      <c r="G239" s="3283" t="s">
        <v>3175</v>
      </c>
      <c r="H239" s="3286" t="s">
        <v>3333</v>
      </c>
      <c r="I239" s="3287">
        <v>71.47</v>
      </c>
      <c r="J239" s="3286">
        <v>47.45</v>
      </c>
      <c r="M239" s="3290"/>
      <c r="N239" s="3290"/>
    </row>
    <row r="240" spans="1:14" hidden="1">
      <c r="A240" s="3282">
        <v>239</v>
      </c>
      <c r="B240" s="3283" t="s">
        <v>3177</v>
      </c>
      <c r="C240" s="3283">
        <v>6</v>
      </c>
      <c r="D240" s="3283">
        <v>1316</v>
      </c>
      <c r="E240" s="3285" t="str">
        <f t="shared" si="3"/>
        <v>南-6-1316</v>
      </c>
      <c r="F240" s="3283" t="s">
        <v>3366</v>
      </c>
      <c r="G240" s="3283" t="s">
        <v>3175</v>
      </c>
      <c r="H240" s="3286" t="s">
        <v>3176</v>
      </c>
      <c r="I240" s="3287">
        <v>62.46</v>
      </c>
      <c r="J240" s="3286">
        <v>41.47</v>
      </c>
      <c r="M240" s="3290"/>
      <c r="N240" s="3290"/>
    </row>
    <row r="241" spans="1:14" hidden="1">
      <c r="A241" s="3282">
        <v>240</v>
      </c>
      <c r="B241" s="3283" t="s">
        <v>3177</v>
      </c>
      <c r="C241" s="3283">
        <v>6</v>
      </c>
      <c r="D241" s="3283">
        <v>1401</v>
      </c>
      <c r="E241" s="3285" t="str">
        <f t="shared" si="3"/>
        <v>南-6-1401</v>
      </c>
      <c r="F241" s="3283" t="s">
        <v>3367</v>
      </c>
      <c r="G241" s="3283" t="s">
        <v>3175</v>
      </c>
      <c r="H241" s="3286" t="s">
        <v>3191</v>
      </c>
      <c r="I241" s="3287">
        <v>80.38</v>
      </c>
      <c r="J241" s="3286">
        <v>53.37</v>
      </c>
      <c r="M241" s="3290"/>
      <c r="N241" s="3290"/>
    </row>
    <row r="242" spans="1:14" hidden="1">
      <c r="A242" s="3282">
        <v>241</v>
      </c>
      <c r="B242" s="3283" t="s">
        <v>3177</v>
      </c>
      <c r="C242" s="3283">
        <v>6</v>
      </c>
      <c r="D242" s="3283">
        <v>1402</v>
      </c>
      <c r="E242" s="3285" t="str">
        <f t="shared" si="3"/>
        <v>南-6-1402</v>
      </c>
      <c r="F242" s="3283" t="s">
        <v>3368</v>
      </c>
      <c r="G242" s="3283" t="s">
        <v>3175</v>
      </c>
      <c r="H242" s="3286" t="s">
        <v>3189</v>
      </c>
      <c r="I242" s="3287">
        <v>73.06</v>
      </c>
      <c r="J242" s="3286">
        <v>48.51</v>
      </c>
      <c r="M242" s="3290"/>
      <c r="N242" s="3290"/>
    </row>
    <row r="243" spans="1:14" hidden="1">
      <c r="A243" s="3282">
        <v>242</v>
      </c>
      <c r="B243" s="3283" t="s">
        <v>3177</v>
      </c>
      <c r="C243" s="3283">
        <v>6</v>
      </c>
      <c r="D243" s="3283">
        <v>1405</v>
      </c>
      <c r="E243" s="3285" t="str">
        <f t="shared" si="3"/>
        <v>南-6-1405</v>
      </c>
      <c r="F243" s="3283" t="s">
        <v>3369</v>
      </c>
      <c r="G243" s="3283" t="s">
        <v>3175</v>
      </c>
      <c r="H243" s="3286" t="s">
        <v>3179</v>
      </c>
      <c r="I243" s="3287">
        <v>43.84</v>
      </c>
      <c r="J243" s="3286">
        <v>29.11</v>
      </c>
      <c r="M243" s="3290"/>
      <c r="N243" s="3290"/>
    </row>
    <row r="244" spans="1:14" hidden="1">
      <c r="A244" s="3282">
        <v>243</v>
      </c>
      <c r="B244" s="3283" t="s">
        <v>3177</v>
      </c>
      <c r="C244" s="3283">
        <v>6</v>
      </c>
      <c r="D244" s="3283">
        <v>1406</v>
      </c>
      <c r="E244" s="3285" t="str">
        <f t="shared" si="3"/>
        <v>南-6-1406</v>
      </c>
      <c r="F244" s="3283" t="s">
        <v>3370</v>
      </c>
      <c r="G244" s="3283" t="s">
        <v>3175</v>
      </c>
      <c r="H244" s="3286" t="s">
        <v>3179</v>
      </c>
      <c r="I244" s="3287">
        <v>43.84</v>
      </c>
      <c r="J244" s="3286">
        <v>29.11</v>
      </c>
      <c r="M244" s="3290"/>
      <c r="N244" s="3290"/>
    </row>
    <row r="245" spans="1:14" hidden="1">
      <c r="A245" s="3282">
        <v>244</v>
      </c>
      <c r="B245" s="3283" t="s">
        <v>3177</v>
      </c>
      <c r="C245" s="3283">
        <v>6</v>
      </c>
      <c r="D245" s="3283">
        <v>1408</v>
      </c>
      <c r="E245" s="3285" t="str">
        <f t="shared" si="3"/>
        <v>南-6-1408</v>
      </c>
      <c r="F245" s="3283" t="s">
        <v>3371</v>
      </c>
      <c r="G245" s="3283" t="s">
        <v>3175</v>
      </c>
      <c r="H245" s="3286" t="s">
        <v>3343</v>
      </c>
      <c r="I245" s="3287">
        <v>80.260000000000005</v>
      </c>
      <c r="J245" s="3286">
        <v>53.29</v>
      </c>
      <c r="M245" s="3290"/>
      <c r="N245" s="3290"/>
    </row>
    <row r="246" spans="1:14" hidden="1">
      <c r="A246" s="3282">
        <v>245</v>
      </c>
      <c r="B246" s="3283" t="s">
        <v>3177</v>
      </c>
      <c r="C246" s="3283">
        <v>6</v>
      </c>
      <c r="D246" s="3283">
        <v>1409</v>
      </c>
      <c r="E246" s="3285" t="str">
        <f t="shared" si="3"/>
        <v>南-6-1409</v>
      </c>
      <c r="F246" s="3283" t="s">
        <v>3372</v>
      </c>
      <c r="G246" s="3283" t="s">
        <v>3175</v>
      </c>
      <c r="H246" s="3286" t="s">
        <v>3345</v>
      </c>
      <c r="I246" s="3287">
        <v>62.5</v>
      </c>
      <c r="J246" s="3286">
        <v>41.5</v>
      </c>
      <c r="M246" s="3290"/>
      <c r="N246" s="3290"/>
    </row>
    <row r="247" spans="1:14" hidden="1">
      <c r="A247" s="3282">
        <v>246</v>
      </c>
      <c r="B247" s="3283" t="s">
        <v>3177</v>
      </c>
      <c r="C247" s="3283">
        <v>6</v>
      </c>
      <c r="D247" s="3283">
        <v>1410</v>
      </c>
      <c r="E247" s="3285" t="str">
        <f t="shared" si="3"/>
        <v>南-6-1410</v>
      </c>
      <c r="F247" s="3283" t="s">
        <v>3373</v>
      </c>
      <c r="G247" s="3283" t="s">
        <v>3175</v>
      </c>
      <c r="H247" s="3286" t="s">
        <v>3333</v>
      </c>
      <c r="I247" s="3287">
        <v>71.540000000000006</v>
      </c>
      <c r="J247" s="3286">
        <v>47.5</v>
      </c>
      <c r="M247" s="3290"/>
      <c r="N247" s="3290"/>
    </row>
    <row r="248" spans="1:14" hidden="1">
      <c r="A248" s="3282">
        <v>247</v>
      </c>
      <c r="B248" s="3283" t="s">
        <v>3177</v>
      </c>
      <c r="C248" s="3283">
        <v>6</v>
      </c>
      <c r="D248" s="3283">
        <v>1411</v>
      </c>
      <c r="E248" s="3285" t="str">
        <f t="shared" si="3"/>
        <v>南-6-1411</v>
      </c>
      <c r="F248" s="3283" t="s">
        <v>3374</v>
      </c>
      <c r="G248" s="3283" t="s">
        <v>3175</v>
      </c>
      <c r="H248" s="3286" t="s">
        <v>3184</v>
      </c>
      <c r="I248" s="3287">
        <v>88.56</v>
      </c>
      <c r="J248" s="3286">
        <v>58.8</v>
      </c>
      <c r="M248" s="3290"/>
      <c r="N248" s="3290"/>
    </row>
    <row r="249" spans="1:14" hidden="1">
      <c r="A249" s="3282">
        <v>248</v>
      </c>
      <c r="B249" s="3283" t="s">
        <v>3177</v>
      </c>
      <c r="C249" s="3283">
        <v>6</v>
      </c>
      <c r="D249" s="3283">
        <v>1412</v>
      </c>
      <c r="E249" s="3285" t="str">
        <f t="shared" si="3"/>
        <v>南-6-1412</v>
      </c>
      <c r="F249" s="3283" t="s">
        <v>3375</v>
      </c>
      <c r="G249" s="3283" t="s">
        <v>3175</v>
      </c>
      <c r="H249" s="3286" t="s">
        <v>3184</v>
      </c>
      <c r="I249" s="3287">
        <v>88.56</v>
      </c>
      <c r="J249" s="3286">
        <v>58.8</v>
      </c>
      <c r="M249" s="3290"/>
      <c r="N249" s="3290"/>
    </row>
    <row r="250" spans="1:14" hidden="1">
      <c r="A250" s="3282">
        <v>249</v>
      </c>
      <c r="B250" s="3283" t="s">
        <v>3177</v>
      </c>
      <c r="C250" s="3283">
        <v>6</v>
      </c>
      <c r="D250" s="3283">
        <v>1413</v>
      </c>
      <c r="E250" s="3285" t="str">
        <f t="shared" si="3"/>
        <v>南-6-1413</v>
      </c>
      <c r="F250" s="3283" t="s">
        <v>3376</v>
      </c>
      <c r="G250" s="3283" t="s">
        <v>3175</v>
      </c>
      <c r="H250" s="3286" t="s">
        <v>3184</v>
      </c>
      <c r="I250" s="3287">
        <v>88.56</v>
      </c>
      <c r="J250" s="3286">
        <v>58.8</v>
      </c>
      <c r="M250" s="3290"/>
      <c r="N250" s="3290"/>
    </row>
    <row r="251" spans="1:14" hidden="1">
      <c r="A251" s="3282">
        <v>250</v>
      </c>
      <c r="B251" s="3283" t="s">
        <v>3177</v>
      </c>
      <c r="C251" s="3283">
        <v>6</v>
      </c>
      <c r="D251" s="3283">
        <v>1414</v>
      </c>
      <c r="E251" s="3285" t="str">
        <f t="shared" si="3"/>
        <v>南-6-1414</v>
      </c>
      <c r="F251" s="3283" t="s">
        <v>3377</v>
      </c>
      <c r="G251" s="3283" t="s">
        <v>3175</v>
      </c>
      <c r="H251" s="3286" t="s">
        <v>3331</v>
      </c>
      <c r="I251" s="3287">
        <v>44.28</v>
      </c>
      <c r="J251" s="3286">
        <v>29.4</v>
      </c>
      <c r="M251" s="3290"/>
      <c r="N251" s="3290"/>
    </row>
    <row r="252" spans="1:14" hidden="1">
      <c r="A252" s="3282">
        <v>251</v>
      </c>
      <c r="B252" s="3283" t="s">
        <v>3177</v>
      </c>
      <c r="C252" s="3283">
        <v>6</v>
      </c>
      <c r="D252" s="3283">
        <v>1415</v>
      </c>
      <c r="E252" s="3285" t="str">
        <f t="shared" si="3"/>
        <v>南-6-1415</v>
      </c>
      <c r="F252" s="3283" t="s">
        <v>3378</v>
      </c>
      <c r="G252" s="3283" t="s">
        <v>3175</v>
      </c>
      <c r="H252" s="3286" t="s">
        <v>3326</v>
      </c>
      <c r="I252" s="3287">
        <v>71.41</v>
      </c>
      <c r="J252" s="3286">
        <v>47.41</v>
      </c>
      <c r="M252" s="3290"/>
      <c r="N252" s="3290"/>
    </row>
    <row r="253" spans="1:14" hidden="1">
      <c r="A253" s="3282">
        <v>252</v>
      </c>
      <c r="B253" s="3283" t="s">
        <v>3177</v>
      </c>
      <c r="C253" s="3283">
        <v>6</v>
      </c>
      <c r="D253" s="3283">
        <v>1416</v>
      </c>
      <c r="E253" s="3285" t="str">
        <f t="shared" si="3"/>
        <v>南-6-1416</v>
      </c>
      <c r="F253" s="3283" t="s">
        <v>3379</v>
      </c>
      <c r="G253" s="3283" t="s">
        <v>3175</v>
      </c>
      <c r="H253" s="3286" t="s">
        <v>3187</v>
      </c>
      <c r="I253" s="3287">
        <v>62.5</v>
      </c>
      <c r="J253" s="3286">
        <v>41.5</v>
      </c>
      <c r="M253" s="3290"/>
      <c r="N253" s="3290"/>
    </row>
    <row r="254" spans="1:14" hidden="1">
      <c r="A254" s="3282">
        <v>253</v>
      </c>
      <c r="B254" s="3283" t="s">
        <v>3177</v>
      </c>
      <c r="C254" s="3283">
        <v>6</v>
      </c>
      <c r="D254" s="3283">
        <v>1502</v>
      </c>
      <c r="E254" s="3285" t="str">
        <f t="shared" si="3"/>
        <v>南-6-1502</v>
      </c>
      <c r="F254" s="3283" t="s">
        <v>3380</v>
      </c>
      <c r="G254" s="3283" t="s">
        <v>3175</v>
      </c>
      <c r="H254" s="3286" t="s">
        <v>3181</v>
      </c>
      <c r="I254" s="3287">
        <v>73.06</v>
      </c>
      <c r="J254" s="3286">
        <v>48.51</v>
      </c>
      <c r="M254" s="3290"/>
      <c r="N254" s="3290"/>
    </row>
    <row r="255" spans="1:14" hidden="1">
      <c r="A255" s="3282">
        <v>254</v>
      </c>
      <c r="B255" s="3283" t="s">
        <v>3177</v>
      </c>
      <c r="C255" s="3283">
        <v>6</v>
      </c>
      <c r="D255" s="3283">
        <v>1504</v>
      </c>
      <c r="E255" s="3285" t="str">
        <f t="shared" si="3"/>
        <v>南-6-1504</v>
      </c>
      <c r="F255" s="3283" t="s">
        <v>3381</v>
      </c>
      <c r="G255" s="3283" t="s">
        <v>3175</v>
      </c>
      <c r="H255" s="3286" t="s">
        <v>3179</v>
      </c>
      <c r="I255" s="3287">
        <v>43.84</v>
      </c>
      <c r="J255" s="3286">
        <v>29.11</v>
      </c>
      <c r="M255" s="3290"/>
      <c r="N255" s="3290"/>
    </row>
    <row r="256" spans="1:14" hidden="1">
      <c r="A256" s="3282">
        <v>255</v>
      </c>
      <c r="B256" s="3283" t="s">
        <v>3177</v>
      </c>
      <c r="C256" s="3283">
        <v>6</v>
      </c>
      <c r="D256" s="3283">
        <v>1505</v>
      </c>
      <c r="E256" s="3285" t="str">
        <f t="shared" si="3"/>
        <v>南-6-1505</v>
      </c>
      <c r="F256" s="3283" t="s">
        <v>3382</v>
      </c>
      <c r="G256" s="3283" t="s">
        <v>3175</v>
      </c>
      <c r="H256" s="3286" t="s">
        <v>3179</v>
      </c>
      <c r="I256" s="3287">
        <v>43.84</v>
      </c>
      <c r="J256" s="3286">
        <v>29.11</v>
      </c>
      <c r="M256" s="3290"/>
      <c r="N256" s="3290"/>
    </row>
    <row r="257" spans="1:14" hidden="1">
      <c r="A257" s="3282">
        <v>256</v>
      </c>
      <c r="B257" s="3283" t="s">
        <v>3177</v>
      </c>
      <c r="C257" s="3283">
        <v>6</v>
      </c>
      <c r="D257" s="3283">
        <v>1506</v>
      </c>
      <c r="E257" s="3285" t="str">
        <f t="shared" si="3"/>
        <v>南-6-1506</v>
      </c>
      <c r="F257" s="3283" t="s">
        <v>3383</v>
      </c>
      <c r="G257" s="3283" t="s">
        <v>3175</v>
      </c>
      <c r="H257" s="3286" t="s">
        <v>3179</v>
      </c>
      <c r="I257" s="3287">
        <v>43.84</v>
      </c>
      <c r="J257" s="3286">
        <v>29.11</v>
      </c>
      <c r="M257" s="3290"/>
      <c r="N257" s="3290"/>
    </row>
    <row r="258" spans="1:14" hidden="1">
      <c r="A258" s="3282">
        <v>257</v>
      </c>
      <c r="B258" s="3283" t="s">
        <v>3177</v>
      </c>
      <c r="C258" s="3283">
        <v>6</v>
      </c>
      <c r="D258" s="3283">
        <v>1507</v>
      </c>
      <c r="E258" s="3285" t="str">
        <f t="shared" si="3"/>
        <v>南-6-1507</v>
      </c>
      <c r="F258" s="3283" t="s">
        <v>3384</v>
      </c>
      <c r="G258" s="3283" t="s">
        <v>3175</v>
      </c>
      <c r="H258" s="3286" t="s">
        <v>3179</v>
      </c>
      <c r="I258" s="3287">
        <v>43.84</v>
      </c>
      <c r="J258" s="3286">
        <v>29.11</v>
      </c>
      <c r="M258" s="3290"/>
      <c r="N258" s="3290"/>
    </row>
    <row r="259" spans="1:14" hidden="1">
      <c r="A259" s="3282">
        <v>258</v>
      </c>
      <c r="B259" s="3283" t="s">
        <v>3177</v>
      </c>
      <c r="C259" s="3283">
        <v>6</v>
      </c>
      <c r="D259" s="3283">
        <v>1509</v>
      </c>
      <c r="E259" s="3285" t="str">
        <f t="shared" ref="E259:E322" si="4">B259&amp;-C259&amp;"-"&amp;D259</f>
        <v>南-6-1509</v>
      </c>
      <c r="F259" s="3283" t="s">
        <v>3385</v>
      </c>
      <c r="G259" s="3283" t="s">
        <v>3175</v>
      </c>
      <c r="H259" s="3286" t="s">
        <v>3324</v>
      </c>
      <c r="I259" s="3287">
        <v>62.46</v>
      </c>
      <c r="J259" s="3286">
        <v>41.47</v>
      </c>
      <c r="M259" s="3290"/>
      <c r="N259" s="3290"/>
    </row>
    <row r="260" spans="1:14" hidden="1">
      <c r="A260" s="3282">
        <v>259</v>
      </c>
      <c r="B260" s="3283" t="s">
        <v>3177</v>
      </c>
      <c r="C260" s="3283">
        <v>6</v>
      </c>
      <c r="D260" s="3283">
        <v>1510</v>
      </c>
      <c r="E260" s="3285" t="str">
        <f t="shared" si="4"/>
        <v>南-6-1510</v>
      </c>
      <c r="F260" s="3283" t="s">
        <v>3386</v>
      </c>
      <c r="G260" s="3283" t="s">
        <v>3175</v>
      </c>
      <c r="H260" s="3286" t="s">
        <v>3326</v>
      </c>
      <c r="I260" s="3287">
        <v>71.41</v>
      </c>
      <c r="J260" s="3286">
        <v>47.41</v>
      </c>
      <c r="M260" s="3290"/>
      <c r="N260" s="3290"/>
    </row>
    <row r="261" spans="1:14" hidden="1">
      <c r="A261" s="3282">
        <v>260</v>
      </c>
      <c r="B261" s="3283" t="s">
        <v>3177</v>
      </c>
      <c r="C261" s="3283">
        <v>6</v>
      </c>
      <c r="D261" s="3283">
        <v>1511</v>
      </c>
      <c r="E261" s="3285" t="str">
        <f t="shared" si="4"/>
        <v>南-6-1511</v>
      </c>
      <c r="F261" s="3283" t="s">
        <v>3387</v>
      </c>
      <c r="G261" s="3283" t="s">
        <v>3175</v>
      </c>
      <c r="H261" s="3286" t="s">
        <v>3184</v>
      </c>
      <c r="I261" s="3287">
        <v>88.56</v>
      </c>
      <c r="J261" s="3286">
        <v>58.8</v>
      </c>
      <c r="M261" s="3290"/>
      <c r="N261" s="3290"/>
    </row>
    <row r="262" spans="1:14" hidden="1">
      <c r="A262" s="3282">
        <v>261</v>
      </c>
      <c r="B262" s="3283" t="s">
        <v>3177</v>
      </c>
      <c r="C262" s="3283">
        <v>6</v>
      </c>
      <c r="D262" s="3283">
        <v>1512</v>
      </c>
      <c r="E262" s="3285" t="str">
        <f t="shared" si="4"/>
        <v>南-6-1512</v>
      </c>
      <c r="F262" s="3283" t="s">
        <v>3388</v>
      </c>
      <c r="G262" s="3283" t="s">
        <v>3175</v>
      </c>
      <c r="H262" s="3286" t="s">
        <v>3184</v>
      </c>
      <c r="I262" s="3287">
        <v>88.56</v>
      </c>
      <c r="J262" s="3286">
        <v>58.8</v>
      </c>
      <c r="M262" s="3290"/>
      <c r="N262" s="3290"/>
    </row>
    <row r="263" spans="1:14" hidden="1">
      <c r="A263" s="3282">
        <v>262</v>
      </c>
      <c r="B263" s="3283" t="s">
        <v>3177</v>
      </c>
      <c r="C263" s="3283">
        <v>6</v>
      </c>
      <c r="D263" s="3283">
        <v>1513</v>
      </c>
      <c r="E263" s="3285" t="str">
        <f t="shared" si="4"/>
        <v>南-6-1513</v>
      </c>
      <c r="F263" s="3283" t="s">
        <v>3389</v>
      </c>
      <c r="G263" s="3283" t="s">
        <v>3175</v>
      </c>
      <c r="H263" s="3286" t="s">
        <v>3184</v>
      </c>
      <c r="I263" s="3287">
        <v>88.56</v>
      </c>
      <c r="J263" s="3286">
        <v>58.8</v>
      </c>
      <c r="M263" s="3290"/>
      <c r="N263" s="3290"/>
    </row>
    <row r="264" spans="1:14" hidden="1">
      <c r="A264" s="3282">
        <v>263</v>
      </c>
      <c r="B264" s="3283" t="s">
        <v>3177</v>
      </c>
      <c r="C264" s="3283">
        <v>6</v>
      </c>
      <c r="D264" s="3283">
        <v>1514</v>
      </c>
      <c r="E264" s="3285" t="str">
        <f t="shared" si="4"/>
        <v>南-6-1514</v>
      </c>
      <c r="F264" s="3283" t="s">
        <v>3390</v>
      </c>
      <c r="G264" s="3283" t="s">
        <v>3175</v>
      </c>
      <c r="H264" s="3286" t="s">
        <v>3331</v>
      </c>
      <c r="I264" s="3287">
        <v>44.28</v>
      </c>
      <c r="J264" s="3286">
        <v>29.4</v>
      </c>
      <c r="M264" s="3290"/>
      <c r="N264" s="3290"/>
    </row>
    <row r="265" spans="1:14" hidden="1">
      <c r="A265" s="3282">
        <v>264</v>
      </c>
      <c r="B265" s="3283" t="s">
        <v>3177</v>
      </c>
      <c r="C265" s="3283">
        <v>6</v>
      </c>
      <c r="D265" s="3283">
        <v>1515</v>
      </c>
      <c r="E265" s="3285" t="str">
        <f t="shared" si="4"/>
        <v>南-6-1515</v>
      </c>
      <c r="F265" s="3283" t="s">
        <v>3391</v>
      </c>
      <c r="G265" s="3283" t="s">
        <v>3175</v>
      </c>
      <c r="H265" s="3286" t="s">
        <v>3333</v>
      </c>
      <c r="I265" s="3287">
        <v>71.47</v>
      </c>
      <c r="J265" s="3286">
        <v>47.45</v>
      </c>
      <c r="M265" s="3290"/>
      <c r="N265" s="3290"/>
    </row>
    <row r="266" spans="1:14" hidden="1">
      <c r="A266" s="3282">
        <v>265</v>
      </c>
      <c r="B266" s="3283" t="s">
        <v>3177</v>
      </c>
      <c r="C266" s="3283">
        <v>6</v>
      </c>
      <c r="D266" s="3283">
        <v>1516</v>
      </c>
      <c r="E266" s="3285" t="str">
        <f t="shared" si="4"/>
        <v>南-6-1516</v>
      </c>
      <c r="F266" s="3283" t="s">
        <v>3392</v>
      </c>
      <c r="G266" s="3283" t="s">
        <v>3175</v>
      </c>
      <c r="H266" s="3286" t="s">
        <v>3176</v>
      </c>
      <c r="I266" s="3287">
        <v>62.46</v>
      </c>
      <c r="J266" s="3286">
        <v>41.47</v>
      </c>
      <c r="M266" s="3290"/>
      <c r="N266" s="3290"/>
    </row>
    <row r="267" spans="1:14" hidden="1">
      <c r="A267" s="3282">
        <v>266</v>
      </c>
      <c r="B267" s="3283" t="s">
        <v>3177</v>
      </c>
      <c r="C267" s="3283">
        <v>6</v>
      </c>
      <c r="D267" s="3283">
        <v>1601</v>
      </c>
      <c r="E267" s="3285" t="str">
        <f t="shared" si="4"/>
        <v>南-6-1601</v>
      </c>
      <c r="F267" s="3283" t="s">
        <v>3393</v>
      </c>
      <c r="G267" s="3283" t="s">
        <v>3175</v>
      </c>
      <c r="H267" s="3286" t="s">
        <v>3191</v>
      </c>
      <c r="I267" s="3287">
        <v>80.38</v>
      </c>
      <c r="J267" s="3286">
        <v>53.37</v>
      </c>
      <c r="M267" s="3290"/>
      <c r="N267" s="3290"/>
    </row>
    <row r="268" spans="1:14" hidden="1">
      <c r="A268" s="3282">
        <v>267</v>
      </c>
      <c r="B268" s="3283" t="s">
        <v>3177</v>
      </c>
      <c r="C268" s="3283">
        <v>6</v>
      </c>
      <c r="D268" s="3283">
        <v>1602</v>
      </c>
      <c r="E268" s="3285" t="str">
        <f t="shared" si="4"/>
        <v>南-6-1602</v>
      </c>
      <c r="F268" s="3283" t="s">
        <v>3394</v>
      </c>
      <c r="G268" s="3283" t="s">
        <v>3175</v>
      </c>
      <c r="H268" s="3286" t="s">
        <v>3189</v>
      </c>
      <c r="I268" s="3287">
        <v>73.06</v>
      </c>
      <c r="J268" s="3286">
        <v>48.51</v>
      </c>
      <c r="M268" s="3290"/>
      <c r="N268" s="3290"/>
    </row>
    <row r="269" spans="1:14" hidden="1">
      <c r="A269" s="3282">
        <v>268</v>
      </c>
      <c r="B269" s="3283" t="s">
        <v>3177</v>
      </c>
      <c r="C269" s="3283">
        <v>6</v>
      </c>
      <c r="D269" s="3283">
        <v>1603</v>
      </c>
      <c r="E269" s="3285" t="str">
        <f t="shared" si="4"/>
        <v>南-6-1603</v>
      </c>
      <c r="F269" s="3283" t="s">
        <v>3395</v>
      </c>
      <c r="G269" s="3283" t="s">
        <v>3175</v>
      </c>
      <c r="H269" s="3286" t="s">
        <v>3179</v>
      </c>
      <c r="I269" s="3287">
        <v>43.84</v>
      </c>
      <c r="J269" s="3286">
        <v>29.11</v>
      </c>
      <c r="M269" s="3290"/>
      <c r="N269" s="3290"/>
    </row>
    <row r="270" spans="1:14" hidden="1">
      <c r="A270" s="3282">
        <v>269</v>
      </c>
      <c r="B270" s="3283" t="s">
        <v>3177</v>
      </c>
      <c r="C270" s="3283">
        <v>6</v>
      </c>
      <c r="D270" s="3283">
        <v>1604</v>
      </c>
      <c r="E270" s="3285" t="str">
        <f t="shared" si="4"/>
        <v>南-6-1604</v>
      </c>
      <c r="F270" s="3283" t="s">
        <v>3396</v>
      </c>
      <c r="G270" s="3283" t="s">
        <v>3175</v>
      </c>
      <c r="H270" s="3286" t="s">
        <v>3179</v>
      </c>
      <c r="I270" s="3287">
        <v>43.84</v>
      </c>
      <c r="J270" s="3286">
        <v>29.11</v>
      </c>
      <c r="M270" s="3290"/>
      <c r="N270" s="3290"/>
    </row>
    <row r="271" spans="1:14" hidden="1">
      <c r="A271" s="3282">
        <v>270</v>
      </c>
      <c r="B271" s="3283" t="s">
        <v>3177</v>
      </c>
      <c r="C271" s="3283">
        <v>6</v>
      </c>
      <c r="D271" s="3283">
        <v>1605</v>
      </c>
      <c r="E271" s="3285" t="str">
        <f t="shared" si="4"/>
        <v>南-6-1605</v>
      </c>
      <c r="F271" s="3283" t="s">
        <v>3397</v>
      </c>
      <c r="G271" s="3283" t="s">
        <v>3175</v>
      </c>
      <c r="H271" s="3286" t="s">
        <v>3179</v>
      </c>
      <c r="I271" s="3287">
        <v>43.84</v>
      </c>
      <c r="J271" s="3286">
        <v>29.11</v>
      </c>
      <c r="M271" s="3290"/>
      <c r="N271" s="3290"/>
    </row>
    <row r="272" spans="1:14" hidden="1">
      <c r="A272" s="3282">
        <v>271</v>
      </c>
      <c r="B272" s="3283" t="s">
        <v>3177</v>
      </c>
      <c r="C272" s="3283">
        <v>6</v>
      </c>
      <c r="D272" s="3283">
        <v>1606</v>
      </c>
      <c r="E272" s="3285" t="str">
        <f t="shared" si="4"/>
        <v>南-6-1606</v>
      </c>
      <c r="F272" s="3283" t="s">
        <v>3398</v>
      </c>
      <c r="G272" s="3283" t="s">
        <v>3175</v>
      </c>
      <c r="H272" s="3286" t="s">
        <v>3179</v>
      </c>
      <c r="I272" s="3287">
        <v>43.84</v>
      </c>
      <c r="J272" s="3286">
        <v>29.11</v>
      </c>
      <c r="M272" s="3290"/>
      <c r="N272" s="3290"/>
    </row>
    <row r="273" spans="1:14" hidden="1">
      <c r="A273" s="3282">
        <v>272</v>
      </c>
      <c r="B273" s="3283" t="s">
        <v>3177</v>
      </c>
      <c r="C273" s="3283">
        <v>6</v>
      </c>
      <c r="D273" s="3283">
        <v>1607</v>
      </c>
      <c r="E273" s="3285" t="str">
        <f t="shared" si="4"/>
        <v>南-6-1607</v>
      </c>
      <c r="F273" s="3283" t="s">
        <v>3399</v>
      </c>
      <c r="G273" s="3283" t="s">
        <v>3175</v>
      </c>
      <c r="H273" s="3286" t="s">
        <v>3179</v>
      </c>
      <c r="I273" s="3287">
        <v>43.84</v>
      </c>
      <c r="J273" s="3286">
        <v>29.11</v>
      </c>
      <c r="M273" s="3290"/>
      <c r="N273" s="3290"/>
    </row>
    <row r="274" spans="1:14" hidden="1">
      <c r="A274" s="3282">
        <v>273</v>
      </c>
      <c r="B274" s="3283" t="s">
        <v>3177</v>
      </c>
      <c r="C274" s="3283">
        <v>6</v>
      </c>
      <c r="D274" s="3283">
        <v>1608</v>
      </c>
      <c r="E274" s="3285" t="str">
        <f t="shared" si="4"/>
        <v>南-6-1608</v>
      </c>
      <c r="F274" s="3283" t="s">
        <v>3400</v>
      </c>
      <c r="G274" s="3283" t="s">
        <v>3175</v>
      </c>
      <c r="H274" s="3286" t="s">
        <v>3343</v>
      </c>
      <c r="I274" s="3287">
        <v>80.260000000000005</v>
      </c>
      <c r="J274" s="3286">
        <v>53.29</v>
      </c>
      <c r="M274" s="3290"/>
      <c r="N274" s="3290"/>
    </row>
    <row r="275" spans="1:14" hidden="1">
      <c r="A275" s="3282">
        <v>274</v>
      </c>
      <c r="B275" s="3283" t="s">
        <v>3177</v>
      </c>
      <c r="C275" s="3283">
        <v>6</v>
      </c>
      <c r="D275" s="3283">
        <v>1609</v>
      </c>
      <c r="E275" s="3285" t="str">
        <f t="shared" si="4"/>
        <v>南-6-1609</v>
      </c>
      <c r="F275" s="3283" t="s">
        <v>3401</v>
      </c>
      <c r="G275" s="3283" t="s">
        <v>3175</v>
      </c>
      <c r="H275" s="3286" t="s">
        <v>3345</v>
      </c>
      <c r="I275" s="3287">
        <v>62.5</v>
      </c>
      <c r="J275" s="3286">
        <v>41.5</v>
      </c>
      <c r="M275" s="3290"/>
      <c r="N275" s="3290"/>
    </row>
    <row r="276" spans="1:14" hidden="1">
      <c r="A276" s="3282">
        <v>275</v>
      </c>
      <c r="B276" s="3283" t="s">
        <v>3177</v>
      </c>
      <c r="C276" s="3283">
        <v>6</v>
      </c>
      <c r="D276" s="3283">
        <v>1610</v>
      </c>
      <c r="E276" s="3285" t="str">
        <f t="shared" si="4"/>
        <v>南-6-1610</v>
      </c>
      <c r="F276" s="3283" t="s">
        <v>3402</v>
      </c>
      <c r="G276" s="3283" t="s">
        <v>3175</v>
      </c>
      <c r="H276" s="3286" t="s">
        <v>3333</v>
      </c>
      <c r="I276" s="3287">
        <v>71.540000000000006</v>
      </c>
      <c r="J276" s="3286">
        <v>47.5</v>
      </c>
      <c r="M276" s="3290"/>
      <c r="N276" s="3290"/>
    </row>
    <row r="277" spans="1:14" hidden="1">
      <c r="A277" s="3282">
        <v>276</v>
      </c>
      <c r="B277" s="3283" t="s">
        <v>3177</v>
      </c>
      <c r="C277" s="3283">
        <v>6</v>
      </c>
      <c r="D277" s="3283">
        <v>1611</v>
      </c>
      <c r="E277" s="3285" t="str">
        <f t="shared" si="4"/>
        <v>南-6-1611</v>
      </c>
      <c r="F277" s="3283" t="s">
        <v>3403</v>
      </c>
      <c r="G277" s="3283" t="s">
        <v>3175</v>
      </c>
      <c r="H277" s="3286" t="s">
        <v>3184</v>
      </c>
      <c r="I277" s="3287">
        <v>88.56</v>
      </c>
      <c r="J277" s="3286">
        <v>58.8</v>
      </c>
      <c r="M277" s="3290"/>
      <c r="N277" s="3290"/>
    </row>
    <row r="278" spans="1:14" hidden="1">
      <c r="A278" s="3282">
        <v>277</v>
      </c>
      <c r="B278" s="3283" t="s">
        <v>3177</v>
      </c>
      <c r="C278" s="3283">
        <v>6</v>
      </c>
      <c r="D278" s="3283">
        <v>1614</v>
      </c>
      <c r="E278" s="3285" t="str">
        <f t="shared" si="4"/>
        <v>南-6-1614</v>
      </c>
      <c r="F278" s="3283" t="s">
        <v>3404</v>
      </c>
      <c r="G278" s="3283" t="s">
        <v>3175</v>
      </c>
      <c r="H278" s="3286" t="s">
        <v>3331</v>
      </c>
      <c r="I278" s="3287">
        <v>44.28</v>
      </c>
      <c r="J278" s="3286">
        <v>29.4</v>
      </c>
      <c r="M278" s="3290"/>
      <c r="N278" s="3290"/>
    </row>
    <row r="279" spans="1:14" hidden="1">
      <c r="A279" s="3282">
        <v>278</v>
      </c>
      <c r="B279" s="3283" t="s">
        <v>3177</v>
      </c>
      <c r="C279" s="3283">
        <v>6</v>
      </c>
      <c r="D279" s="3283">
        <v>1615</v>
      </c>
      <c r="E279" s="3285" t="str">
        <f t="shared" si="4"/>
        <v>南-6-1615</v>
      </c>
      <c r="F279" s="3283" t="s">
        <v>3405</v>
      </c>
      <c r="G279" s="3283" t="s">
        <v>3175</v>
      </c>
      <c r="H279" s="3286" t="s">
        <v>3326</v>
      </c>
      <c r="I279" s="3287">
        <v>71.41</v>
      </c>
      <c r="J279" s="3286">
        <v>47.41</v>
      </c>
      <c r="M279" s="3290"/>
      <c r="N279" s="3290"/>
    </row>
    <row r="280" spans="1:14" hidden="1">
      <c r="A280" s="3282">
        <v>279</v>
      </c>
      <c r="B280" s="3283" t="s">
        <v>3177</v>
      </c>
      <c r="C280" s="3283">
        <v>6</v>
      </c>
      <c r="D280" s="3283">
        <v>1702</v>
      </c>
      <c r="E280" s="3285" t="str">
        <f t="shared" si="4"/>
        <v>南-6-1702</v>
      </c>
      <c r="F280" s="3283" t="s">
        <v>3406</v>
      </c>
      <c r="G280" s="3283" t="s">
        <v>3175</v>
      </c>
      <c r="H280" s="3286" t="s">
        <v>3181</v>
      </c>
      <c r="I280" s="3287">
        <v>73.06</v>
      </c>
      <c r="J280" s="3286">
        <v>48.51</v>
      </c>
      <c r="M280" s="3290"/>
      <c r="N280" s="3290"/>
    </row>
    <row r="281" spans="1:14" hidden="1">
      <c r="A281" s="3282">
        <v>280</v>
      </c>
      <c r="B281" s="3283" t="s">
        <v>3177</v>
      </c>
      <c r="C281" s="3283">
        <v>6</v>
      </c>
      <c r="D281" s="3283">
        <v>1704</v>
      </c>
      <c r="E281" s="3285" t="str">
        <f t="shared" si="4"/>
        <v>南-6-1704</v>
      </c>
      <c r="F281" s="3283" t="s">
        <v>3407</v>
      </c>
      <c r="G281" s="3283" t="s">
        <v>3175</v>
      </c>
      <c r="H281" s="3286" t="s">
        <v>3179</v>
      </c>
      <c r="I281" s="3287">
        <v>43.84</v>
      </c>
      <c r="J281" s="3286">
        <v>29.11</v>
      </c>
      <c r="M281" s="3290"/>
      <c r="N281" s="3290"/>
    </row>
    <row r="282" spans="1:14" hidden="1">
      <c r="A282" s="3282">
        <v>281</v>
      </c>
      <c r="B282" s="3283" t="s">
        <v>3177</v>
      </c>
      <c r="C282" s="3283">
        <v>6</v>
      </c>
      <c r="D282" s="3283">
        <v>1705</v>
      </c>
      <c r="E282" s="3285" t="str">
        <f t="shared" si="4"/>
        <v>南-6-1705</v>
      </c>
      <c r="F282" s="3283" t="s">
        <v>3408</v>
      </c>
      <c r="G282" s="3283" t="s">
        <v>3175</v>
      </c>
      <c r="H282" s="3286" t="s">
        <v>3179</v>
      </c>
      <c r="I282" s="3287">
        <v>43.84</v>
      </c>
      <c r="J282" s="3286">
        <v>29.11</v>
      </c>
      <c r="M282" s="3290"/>
      <c r="N282" s="3290"/>
    </row>
    <row r="283" spans="1:14" hidden="1">
      <c r="A283" s="3282">
        <v>282</v>
      </c>
      <c r="B283" s="3283" t="s">
        <v>3177</v>
      </c>
      <c r="C283" s="3283">
        <v>6</v>
      </c>
      <c r="D283" s="3283">
        <v>1706</v>
      </c>
      <c r="E283" s="3285" t="str">
        <f t="shared" si="4"/>
        <v>南-6-1706</v>
      </c>
      <c r="F283" s="3283" t="s">
        <v>3409</v>
      </c>
      <c r="G283" s="3283" t="s">
        <v>3175</v>
      </c>
      <c r="H283" s="3286" t="s">
        <v>3179</v>
      </c>
      <c r="I283" s="3287">
        <v>43.84</v>
      </c>
      <c r="J283" s="3286">
        <v>29.11</v>
      </c>
      <c r="M283" s="3290"/>
      <c r="N283" s="3290"/>
    </row>
    <row r="284" spans="1:14" hidden="1">
      <c r="A284" s="3282">
        <v>283</v>
      </c>
      <c r="B284" s="3283" t="s">
        <v>3177</v>
      </c>
      <c r="C284" s="3283">
        <v>6</v>
      </c>
      <c r="D284" s="3283">
        <v>1708</v>
      </c>
      <c r="E284" s="3285" t="str">
        <f t="shared" si="4"/>
        <v>南-6-1708</v>
      </c>
      <c r="F284" s="3283" t="s">
        <v>3410</v>
      </c>
      <c r="G284" s="3283" t="s">
        <v>3175</v>
      </c>
      <c r="H284" s="3286" t="s">
        <v>3191</v>
      </c>
      <c r="I284" s="3287">
        <v>80.319999999999993</v>
      </c>
      <c r="J284" s="3286">
        <v>53.33</v>
      </c>
      <c r="M284" s="3290"/>
      <c r="N284" s="3290"/>
    </row>
    <row r="285" spans="1:14" hidden="1">
      <c r="A285" s="3282">
        <v>284</v>
      </c>
      <c r="B285" s="3283" t="s">
        <v>3177</v>
      </c>
      <c r="C285" s="3283">
        <v>6</v>
      </c>
      <c r="D285" s="3283">
        <v>1709</v>
      </c>
      <c r="E285" s="3285" t="str">
        <f t="shared" si="4"/>
        <v>南-6-1709</v>
      </c>
      <c r="F285" s="3283" t="s">
        <v>3411</v>
      </c>
      <c r="G285" s="3283" t="s">
        <v>3175</v>
      </c>
      <c r="H285" s="3286" t="s">
        <v>3324</v>
      </c>
      <c r="I285" s="3287">
        <v>62.46</v>
      </c>
      <c r="J285" s="3286">
        <v>41.47</v>
      </c>
      <c r="M285" s="3290"/>
      <c r="N285" s="3290"/>
    </row>
    <row r="286" spans="1:14" hidden="1">
      <c r="A286" s="3282">
        <v>285</v>
      </c>
      <c r="B286" s="3283" t="s">
        <v>3177</v>
      </c>
      <c r="C286" s="3283">
        <v>6</v>
      </c>
      <c r="D286" s="3283">
        <v>1710</v>
      </c>
      <c r="E286" s="3285" t="str">
        <f t="shared" si="4"/>
        <v>南-6-1710</v>
      </c>
      <c r="F286" s="3283" t="s">
        <v>3412</v>
      </c>
      <c r="G286" s="3283" t="s">
        <v>3175</v>
      </c>
      <c r="H286" s="3286" t="s">
        <v>3326</v>
      </c>
      <c r="I286" s="3287">
        <v>71.41</v>
      </c>
      <c r="J286" s="3286">
        <v>47.41</v>
      </c>
      <c r="M286" s="3290"/>
      <c r="N286" s="3290"/>
    </row>
    <row r="287" spans="1:14" hidden="1">
      <c r="A287" s="3282">
        <v>286</v>
      </c>
      <c r="B287" s="3283" t="s">
        <v>3177</v>
      </c>
      <c r="C287" s="3283">
        <v>6</v>
      </c>
      <c r="D287" s="3283">
        <v>1711</v>
      </c>
      <c r="E287" s="3285" t="str">
        <f t="shared" si="4"/>
        <v>南-6-1711</v>
      </c>
      <c r="F287" s="3283" t="s">
        <v>3413</v>
      </c>
      <c r="G287" s="3283" t="s">
        <v>3175</v>
      </c>
      <c r="H287" s="3286" t="s">
        <v>3184</v>
      </c>
      <c r="I287" s="3287">
        <v>88.56</v>
      </c>
      <c r="J287" s="3286">
        <v>58.8</v>
      </c>
      <c r="M287" s="3290"/>
      <c r="N287" s="3290"/>
    </row>
    <row r="288" spans="1:14" hidden="1">
      <c r="A288" s="3282">
        <v>287</v>
      </c>
      <c r="B288" s="3283" t="s">
        <v>3177</v>
      </c>
      <c r="C288" s="3283">
        <v>6</v>
      </c>
      <c r="D288" s="3283">
        <v>1712</v>
      </c>
      <c r="E288" s="3285" t="str">
        <f t="shared" si="4"/>
        <v>南-6-1712</v>
      </c>
      <c r="F288" s="3283" t="s">
        <v>3414</v>
      </c>
      <c r="G288" s="3283" t="s">
        <v>3175</v>
      </c>
      <c r="H288" s="3286" t="s">
        <v>3184</v>
      </c>
      <c r="I288" s="3287">
        <v>88.56</v>
      </c>
      <c r="J288" s="3286">
        <v>58.8</v>
      </c>
      <c r="M288" s="3290"/>
      <c r="N288" s="3290"/>
    </row>
    <row r="289" spans="1:14" hidden="1">
      <c r="A289" s="3282">
        <v>288</v>
      </c>
      <c r="B289" s="3283" t="s">
        <v>3177</v>
      </c>
      <c r="C289" s="3283">
        <v>6</v>
      </c>
      <c r="D289" s="3283">
        <v>1713</v>
      </c>
      <c r="E289" s="3285" t="str">
        <f t="shared" si="4"/>
        <v>南-6-1713</v>
      </c>
      <c r="F289" s="3283" t="s">
        <v>3415</v>
      </c>
      <c r="G289" s="3283" t="s">
        <v>3175</v>
      </c>
      <c r="H289" s="3286" t="s">
        <v>3184</v>
      </c>
      <c r="I289" s="3287">
        <v>88.56</v>
      </c>
      <c r="J289" s="3286">
        <v>58.8</v>
      </c>
      <c r="M289" s="3290"/>
      <c r="N289" s="3290"/>
    </row>
    <row r="290" spans="1:14" hidden="1">
      <c r="A290" s="3282">
        <v>289</v>
      </c>
      <c r="B290" s="3283" t="s">
        <v>3177</v>
      </c>
      <c r="C290" s="3283">
        <v>6</v>
      </c>
      <c r="D290" s="3283">
        <v>1714</v>
      </c>
      <c r="E290" s="3285" t="str">
        <f t="shared" si="4"/>
        <v>南-6-1714</v>
      </c>
      <c r="F290" s="3283" t="s">
        <v>3416</v>
      </c>
      <c r="G290" s="3283" t="s">
        <v>3175</v>
      </c>
      <c r="H290" s="3286" t="s">
        <v>3331</v>
      </c>
      <c r="I290" s="3287">
        <v>44.28</v>
      </c>
      <c r="J290" s="3286">
        <v>29.4</v>
      </c>
      <c r="M290" s="3290"/>
      <c r="N290" s="3290"/>
    </row>
    <row r="291" spans="1:14" hidden="1">
      <c r="A291" s="3282">
        <v>290</v>
      </c>
      <c r="B291" s="3283" t="s">
        <v>3177</v>
      </c>
      <c r="C291" s="3283">
        <v>6</v>
      </c>
      <c r="D291" s="3283">
        <v>1715</v>
      </c>
      <c r="E291" s="3285" t="str">
        <f t="shared" si="4"/>
        <v>南-6-1715</v>
      </c>
      <c r="F291" s="3283" t="s">
        <v>3417</v>
      </c>
      <c r="G291" s="3283" t="s">
        <v>3175</v>
      </c>
      <c r="H291" s="3286" t="s">
        <v>3333</v>
      </c>
      <c r="I291" s="3287">
        <v>71.47</v>
      </c>
      <c r="J291" s="3286">
        <v>47.45</v>
      </c>
      <c r="M291" s="3290"/>
      <c r="N291" s="3290"/>
    </row>
    <row r="292" spans="1:14" hidden="1">
      <c r="A292" s="3282">
        <v>291</v>
      </c>
      <c r="B292" s="3283" t="s">
        <v>3177</v>
      </c>
      <c r="C292" s="3283">
        <v>6</v>
      </c>
      <c r="D292" s="3283">
        <v>1716</v>
      </c>
      <c r="E292" s="3285" t="str">
        <f t="shared" si="4"/>
        <v>南-6-1716</v>
      </c>
      <c r="F292" s="3283" t="s">
        <v>3418</v>
      </c>
      <c r="G292" s="3283" t="s">
        <v>3175</v>
      </c>
      <c r="H292" s="3286" t="s">
        <v>3176</v>
      </c>
      <c r="I292" s="3287">
        <v>62.46</v>
      </c>
      <c r="J292" s="3286">
        <v>41.47</v>
      </c>
      <c r="M292" s="3290"/>
      <c r="N292" s="3290"/>
    </row>
    <row r="293" spans="1:14" hidden="1">
      <c r="A293" s="3282">
        <v>292</v>
      </c>
      <c r="B293" s="3283" t="s">
        <v>3177</v>
      </c>
      <c r="C293" s="3283">
        <v>7</v>
      </c>
      <c r="D293" s="3283">
        <v>101</v>
      </c>
      <c r="E293" s="3285" t="str">
        <f t="shared" si="4"/>
        <v>南-7-101</v>
      </c>
      <c r="F293" s="3283" t="s">
        <v>3419</v>
      </c>
      <c r="G293" s="3283" t="s">
        <v>3420</v>
      </c>
      <c r="H293" s="3286"/>
      <c r="I293" s="3287">
        <v>86.33</v>
      </c>
      <c r="J293" s="3286">
        <v>57.76</v>
      </c>
    </row>
    <row r="294" spans="1:14" hidden="1">
      <c r="A294" s="3282">
        <v>293</v>
      </c>
      <c r="B294" s="3283" t="s">
        <v>3177</v>
      </c>
      <c r="C294" s="3283">
        <v>7</v>
      </c>
      <c r="D294" s="3283">
        <v>102</v>
      </c>
      <c r="E294" s="3285" t="str">
        <f t="shared" si="4"/>
        <v>南-7-102</v>
      </c>
      <c r="F294" s="3283" t="s">
        <v>3421</v>
      </c>
      <c r="G294" s="3283" t="s">
        <v>3420</v>
      </c>
      <c r="H294" s="3286"/>
      <c r="I294" s="3287">
        <v>45.14</v>
      </c>
      <c r="J294" s="3286">
        <v>30.2</v>
      </c>
    </row>
    <row r="295" spans="1:14" hidden="1">
      <c r="A295" s="3282">
        <v>294</v>
      </c>
      <c r="B295" s="3283" t="s">
        <v>3177</v>
      </c>
      <c r="C295" s="3283">
        <v>7</v>
      </c>
      <c r="D295" s="3283">
        <v>103</v>
      </c>
      <c r="E295" s="3285" t="str">
        <f t="shared" si="4"/>
        <v>南-7-103</v>
      </c>
      <c r="F295" s="3283" t="s">
        <v>3422</v>
      </c>
      <c r="G295" s="3283" t="s">
        <v>3420</v>
      </c>
      <c r="H295" s="3286"/>
      <c r="I295" s="3287">
        <v>74.48</v>
      </c>
      <c r="J295" s="3286">
        <v>49.83</v>
      </c>
    </row>
    <row r="296" spans="1:14" hidden="1">
      <c r="A296" s="3282">
        <v>295</v>
      </c>
      <c r="B296" s="3283" t="s">
        <v>3177</v>
      </c>
      <c r="C296" s="3283">
        <v>7</v>
      </c>
      <c r="D296" s="3283">
        <v>104</v>
      </c>
      <c r="E296" s="3285" t="str">
        <f t="shared" si="4"/>
        <v>南-7-104</v>
      </c>
      <c r="F296" s="3283" t="s">
        <v>3423</v>
      </c>
      <c r="G296" s="3283" t="s">
        <v>3420</v>
      </c>
      <c r="H296" s="3286"/>
      <c r="I296" s="3287">
        <v>74.48</v>
      </c>
      <c r="J296" s="3286">
        <v>49.83</v>
      </c>
    </row>
    <row r="297" spans="1:14" hidden="1">
      <c r="A297" s="3282">
        <v>296</v>
      </c>
      <c r="B297" s="3283" t="s">
        <v>3177</v>
      </c>
      <c r="C297" s="3283">
        <v>7</v>
      </c>
      <c r="D297" s="3283">
        <v>105</v>
      </c>
      <c r="E297" s="3285" t="str">
        <f t="shared" si="4"/>
        <v>南-7-105</v>
      </c>
      <c r="F297" s="3283" t="s">
        <v>3424</v>
      </c>
      <c r="G297" s="3283" t="s">
        <v>3425</v>
      </c>
      <c r="H297" s="3286"/>
      <c r="I297" s="3287">
        <v>74.48</v>
      </c>
      <c r="J297" s="3286">
        <v>49.83</v>
      </c>
    </row>
    <row r="298" spans="1:14" hidden="1">
      <c r="A298" s="3282">
        <v>297</v>
      </c>
      <c r="B298" s="3283" t="s">
        <v>3154</v>
      </c>
      <c r="C298" s="3283">
        <v>7</v>
      </c>
      <c r="D298" s="3283">
        <v>106</v>
      </c>
      <c r="E298" s="3285" t="str">
        <f t="shared" si="4"/>
        <v>南-7-106</v>
      </c>
      <c r="F298" s="3283" t="s">
        <v>3426</v>
      </c>
      <c r="G298" s="3283" t="s">
        <v>3420</v>
      </c>
      <c r="H298" s="3286"/>
      <c r="I298" s="3287">
        <v>86.33</v>
      </c>
      <c r="J298" s="3286">
        <v>57.76</v>
      </c>
    </row>
    <row r="299" spans="1:14" hidden="1">
      <c r="A299" s="3282">
        <v>298</v>
      </c>
      <c r="B299" s="3283" t="s">
        <v>3177</v>
      </c>
      <c r="C299" s="3283">
        <v>7</v>
      </c>
      <c r="D299" s="3283">
        <v>201</v>
      </c>
      <c r="E299" s="3285" t="str">
        <f t="shared" si="4"/>
        <v>南-7-201</v>
      </c>
      <c r="F299" s="3283" t="s">
        <v>3427</v>
      </c>
      <c r="G299" s="3283" t="s">
        <v>3428</v>
      </c>
      <c r="H299" s="3286"/>
      <c r="I299" s="3287">
        <v>79.650000000000006</v>
      </c>
      <c r="J299" s="3286">
        <v>53.29</v>
      </c>
    </row>
    <row r="300" spans="1:14" hidden="1">
      <c r="A300" s="3282">
        <v>299</v>
      </c>
      <c r="B300" s="3283" t="s">
        <v>3262</v>
      </c>
      <c r="C300" s="3283">
        <v>7</v>
      </c>
      <c r="D300" s="3283">
        <v>202</v>
      </c>
      <c r="E300" s="3285" t="str">
        <f t="shared" si="4"/>
        <v>南-7-202</v>
      </c>
      <c r="F300" s="3283" t="s">
        <v>3429</v>
      </c>
      <c r="G300" s="3283" t="s">
        <v>3430</v>
      </c>
      <c r="H300" s="3286"/>
      <c r="I300" s="3287">
        <v>56.59</v>
      </c>
      <c r="J300" s="3286">
        <v>37.86</v>
      </c>
    </row>
    <row r="301" spans="1:14" hidden="1">
      <c r="A301" s="3282">
        <v>300</v>
      </c>
      <c r="B301" s="3283" t="s">
        <v>3270</v>
      </c>
      <c r="C301" s="3283">
        <v>7</v>
      </c>
      <c r="D301" s="3283">
        <v>203</v>
      </c>
      <c r="E301" s="3285" t="str">
        <f t="shared" si="4"/>
        <v>南-7-203</v>
      </c>
      <c r="F301" s="3283" t="s">
        <v>3431</v>
      </c>
      <c r="G301" s="3283" t="s">
        <v>3428</v>
      </c>
      <c r="H301" s="3286"/>
      <c r="I301" s="3287">
        <v>79.709999999999994</v>
      </c>
      <c r="J301" s="3286">
        <v>53.33</v>
      </c>
    </row>
    <row r="302" spans="1:14" hidden="1">
      <c r="A302" s="3282">
        <v>301</v>
      </c>
      <c r="B302" s="3283" t="s">
        <v>3262</v>
      </c>
      <c r="C302" s="3283">
        <v>7</v>
      </c>
      <c r="D302" s="3283">
        <v>204</v>
      </c>
      <c r="E302" s="3285" t="str">
        <f t="shared" si="4"/>
        <v>南-7-204</v>
      </c>
      <c r="F302" s="3283" t="s">
        <v>3432</v>
      </c>
      <c r="G302" s="3283" t="s">
        <v>3428</v>
      </c>
      <c r="H302" s="3286"/>
      <c r="I302" s="3287">
        <v>43.94</v>
      </c>
      <c r="J302" s="3286">
        <v>29.4</v>
      </c>
    </row>
    <row r="303" spans="1:14" hidden="1">
      <c r="A303" s="3282">
        <v>302</v>
      </c>
      <c r="B303" s="3283" t="s">
        <v>3262</v>
      </c>
      <c r="C303" s="3283">
        <v>7</v>
      </c>
      <c r="D303" s="3283">
        <v>205</v>
      </c>
      <c r="E303" s="3285" t="str">
        <f t="shared" si="4"/>
        <v>南-7-205</v>
      </c>
      <c r="F303" s="3283" t="s">
        <v>3433</v>
      </c>
      <c r="G303" s="3283" t="s">
        <v>3428</v>
      </c>
      <c r="H303" s="3286"/>
      <c r="I303" s="3287">
        <v>72.510000000000005</v>
      </c>
      <c r="J303" s="3286">
        <v>48.51</v>
      </c>
    </row>
    <row r="304" spans="1:14" hidden="1">
      <c r="A304" s="3282">
        <v>303</v>
      </c>
      <c r="B304" s="3283" t="s">
        <v>3262</v>
      </c>
      <c r="C304" s="3283">
        <v>7</v>
      </c>
      <c r="D304" s="3283">
        <v>206</v>
      </c>
      <c r="E304" s="3285" t="str">
        <f t="shared" si="4"/>
        <v>南-7-206</v>
      </c>
      <c r="F304" s="3283" t="s">
        <v>3434</v>
      </c>
      <c r="G304" s="3283" t="s">
        <v>3428</v>
      </c>
      <c r="H304" s="3286"/>
      <c r="I304" s="3287">
        <v>72.510000000000005</v>
      </c>
      <c r="J304" s="3286">
        <v>48.51</v>
      </c>
    </row>
    <row r="305" spans="1:10" hidden="1">
      <c r="A305" s="3282">
        <v>304</v>
      </c>
      <c r="B305" s="3283" t="s">
        <v>3262</v>
      </c>
      <c r="C305" s="3283">
        <v>7</v>
      </c>
      <c r="D305" s="3283">
        <v>207</v>
      </c>
      <c r="E305" s="3285" t="str">
        <f t="shared" si="4"/>
        <v>南-7-207</v>
      </c>
      <c r="F305" s="3283" t="s">
        <v>3435</v>
      </c>
      <c r="G305" s="3283" t="s">
        <v>3428</v>
      </c>
      <c r="H305" s="3286"/>
      <c r="I305" s="3287">
        <v>72.510000000000005</v>
      </c>
      <c r="J305" s="3286">
        <v>48.51</v>
      </c>
    </row>
    <row r="306" spans="1:10" hidden="1">
      <c r="A306" s="3282">
        <v>305</v>
      </c>
      <c r="B306" s="3283" t="s">
        <v>3262</v>
      </c>
      <c r="C306" s="3283">
        <v>7</v>
      </c>
      <c r="D306" s="3283">
        <v>208</v>
      </c>
      <c r="E306" s="3285" t="str">
        <f t="shared" si="4"/>
        <v>南-7-208</v>
      </c>
      <c r="F306" s="3283" t="s">
        <v>3436</v>
      </c>
      <c r="G306" s="3283" t="s">
        <v>3428</v>
      </c>
      <c r="H306" s="3286"/>
      <c r="I306" s="3287">
        <v>72.510000000000005</v>
      </c>
      <c r="J306" s="3286">
        <v>48.51</v>
      </c>
    </row>
    <row r="307" spans="1:10" hidden="1">
      <c r="A307" s="3282">
        <v>306</v>
      </c>
      <c r="B307" s="3283" t="s">
        <v>3262</v>
      </c>
      <c r="C307" s="3283">
        <v>7</v>
      </c>
      <c r="D307" s="3283">
        <v>209</v>
      </c>
      <c r="E307" s="3285" t="str">
        <f t="shared" si="4"/>
        <v>南-7-209</v>
      </c>
      <c r="F307" s="3283" t="s">
        <v>3437</v>
      </c>
      <c r="G307" s="3283" t="s">
        <v>3438</v>
      </c>
      <c r="H307" s="3286"/>
      <c r="I307" s="3287">
        <v>79.44</v>
      </c>
      <c r="J307" s="3286">
        <v>53.15</v>
      </c>
    </row>
    <row r="308" spans="1:10" hidden="1">
      <c r="A308" s="3282">
        <v>307</v>
      </c>
      <c r="B308" s="3283" t="s">
        <v>3439</v>
      </c>
      <c r="C308" s="3283">
        <v>7</v>
      </c>
      <c r="D308" s="3283">
        <v>210</v>
      </c>
      <c r="E308" s="3285" t="str">
        <f t="shared" si="4"/>
        <v>南-7-210</v>
      </c>
      <c r="F308" s="3283" t="s">
        <v>3440</v>
      </c>
      <c r="G308" s="3283" t="s">
        <v>3441</v>
      </c>
      <c r="H308" s="3286"/>
      <c r="I308" s="3287">
        <v>56.59</v>
      </c>
      <c r="J308" s="3286">
        <v>37.86</v>
      </c>
    </row>
    <row r="309" spans="1:10" hidden="1">
      <c r="A309" s="3282">
        <v>308</v>
      </c>
      <c r="B309" s="3283" t="s">
        <v>3442</v>
      </c>
      <c r="C309" s="3283">
        <v>7</v>
      </c>
      <c r="D309" s="3283">
        <v>211</v>
      </c>
      <c r="E309" s="3285" t="str">
        <f t="shared" si="4"/>
        <v>南-7-211</v>
      </c>
      <c r="F309" s="3283" t="s">
        <v>3443</v>
      </c>
      <c r="G309" s="3283" t="s">
        <v>3428</v>
      </c>
      <c r="H309" s="3286"/>
      <c r="I309" s="3287">
        <v>79.709999999999994</v>
      </c>
      <c r="J309" s="3286">
        <v>53.33</v>
      </c>
    </row>
    <row r="310" spans="1:10" hidden="1">
      <c r="A310" s="3282">
        <v>309</v>
      </c>
      <c r="B310" s="3283" t="s">
        <v>3262</v>
      </c>
      <c r="C310" s="3283">
        <v>7</v>
      </c>
      <c r="D310" s="3283">
        <v>212</v>
      </c>
      <c r="E310" s="3285" t="str">
        <f t="shared" si="4"/>
        <v>南-7-212</v>
      </c>
      <c r="F310" s="3283" t="s">
        <v>3444</v>
      </c>
      <c r="G310" s="3283" t="s">
        <v>3428</v>
      </c>
      <c r="H310" s="3286"/>
      <c r="I310" s="3287">
        <v>72.510000000000005</v>
      </c>
      <c r="J310" s="3286">
        <v>48.51</v>
      </c>
    </row>
    <row r="311" spans="1:10" hidden="1">
      <c r="A311" s="3282">
        <v>310</v>
      </c>
      <c r="B311" s="3283" t="s">
        <v>3262</v>
      </c>
      <c r="C311" s="3283">
        <v>7</v>
      </c>
      <c r="D311" s="3283">
        <v>213</v>
      </c>
      <c r="E311" s="3285" t="str">
        <f t="shared" si="4"/>
        <v>南-7-213</v>
      </c>
      <c r="F311" s="3283" t="s">
        <v>3445</v>
      </c>
      <c r="G311" s="3283" t="s">
        <v>3446</v>
      </c>
      <c r="H311" s="3286"/>
      <c r="I311" s="3287">
        <v>72.510000000000005</v>
      </c>
      <c r="J311" s="3286">
        <v>48.51</v>
      </c>
    </row>
    <row r="312" spans="1:10" hidden="1">
      <c r="A312" s="3282">
        <v>311</v>
      </c>
      <c r="B312" s="3283" t="s">
        <v>3447</v>
      </c>
      <c r="C312" s="3283">
        <v>7</v>
      </c>
      <c r="D312" s="3283">
        <v>214</v>
      </c>
      <c r="E312" s="3285" t="str">
        <f t="shared" si="4"/>
        <v>南-7-214</v>
      </c>
      <c r="F312" s="3283" t="s">
        <v>3448</v>
      </c>
      <c r="G312" s="3283" t="s">
        <v>3428</v>
      </c>
      <c r="H312" s="3286"/>
      <c r="I312" s="3287">
        <v>72.510000000000005</v>
      </c>
      <c r="J312" s="3286">
        <v>48.51</v>
      </c>
    </row>
    <row r="313" spans="1:10" hidden="1">
      <c r="A313" s="3282">
        <v>312</v>
      </c>
      <c r="B313" s="3283" t="s">
        <v>3262</v>
      </c>
      <c r="C313" s="3283">
        <v>7</v>
      </c>
      <c r="D313" s="3283">
        <v>215</v>
      </c>
      <c r="E313" s="3285" t="str">
        <f t="shared" si="4"/>
        <v>南-7-215</v>
      </c>
      <c r="F313" s="3283" t="s">
        <v>3449</v>
      </c>
      <c r="G313" s="3283" t="s">
        <v>3450</v>
      </c>
      <c r="H313" s="3286"/>
      <c r="I313" s="3287">
        <v>72.510000000000005</v>
      </c>
      <c r="J313" s="3286">
        <v>48.51</v>
      </c>
    </row>
    <row r="314" spans="1:10" hidden="1">
      <c r="A314" s="3282">
        <v>313</v>
      </c>
      <c r="B314" s="3283" t="s">
        <v>3451</v>
      </c>
      <c r="C314" s="3283">
        <v>7</v>
      </c>
      <c r="D314" s="3283">
        <v>216</v>
      </c>
      <c r="E314" s="3285" t="str">
        <f t="shared" si="4"/>
        <v>南-7-216</v>
      </c>
      <c r="F314" s="3283" t="s">
        <v>3452</v>
      </c>
      <c r="G314" s="3283" t="s">
        <v>3446</v>
      </c>
      <c r="H314" s="3286"/>
      <c r="I314" s="3287">
        <v>43.94</v>
      </c>
      <c r="J314" s="3286">
        <v>29.4</v>
      </c>
    </row>
    <row r="315" spans="1:10" hidden="1">
      <c r="A315" s="3282">
        <v>314</v>
      </c>
      <c r="B315" s="3283" t="s">
        <v>3447</v>
      </c>
      <c r="C315" s="3283">
        <v>7</v>
      </c>
      <c r="D315" s="3283">
        <v>301</v>
      </c>
      <c r="E315" s="3285" t="str">
        <f t="shared" si="4"/>
        <v>南-7-301</v>
      </c>
      <c r="F315" s="3283" t="s">
        <v>3453</v>
      </c>
      <c r="G315" s="3283" t="s">
        <v>3428</v>
      </c>
      <c r="H315" s="3286"/>
      <c r="I315" s="3287">
        <v>79.709999999999994</v>
      </c>
      <c r="J315" s="3286">
        <v>53.33</v>
      </c>
    </row>
    <row r="316" spans="1:10" hidden="1">
      <c r="A316" s="3282">
        <v>315</v>
      </c>
      <c r="B316" s="3283" t="s">
        <v>3262</v>
      </c>
      <c r="C316" s="3283">
        <v>7</v>
      </c>
      <c r="D316" s="3283">
        <v>302</v>
      </c>
      <c r="E316" s="3285" t="str">
        <f t="shared" si="4"/>
        <v>南-7-302</v>
      </c>
      <c r="F316" s="3283" t="s">
        <v>3454</v>
      </c>
      <c r="G316" s="3283" t="s">
        <v>3430</v>
      </c>
      <c r="H316" s="3286"/>
      <c r="I316" s="3287">
        <v>56.59</v>
      </c>
      <c r="J316" s="3286">
        <v>37.86</v>
      </c>
    </row>
    <row r="317" spans="1:10" hidden="1">
      <c r="A317" s="3282">
        <v>316</v>
      </c>
      <c r="B317" s="3283" t="s">
        <v>3270</v>
      </c>
      <c r="C317" s="3283">
        <v>7</v>
      </c>
      <c r="D317" s="3283">
        <v>303</v>
      </c>
      <c r="E317" s="3285" t="str">
        <f t="shared" si="4"/>
        <v>南-7-303</v>
      </c>
      <c r="F317" s="3283" t="s">
        <v>3455</v>
      </c>
      <c r="G317" s="3283" t="s">
        <v>3456</v>
      </c>
      <c r="H317" s="3286"/>
      <c r="I317" s="3287">
        <v>79.650000000000006</v>
      </c>
      <c r="J317" s="3286">
        <v>53.29</v>
      </c>
    </row>
    <row r="318" spans="1:10" hidden="1">
      <c r="A318" s="3282">
        <v>317</v>
      </c>
      <c r="B318" s="3283" t="s">
        <v>3457</v>
      </c>
      <c r="C318" s="3283">
        <v>7</v>
      </c>
      <c r="D318" s="3283">
        <v>304</v>
      </c>
      <c r="E318" s="3285" t="str">
        <f t="shared" si="4"/>
        <v>南-7-304</v>
      </c>
      <c r="F318" s="3283" t="s">
        <v>3458</v>
      </c>
      <c r="G318" s="3283" t="s">
        <v>3428</v>
      </c>
      <c r="H318" s="3286"/>
      <c r="I318" s="3287">
        <v>43.94</v>
      </c>
      <c r="J318" s="3286">
        <v>29.4</v>
      </c>
    </row>
    <row r="319" spans="1:10" hidden="1">
      <c r="A319" s="3282">
        <v>318</v>
      </c>
      <c r="B319" s="3283" t="s">
        <v>3262</v>
      </c>
      <c r="C319" s="3283">
        <v>7</v>
      </c>
      <c r="D319" s="3283">
        <v>305</v>
      </c>
      <c r="E319" s="3285" t="str">
        <f t="shared" si="4"/>
        <v>南-7-305</v>
      </c>
      <c r="F319" s="3283" t="s">
        <v>3459</v>
      </c>
      <c r="G319" s="3283" t="s">
        <v>3428</v>
      </c>
      <c r="H319" s="3286"/>
      <c r="I319" s="3287">
        <v>72.510000000000005</v>
      </c>
      <c r="J319" s="3286">
        <v>48.51</v>
      </c>
    </row>
    <row r="320" spans="1:10" hidden="1">
      <c r="A320" s="3282">
        <v>319</v>
      </c>
      <c r="B320" s="3283" t="s">
        <v>3262</v>
      </c>
      <c r="C320" s="3283">
        <v>7</v>
      </c>
      <c r="D320" s="3283">
        <v>306</v>
      </c>
      <c r="E320" s="3285" t="str">
        <f t="shared" si="4"/>
        <v>南-7-306</v>
      </c>
      <c r="F320" s="3283" t="s">
        <v>3460</v>
      </c>
      <c r="G320" s="3283" t="s">
        <v>3428</v>
      </c>
      <c r="H320" s="3286"/>
      <c r="I320" s="3287">
        <v>72.510000000000005</v>
      </c>
      <c r="J320" s="3286">
        <v>48.51</v>
      </c>
    </row>
    <row r="321" spans="1:10" hidden="1">
      <c r="A321" s="3282">
        <v>320</v>
      </c>
      <c r="B321" s="3283" t="s">
        <v>3262</v>
      </c>
      <c r="C321" s="3283">
        <v>7</v>
      </c>
      <c r="D321" s="3283">
        <v>307</v>
      </c>
      <c r="E321" s="3285" t="str">
        <f t="shared" si="4"/>
        <v>南-7-307</v>
      </c>
      <c r="F321" s="3283" t="s">
        <v>3461</v>
      </c>
      <c r="G321" s="3283" t="s">
        <v>3430</v>
      </c>
      <c r="H321" s="3286"/>
      <c r="I321" s="3287">
        <v>72.510000000000005</v>
      </c>
      <c r="J321" s="3286">
        <v>48.51</v>
      </c>
    </row>
    <row r="322" spans="1:10" hidden="1">
      <c r="A322" s="3282">
        <v>321</v>
      </c>
      <c r="B322" s="3283" t="s">
        <v>3270</v>
      </c>
      <c r="C322" s="3283">
        <v>7</v>
      </c>
      <c r="D322" s="3283">
        <v>308</v>
      </c>
      <c r="E322" s="3285" t="str">
        <f t="shared" si="4"/>
        <v>南-7-308</v>
      </c>
      <c r="F322" s="3283" t="s">
        <v>3462</v>
      </c>
      <c r="G322" s="3283" t="s">
        <v>3463</v>
      </c>
      <c r="H322" s="3286"/>
      <c r="I322" s="3287">
        <v>72.510000000000005</v>
      </c>
      <c r="J322" s="3286">
        <v>48.51</v>
      </c>
    </row>
    <row r="323" spans="1:10" hidden="1">
      <c r="A323" s="3282">
        <v>322</v>
      </c>
      <c r="B323" s="3283" t="s">
        <v>3464</v>
      </c>
      <c r="C323" s="3283">
        <v>7</v>
      </c>
      <c r="D323" s="3283">
        <v>309</v>
      </c>
      <c r="E323" s="3285" t="str">
        <f t="shared" ref="E323:E386" si="5">B323&amp;-C323&amp;"-"&amp;D323</f>
        <v>南-7-309</v>
      </c>
      <c r="F323" s="3283" t="s">
        <v>3465</v>
      </c>
      <c r="G323" s="3283" t="s">
        <v>3428</v>
      </c>
      <c r="H323" s="3286"/>
      <c r="I323" s="3287">
        <v>79.709999999999994</v>
      </c>
      <c r="J323" s="3286">
        <v>53.33</v>
      </c>
    </row>
    <row r="324" spans="1:10" hidden="1">
      <c r="A324" s="3282">
        <v>323</v>
      </c>
      <c r="B324" s="3283" t="s">
        <v>3262</v>
      </c>
      <c r="C324" s="3283">
        <v>7</v>
      </c>
      <c r="D324" s="3283">
        <v>310</v>
      </c>
      <c r="E324" s="3285" t="str">
        <f t="shared" si="5"/>
        <v>南-7-310</v>
      </c>
      <c r="F324" s="3283" t="s">
        <v>3466</v>
      </c>
      <c r="G324" s="3283" t="s">
        <v>3428</v>
      </c>
      <c r="H324" s="3286"/>
      <c r="I324" s="3287">
        <v>56.59</v>
      </c>
      <c r="J324" s="3286">
        <v>37.86</v>
      </c>
    </row>
    <row r="325" spans="1:10" hidden="1">
      <c r="A325" s="3282">
        <v>324</v>
      </c>
      <c r="B325" s="3283" t="s">
        <v>3262</v>
      </c>
      <c r="C325" s="3283">
        <v>7</v>
      </c>
      <c r="D325" s="3283">
        <v>311</v>
      </c>
      <c r="E325" s="3285" t="str">
        <f t="shared" si="5"/>
        <v>南-7-311</v>
      </c>
      <c r="F325" s="3283" t="s">
        <v>3467</v>
      </c>
      <c r="G325" s="3283" t="s">
        <v>3428</v>
      </c>
      <c r="H325" s="3286"/>
      <c r="I325" s="3287">
        <v>79.650000000000006</v>
      </c>
      <c r="J325" s="3286">
        <v>53.29</v>
      </c>
    </row>
    <row r="326" spans="1:10" hidden="1">
      <c r="A326" s="3282">
        <v>325</v>
      </c>
      <c r="B326" s="3283" t="s">
        <v>3262</v>
      </c>
      <c r="C326" s="3283">
        <v>7</v>
      </c>
      <c r="D326" s="3283">
        <v>312</v>
      </c>
      <c r="E326" s="3285" t="str">
        <f t="shared" si="5"/>
        <v>南-7-312</v>
      </c>
      <c r="F326" s="3283" t="s">
        <v>3468</v>
      </c>
      <c r="G326" s="3283" t="s">
        <v>3430</v>
      </c>
      <c r="H326" s="3286"/>
      <c r="I326" s="3287">
        <v>72.510000000000005</v>
      </c>
      <c r="J326" s="3286">
        <v>48.51</v>
      </c>
    </row>
    <row r="327" spans="1:10" hidden="1">
      <c r="A327" s="3282">
        <v>326</v>
      </c>
      <c r="B327" s="3283" t="s">
        <v>3270</v>
      </c>
      <c r="C327" s="3283">
        <v>7</v>
      </c>
      <c r="D327" s="3283">
        <v>313</v>
      </c>
      <c r="E327" s="3285" t="str">
        <f t="shared" si="5"/>
        <v>南-7-313</v>
      </c>
      <c r="F327" s="3283" t="s">
        <v>3469</v>
      </c>
      <c r="G327" s="3283" t="s">
        <v>3428</v>
      </c>
      <c r="H327" s="3286"/>
      <c r="I327" s="3287">
        <v>72.510000000000005</v>
      </c>
      <c r="J327" s="3286">
        <v>48.51</v>
      </c>
    </row>
    <row r="328" spans="1:10" hidden="1">
      <c r="A328" s="3282">
        <v>327</v>
      </c>
      <c r="B328" s="3283" t="s">
        <v>3262</v>
      </c>
      <c r="C328" s="3283">
        <v>7</v>
      </c>
      <c r="D328" s="3283">
        <v>314</v>
      </c>
      <c r="E328" s="3285" t="str">
        <f t="shared" si="5"/>
        <v>南-7-314</v>
      </c>
      <c r="F328" s="3283" t="s">
        <v>3470</v>
      </c>
      <c r="G328" s="3283" t="s">
        <v>3428</v>
      </c>
      <c r="H328" s="3286"/>
      <c r="I328" s="3287">
        <v>72.510000000000005</v>
      </c>
      <c r="J328" s="3286">
        <v>48.51</v>
      </c>
    </row>
    <row r="329" spans="1:10" hidden="1">
      <c r="A329" s="3282">
        <v>328</v>
      </c>
      <c r="B329" s="3283" t="s">
        <v>3262</v>
      </c>
      <c r="C329" s="3283">
        <v>7</v>
      </c>
      <c r="D329" s="3283">
        <v>315</v>
      </c>
      <c r="E329" s="3285" t="str">
        <f t="shared" si="5"/>
        <v>南-7-315</v>
      </c>
      <c r="F329" s="3283" t="s">
        <v>3471</v>
      </c>
      <c r="G329" s="3283" t="s">
        <v>3428</v>
      </c>
      <c r="H329" s="3286"/>
      <c r="I329" s="3287">
        <v>72.510000000000005</v>
      </c>
      <c r="J329" s="3286">
        <v>48.51</v>
      </c>
    </row>
    <row r="330" spans="1:10" hidden="1">
      <c r="A330" s="3282">
        <v>329</v>
      </c>
      <c r="B330" s="3283" t="s">
        <v>3262</v>
      </c>
      <c r="C330" s="3283">
        <v>7</v>
      </c>
      <c r="D330" s="3283">
        <v>316</v>
      </c>
      <c r="E330" s="3285" t="str">
        <f t="shared" si="5"/>
        <v>南-7-316</v>
      </c>
      <c r="F330" s="3283" t="s">
        <v>3472</v>
      </c>
      <c r="G330" s="3283" t="s">
        <v>3428</v>
      </c>
      <c r="H330" s="3286"/>
      <c r="I330" s="3287">
        <v>43.94</v>
      </c>
      <c r="J330" s="3286">
        <v>29.4</v>
      </c>
    </row>
    <row r="331" spans="1:10" hidden="1">
      <c r="A331" s="3282">
        <v>330</v>
      </c>
      <c r="B331" s="3283" t="s">
        <v>3262</v>
      </c>
      <c r="C331" s="3283">
        <v>7</v>
      </c>
      <c r="D331" s="3283">
        <v>401</v>
      </c>
      <c r="E331" s="3285" t="str">
        <f t="shared" si="5"/>
        <v>南-7-401</v>
      </c>
      <c r="F331" s="3283" t="s">
        <v>3473</v>
      </c>
      <c r="G331" s="3283" t="s">
        <v>3430</v>
      </c>
      <c r="H331" s="3286"/>
      <c r="I331" s="3287">
        <v>79.650000000000006</v>
      </c>
      <c r="J331" s="3286">
        <v>53.29</v>
      </c>
    </row>
    <row r="332" spans="1:10" hidden="1">
      <c r="A332" s="3282">
        <v>331</v>
      </c>
      <c r="B332" s="3283" t="s">
        <v>3270</v>
      </c>
      <c r="C332" s="3283">
        <v>7</v>
      </c>
      <c r="D332" s="3283">
        <v>402</v>
      </c>
      <c r="E332" s="3285" t="str">
        <f t="shared" si="5"/>
        <v>南-7-402</v>
      </c>
      <c r="F332" s="3283" t="s">
        <v>3474</v>
      </c>
      <c r="G332" s="3283" t="s">
        <v>3428</v>
      </c>
      <c r="H332" s="3286"/>
      <c r="I332" s="3287">
        <v>56.59</v>
      </c>
      <c r="J332" s="3286">
        <v>37.86</v>
      </c>
    </row>
    <row r="333" spans="1:10" hidden="1">
      <c r="A333" s="3282">
        <v>332</v>
      </c>
      <c r="B333" s="3283" t="s">
        <v>3262</v>
      </c>
      <c r="C333" s="3283">
        <v>7</v>
      </c>
      <c r="D333" s="3283">
        <v>403</v>
      </c>
      <c r="E333" s="3285" t="str">
        <f t="shared" si="5"/>
        <v>南-7-403</v>
      </c>
      <c r="F333" s="3283" t="s">
        <v>3475</v>
      </c>
      <c r="G333" s="3283" t="s">
        <v>3428</v>
      </c>
      <c r="H333" s="3286"/>
      <c r="I333" s="3287">
        <v>79.709999999999994</v>
      </c>
      <c r="J333" s="3286">
        <v>53.33</v>
      </c>
    </row>
    <row r="334" spans="1:10" hidden="1">
      <c r="A334" s="3282">
        <v>333</v>
      </c>
      <c r="B334" s="3283" t="s">
        <v>3262</v>
      </c>
      <c r="C334" s="3283">
        <v>7</v>
      </c>
      <c r="D334" s="3283">
        <v>404</v>
      </c>
      <c r="E334" s="3285" t="str">
        <f t="shared" si="5"/>
        <v>南-7-404</v>
      </c>
      <c r="F334" s="3283" t="s">
        <v>3476</v>
      </c>
      <c r="G334" s="3283" t="s">
        <v>3428</v>
      </c>
      <c r="H334" s="3286"/>
      <c r="I334" s="3287">
        <v>43.94</v>
      </c>
      <c r="J334" s="3286">
        <v>29.4</v>
      </c>
    </row>
    <row r="335" spans="1:10" hidden="1">
      <c r="A335" s="3282">
        <v>334</v>
      </c>
      <c r="B335" s="3283" t="s">
        <v>3262</v>
      </c>
      <c r="C335" s="3283">
        <v>7</v>
      </c>
      <c r="D335" s="3283">
        <v>405</v>
      </c>
      <c r="E335" s="3285" t="str">
        <f t="shared" si="5"/>
        <v>南-7-405</v>
      </c>
      <c r="F335" s="3283" t="s">
        <v>3477</v>
      </c>
      <c r="G335" s="3283" t="s">
        <v>3428</v>
      </c>
      <c r="H335" s="3286"/>
      <c r="I335" s="3287">
        <v>72.510000000000005</v>
      </c>
      <c r="J335" s="3286">
        <v>48.51</v>
      </c>
    </row>
    <row r="336" spans="1:10" hidden="1">
      <c r="A336" s="3282">
        <v>335</v>
      </c>
      <c r="B336" s="3283" t="s">
        <v>3262</v>
      </c>
      <c r="C336" s="3283">
        <v>7</v>
      </c>
      <c r="D336" s="3283">
        <v>406</v>
      </c>
      <c r="E336" s="3285" t="str">
        <f t="shared" si="5"/>
        <v>南-7-406</v>
      </c>
      <c r="F336" s="3283" t="s">
        <v>3478</v>
      </c>
      <c r="G336" s="3283" t="s">
        <v>3430</v>
      </c>
      <c r="H336" s="3286"/>
      <c r="I336" s="3287">
        <v>72.510000000000005</v>
      </c>
      <c r="J336" s="3286">
        <v>48.51</v>
      </c>
    </row>
    <row r="337" spans="1:10" hidden="1">
      <c r="A337" s="3282">
        <v>336</v>
      </c>
      <c r="B337" s="3283" t="s">
        <v>3270</v>
      </c>
      <c r="C337" s="3283">
        <v>7</v>
      </c>
      <c r="D337" s="3283">
        <v>407</v>
      </c>
      <c r="E337" s="3285" t="str">
        <f t="shared" si="5"/>
        <v>南-7-407</v>
      </c>
      <c r="F337" s="3283" t="s">
        <v>3479</v>
      </c>
      <c r="G337" s="3283" t="s">
        <v>3430</v>
      </c>
      <c r="H337" s="3286"/>
      <c r="I337" s="3287">
        <v>72.510000000000005</v>
      </c>
      <c r="J337" s="3286">
        <v>48.51</v>
      </c>
    </row>
    <row r="338" spans="1:10" hidden="1">
      <c r="A338" s="3282">
        <v>337</v>
      </c>
      <c r="B338" s="3283" t="s">
        <v>3270</v>
      </c>
      <c r="C338" s="3283">
        <v>7</v>
      </c>
      <c r="D338" s="3283">
        <v>408</v>
      </c>
      <c r="E338" s="3285" t="str">
        <f t="shared" si="5"/>
        <v>南-7-408</v>
      </c>
      <c r="F338" s="3283" t="s">
        <v>3480</v>
      </c>
      <c r="G338" s="3283" t="s">
        <v>3428</v>
      </c>
      <c r="H338" s="3286"/>
      <c r="I338" s="3287">
        <v>72.510000000000005</v>
      </c>
      <c r="J338" s="3286">
        <v>48.51</v>
      </c>
    </row>
    <row r="339" spans="1:10" hidden="1">
      <c r="A339" s="3282">
        <v>338</v>
      </c>
      <c r="B339" s="3283" t="s">
        <v>3262</v>
      </c>
      <c r="C339" s="3283">
        <v>7</v>
      </c>
      <c r="D339" s="3283">
        <v>409</v>
      </c>
      <c r="E339" s="3285" t="str">
        <f t="shared" si="5"/>
        <v>南-7-409</v>
      </c>
      <c r="F339" s="3283" t="s">
        <v>3481</v>
      </c>
      <c r="G339" s="3283" t="s">
        <v>3428</v>
      </c>
      <c r="H339" s="3286"/>
      <c r="I339" s="3287">
        <v>79.650000000000006</v>
      </c>
      <c r="J339" s="3286">
        <v>53.29</v>
      </c>
    </row>
    <row r="340" spans="1:10" hidden="1">
      <c r="A340" s="3282">
        <v>339</v>
      </c>
      <c r="B340" s="3283" t="s">
        <v>3262</v>
      </c>
      <c r="C340" s="3283">
        <v>7</v>
      </c>
      <c r="D340" s="3283">
        <v>410</v>
      </c>
      <c r="E340" s="3285" t="str">
        <f t="shared" si="5"/>
        <v>南-7-410</v>
      </c>
      <c r="F340" s="3283" t="s">
        <v>3482</v>
      </c>
      <c r="G340" s="3283" t="s">
        <v>3428</v>
      </c>
      <c r="H340" s="3286"/>
      <c r="I340" s="3287">
        <v>56.59</v>
      </c>
      <c r="J340" s="3286">
        <v>37.86</v>
      </c>
    </row>
    <row r="341" spans="1:10" hidden="1">
      <c r="A341" s="3282">
        <v>340</v>
      </c>
      <c r="B341" s="3283" t="s">
        <v>3262</v>
      </c>
      <c r="C341" s="3283">
        <v>7</v>
      </c>
      <c r="D341" s="3283">
        <v>411</v>
      </c>
      <c r="E341" s="3285" t="str">
        <f t="shared" si="5"/>
        <v>南-7-411</v>
      </c>
      <c r="F341" s="3283" t="s">
        <v>3483</v>
      </c>
      <c r="G341" s="3283" t="s">
        <v>3428</v>
      </c>
      <c r="H341" s="3286"/>
      <c r="I341" s="3287">
        <v>79.709999999999994</v>
      </c>
      <c r="J341" s="3286">
        <v>53.33</v>
      </c>
    </row>
    <row r="342" spans="1:10" hidden="1">
      <c r="A342" s="3282">
        <v>341</v>
      </c>
      <c r="B342" s="3283" t="s">
        <v>3262</v>
      </c>
      <c r="C342" s="3283">
        <v>7</v>
      </c>
      <c r="D342" s="3283">
        <v>412</v>
      </c>
      <c r="E342" s="3285" t="str">
        <f t="shared" si="5"/>
        <v>南-7-412</v>
      </c>
      <c r="F342" s="3283" t="s">
        <v>3484</v>
      </c>
      <c r="G342" s="3283" t="s">
        <v>3430</v>
      </c>
      <c r="H342" s="3286"/>
      <c r="I342" s="3287">
        <v>72.510000000000005</v>
      </c>
      <c r="J342" s="3286">
        <v>48.51</v>
      </c>
    </row>
    <row r="343" spans="1:10" hidden="1">
      <c r="A343" s="3282">
        <v>342</v>
      </c>
      <c r="B343" s="3283" t="s">
        <v>3270</v>
      </c>
      <c r="C343" s="3283">
        <v>7</v>
      </c>
      <c r="D343" s="3283">
        <v>413</v>
      </c>
      <c r="E343" s="3285" t="str">
        <f t="shared" si="5"/>
        <v>南-7-413</v>
      </c>
      <c r="F343" s="3283" t="s">
        <v>3485</v>
      </c>
      <c r="G343" s="3283" t="s">
        <v>3428</v>
      </c>
      <c r="H343" s="3286"/>
      <c r="I343" s="3287">
        <v>72.510000000000005</v>
      </c>
      <c r="J343" s="3286">
        <v>48.51</v>
      </c>
    </row>
    <row r="344" spans="1:10" hidden="1">
      <c r="A344" s="3282">
        <v>343</v>
      </c>
      <c r="B344" s="3283" t="s">
        <v>3262</v>
      </c>
      <c r="C344" s="3283">
        <v>7</v>
      </c>
      <c r="D344" s="3283">
        <v>414</v>
      </c>
      <c r="E344" s="3285" t="str">
        <f t="shared" si="5"/>
        <v>南-7-414</v>
      </c>
      <c r="F344" s="3283" t="s">
        <v>3486</v>
      </c>
      <c r="G344" s="3283" t="s">
        <v>3428</v>
      </c>
      <c r="H344" s="3286"/>
      <c r="I344" s="3287">
        <v>72.510000000000005</v>
      </c>
      <c r="J344" s="3286">
        <v>48.51</v>
      </c>
    </row>
    <row r="345" spans="1:10" hidden="1">
      <c r="A345" s="3282">
        <v>344</v>
      </c>
      <c r="B345" s="3283" t="s">
        <v>3262</v>
      </c>
      <c r="C345" s="3283">
        <v>7</v>
      </c>
      <c r="D345" s="3283">
        <v>415</v>
      </c>
      <c r="E345" s="3285" t="str">
        <f t="shared" si="5"/>
        <v>南-7-415</v>
      </c>
      <c r="F345" s="3283" t="s">
        <v>3487</v>
      </c>
      <c r="G345" s="3283" t="s">
        <v>3428</v>
      </c>
      <c r="H345" s="3286"/>
      <c r="I345" s="3287">
        <v>72.510000000000005</v>
      </c>
      <c r="J345" s="3286">
        <v>48.51</v>
      </c>
    </row>
    <row r="346" spans="1:10" hidden="1">
      <c r="A346" s="3282">
        <v>345</v>
      </c>
      <c r="B346" s="3283" t="s">
        <v>3262</v>
      </c>
      <c r="C346" s="3283">
        <v>7</v>
      </c>
      <c r="D346" s="3283">
        <v>416</v>
      </c>
      <c r="E346" s="3285" t="str">
        <f t="shared" si="5"/>
        <v>南-7-416</v>
      </c>
      <c r="F346" s="3283" t="s">
        <v>3488</v>
      </c>
      <c r="G346" s="3283" t="s">
        <v>3428</v>
      </c>
      <c r="H346" s="3286"/>
      <c r="I346" s="3287">
        <v>43.94</v>
      </c>
      <c r="J346" s="3286">
        <v>29.4</v>
      </c>
    </row>
    <row r="347" spans="1:10" hidden="1">
      <c r="A347" s="3282">
        <v>346</v>
      </c>
      <c r="B347" s="3283" t="s">
        <v>3262</v>
      </c>
      <c r="C347" s="3283">
        <v>7</v>
      </c>
      <c r="D347" s="3283">
        <v>501</v>
      </c>
      <c r="E347" s="3285" t="str">
        <f t="shared" si="5"/>
        <v>南-7-501</v>
      </c>
      <c r="F347" s="3283" t="s">
        <v>3489</v>
      </c>
      <c r="G347" s="3283" t="s">
        <v>3430</v>
      </c>
      <c r="H347" s="3286"/>
      <c r="I347" s="3287">
        <v>79.709999999999994</v>
      </c>
      <c r="J347" s="3286">
        <v>53.33</v>
      </c>
    </row>
    <row r="348" spans="1:10" hidden="1">
      <c r="A348" s="3282">
        <v>347</v>
      </c>
      <c r="B348" s="3283" t="s">
        <v>3270</v>
      </c>
      <c r="C348" s="3283">
        <v>7</v>
      </c>
      <c r="D348" s="3283">
        <v>502</v>
      </c>
      <c r="E348" s="3285" t="str">
        <f t="shared" si="5"/>
        <v>南-7-502</v>
      </c>
      <c r="F348" s="3283" t="s">
        <v>3490</v>
      </c>
      <c r="G348" s="3283" t="s">
        <v>3463</v>
      </c>
      <c r="H348" s="3286"/>
      <c r="I348" s="3287">
        <v>56.59</v>
      </c>
      <c r="J348" s="3286">
        <v>37.86</v>
      </c>
    </row>
    <row r="349" spans="1:10" hidden="1">
      <c r="A349" s="3282">
        <v>348</v>
      </c>
      <c r="B349" s="3283" t="s">
        <v>3464</v>
      </c>
      <c r="C349" s="3283">
        <v>7</v>
      </c>
      <c r="D349" s="3283">
        <v>503</v>
      </c>
      <c r="E349" s="3285" t="str">
        <f t="shared" si="5"/>
        <v>南-7-503</v>
      </c>
      <c r="F349" s="3283" t="s">
        <v>3491</v>
      </c>
      <c r="G349" s="3283" t="s">
        <v>3428</v>
      </c>
      <c r="H349" s="3286"/>
      <c r="I349" s="3287">
        <v>79.650000000000006</v>
      </c>
      <c r="J349" s="3286">
        <v>53.29</v>
      </c>
    </row>
    <row r="350" spans="1:10" hidden="1">
      <c r="A350" s="3282">
        <v>349</v>
      </c>
      <c r="B350" s="3283" t="s">
        <v>3262</v>
      </c>
      <c r="C350" s="3283">
        <v>7</v>
      </c>
      <c r="D350" s="3283">
        <v>504</v>
      </c>
      <c r="E350" s="3285" t="str">
        <f t="shared" si="5"/>
        <v>南-7-504</v>
      </c>
      <c r="F350" s="3283" t="s">
        <v>3492</v>
      </c>
      <c r="G350" s="3283" t="s">
        <v>3428</v>
      </c>
      <c r="H350" s="3286"/>
      <c r="I350" s="3287">
        <v>43.94</v>
      </c>
      <c r="J350" s="3286">
        <v>29.4</v>
      </c>
    </row>
    <row r="351" spans="1:10" hidden="1">
      <c r="A351" s="3282">
        <v>350</v>
      </c>
      <c r="B351" s="3283" t="s">
        <v>3262</v>
      </c>
      <c r="C351" s="3283">
        <v>7</v>
      </c>
      <c r="D351" s="3283">
        <v>505</v>
      </c>
      <c r="E351" s="3285" t="str">
        <f t="shared" si="5"/>
        <v>南-7-505</v>
      </c>
      <c r="F351" s="3283" t="s">
        <v>3493</v>
      </c>
      <c r="G351" s="3283" t="s">
        <v>3428</v>
      </c>
      <c r="H351" s="3286"/>
      <c r="I351" s="3287">
        <v>72.510000000000005</v>
      </c>
      <c r="J351" s="3286">
        <v>48.51</v>
      </c>
    </row>
    <row r="352" spans="1:10" hidden="1">
      <c r="A352" s="3282">
        <v>351</v>
      </c>
      <c r="B352" s="3283" t="s">
        <v>3262</v>
      </c>
      <c r="C352" s="3283">
        <v>7</v>
      </c>
      <c r="D352" s="3283">
        <v>506</v>
      </c>
      <c r="E352" s="3285" t="str">
        <f t="shared" si="5"/>
        <v>南-7-506</v>
      </c>
      <c r="F352" s="3283" t="s">
        <v>3494</v>
      </c>
      <c r="G352" s="3283" t="s">
        <v>3446</v>
      </c>
      <c r="H352" s="3286"/>
      <c r="I352" s="3287">
        <v>72.510000000000005</v>
      </c>
      <c r="J352" s="3286">
        <v>48.51</v>
      </c>
    </row>
    <row r="353" spans="1:10" hidden="1">
      <c r="A353" s="3282">
        <v>352</v>
      </c>
      <c r="B353" s="3283" t="s">
        <v>3447</v>
      </c>
      <c r="C353" s="3283">
        <v>7</v>
      </c>
      <c r="D353" s="3283">
        <v>507</v>
      </c>
      <c r="E353" s="3285" t="str">
        <f t="shared" si="5"/>
        <v>南-7-507</v>
      </c>
      <c r="F353" s="3283" t="s">
        <v>3495</v>
      </c>
      <c r="G353" s="3283" t="s">
        <v>3428</v>
      </c>
      <c r="H353" s="3286"/>
      <c r="I353" s="3287">
        <v>72.510000000000005</v>
      </c>
      <c r="J353" s="3286">
        <v>48.51</v>
      </c>
    </row>
    <row r="354" spans="1:10" hidden="1">
      <c r="A354" s="3282">
        <v>353</v>
      </c>
      <c r="B354" s="3283" t="s">
        <v>3262</v>
      </c>
      <c r="C354" s="3283">
        <v>7</v>
      </c>
      <c r="D354" s="3283">
        <v>508</v>
      </c>
      <c r="E354" s="3285" t="str">
        <f t="shared" si="5"/>
        <v>南-7-508</v>
      </c>
      <c r="F354" s="3283" t="s">
        <v>3496</v>
      </c>
      <c r="G354" s="3283" t="s">
        <v>3497</v>
      </c>
      <c r="H354" s="3286"/>
      <c r="I354" s="3287">
        <v>72.510000000000005</v>
      </c>
      <c r="J354" s="3286">
        <v>48.51</v>
      </c>
    </row>
    <row r="355" spans="1:10" hidden="1">
      <c r="A355" s="3282">
        <v>354</v>
      </c>
      <c r="B355" s="3283" t="s">
        <v>3498</v>
      </c>
      <c r="C355" s="3283">
        <v>7</v>
      </c>
      <c r="D355" s="3283">
        <v>509</v>
      </c>
      <c r="E355" s="3285" t="str">
        <f t="shared" si="5"/>
        <v>南-7-509</v>
      </c>
      <c r="F355" s="3283" t="s">
        <v>3499</v>
      </c>
      <c r="G355" s="3283" t="s">
        <v>3446</v>
      </c>
      <c r="H355" s="3286"/>
      <c r="I355" s="3287">
        <v>79.709999999999994</v>
      </c>
      <c r="J355" s="3286">
        <v>53.33</v>
      </c>
    </row>
    <row r="356" spans="1:10" hidden="1">
      <c r="A356" s="3282">
        <v>355</v>
      </c>
      <c r="B356" s="3283" t="s">
        <v>3447</v>
      </c>
      <c r="C356" s="3283">
        <v>7</v>
      </c>
      <c r="D356" s="3283">
        <v>510</v>
      </c>
      <c r="E356" s="3285" t="str">
        <f t="shared" si="5"/>
        <v>南-7-510</v>
      </c>
      <c r="F356" s="3283" t="s">
        <v>3500</v>
      </c>
      <c r="G356" s="3283" t="s">
        <v>3428</v>
      </c>
      <c r="H356" s="3286"/>
      <c r="I356" s="3287">
        <v>56.59</v>
      </c>
      <c r="J356" s="3286">
        <v>37.86</v>
      </c>
    </row>
    <row r="357" spans="1:10" hidden="1">
      <c r="A357" s="3282">
        <v>356</v>
      </c>
      <c r="B357" s="3283" t="s">
        <v>3262</v>
      </c>
      <c r="C357" s="3283">
        <v>7</v>
      </c>
      <c r="D357" s="3283">
        <v>511</v>
      </c>
      <c r="E357" s="3285" t="str">
        <f t="shared" si="5"/>
        <v>南-7-511</v>
      </c>
      <c r="F357" s="3283" t="s">
        <v>3501</v>
      </c>
      <c r="G357" s="3283" t="s">
        <v>3430</v>
      </c>
      <c r="H357" s="3286"/>
      <c r="I357" s="3287">
        <v>79.650000000000006</v>
      </c>
      <c r="J357" s="3286">
        <v>53.29</v>
      </c>
    </row>
    <row r="358" spans="1:10" hidden="1">
      <c r="A358" s="3282">
        <v>357</v>
      </c>
      <c r="B358" s="3283" t="s">
        <v>3270</v>
      </c>
      <c r="C358" s="3283">
        <v>7</v>
      </c>
      <c r="D358" s="3283">
        <v>512</v>
      </c>
      <c r="E358" s="3285" t="str">
        <f t="shared" si="5"/>
        <v>南-7-512</v>
      </c>
      <c r="F358" s="3283" t="s">
        <v>3502</v>
      </c>
      <c r="G358" s="3283" t="s">
        <v>3428</v>
      </c>
      <c r="H358" s="3286"/>
      <c r="I358" s="3287">
        <v>72.510000000000005</v>
      </c>
      <c r="J358" s="3286">
        <v>48.51</v>
      </c>
    </row>
    <row r="359" spans="1:10" hidden="1">
      <c r="A359" s="3282">
        <v>358</v>
      </c>
      <c r="B359" s="3283" t="s">
        <v>3262</v>
      </c>
      <c r="C359" s="3283">
        <v>7</v>
      </c>
      <c r="D359" s="3283">
        <v>513</v>
      </c>
      <c r="E359" s="3285" t="str">
        <f t="shared" si="5"/>
        <v>南-7-513</v>
      </c>
      <c r="F359" s="3283" t="s">
        <v>3503</v>
      </c>
      <c r="G359" s="3283" t="s">
        <v>3428</v>
      </c>
      <c r="H359" s="3286"/>
      <c r="I359" s="3287">
        <v>72.510000000000005</v>
      </c>
      <c r="J359" s="3286">
        <v>48.51</v>
      </c>
    </row>
    <row r="360" spans="1:10" hidden="1">
      <c r="A360" s="3282">
        <v>359</v>
      </c>
      <c r="B360" s="3283" t="s">
        <v>3262</v>
      </c>
      <c r="C360" s="3283">
        <v>7</v>
      </c>
      <c r="D360" s="3283">
        <v>514</v>
      </c>
      <c r="E360" s="3285" t="str">
        <f t="shared" si="5"/>
        <v>南-7-514</v>
      </c>
      <c r="F360" s="3283" t="s">
        <v>3504</v>
      </c>
      <c r="G360" s="3283" t="s">
        <v>3428</v>
      </c>
      <c r="H360" s="3286"/>
      <c r="I360" s="3287">
        <v>72.510000000000005</v>
      </c>
      <c r="J360" s="3286">
        <v>48.51</v>
      </c>
    </row>
    <row r="361" spans="1:10" hidden="1">
      <c r="A361" s="3282">
        <v>360</v>
      </c>
      <c r="B361" s="3283" t="s">
        <v>3262</v>
      </c>
      <c r="C361" s="3283">
        <v>7</v>
      </c>
      <c r="D361" s="3283">
        <v>515</v>
      </c>
      <c r="E361" s="3285" t="str">
        <f t="shared" si="5"/>
        <v>南-7-515</v>
      </c>
      <c r="F361" s="3283" t="s">
        <v>3505</v>
      </c>
      <c r="G361" s="3283" t="s">
        <v>3428</v>
      </c>
      <c r="H361" s="3286"/>
      <c r="I361" s="3287">
        <v>72.510000000000005</v>
      </c>
      <c r="J361" s="3286">
        <v>48.51</v>
      </c>
    </row>
    <row r="362" spans="1:10" hidden="1">
      <c r="A362" s="3282">
        <v>361</v>
      </c>
      <c r="B362" s="3283" t="s">
        <v>3262</v>
      </c>
      <c r="C362" s="3283">
        <v>7</v>
      </c>
      <c r="D362" s="3283">
        <v>516</v>
      </c>
      <c r="E362" s="3285" t="str">
        <f t="shared" si="5"/>
        <v>南-7-516</v>
      </c>
      <c r="F362" s="3283" t="s">
        <v>3506</v>
      </c>
      <c r="G362" s="3283" t="s">
        <v>3430</v>
      </c>
      <c r="H362" s="3286"/>
      <c r="I362" s="3287">
        <v>43.94</v>
      </c>
      <c r="J362" s="3286">
        <v>29.4</v>
      </c>
    </row>
    <row r="363" spans="1:10" hidden="1">
      <c r="A363" s="3282">
        <v>362</v>
      </c>
      <c r="B363" s="3283" t="s">
        <v>3270</v>
      </c>
      <c r="C363" s="3283">
        <v>7</v>
      </c>
      <c r="D363" s="3283">
        <v>601</v>
      </c>
      <c r="E363" s="3285" t="str">
        <f t="shared" si="5"/>
        <v>南-7-601</v>
      </c>
      <c r="F363" s="3283" t="s">
        <v>3507</v>
      </c>
      <c r="G363" s="3283" t="s">
        <v>3508</v>
      </c>
      <c r="H363" s="3286"/>
      <c r="I363" s="3287">
        <v>79.650000000000006</v>
      </c>
      <c r="J363" s="3286">
        <v>53.29</v>
      </c>
    </row>
    <row r="364" spans="1:10" hidden="1">
      <c r="A364" s="3282">
        <v>363</v>
      </c>
      <c r="B364" s="3283" t="s">
        <v>3509</v>
      </c>
      <c r="C364" s="3283">
        <v>7</v>
      </c>
      <c r="D364" s="3283">
        <v>602</v>
      </c>
      <c r="E364" s="3285" t="str">
        <f t="shared" si="5"/>
        <v>南-7-602</v>
      </c>
      <c r="F364" s="3283" t="s">
        <v>3510</v>
      </c>
      <c r="G364" s="3283" t="s">
        <v>3428</v>
      </c>
      <c r="H364" s="3286"/>
      <c r="I364" s="3287">
        <v>56.59</v>
      </c>
      <c r="J364" s="3286">
        <v>37.86</v>
      </c>
    </row>
    <row r="365" spans="1:10" hidden="1">
      <c r="A365" s="3282">
        <v>364</v>
      </c>
      <c r="B365" s="3283" t="s">
        <v>3262</v>
      </c>
      <c r="C365" s="3283">
        <v>7</v>
      </c>
      <c r="D365" s="3283">
        <v>603</v>
      </c>
      <c r="E365" s="3285" t="str">
        <f t="shared" si="5"/>
        <v>南-7-603</v>
      </c>
      <c r="F365" s="3283" t="s">
        <v>3511</v>
      </c>
      <c r="G365" s="3283" t="s">
        <v>3428</v>
      </c>
      <c r="H365" s="3286"/>
      <c r="I365" s="3287">
        <v>79.709999999999994</v>
      </c>
      <c r="J365" s="3286">
        <v>53.33</v>
      </c>
    </row>
    <row r="366" spans="1:10" hidden="1">
      <c r="A366" s="3282">
        <v>365</v>
      </c>
      <c r="B366" s="3283" t="s">
        <v>3262</v>
      </c>
      <c r="C366" s="3283">
        <v>7</v>
      </c>
      <c r="D366" s="3283">
        <v>604</v>
      </c>
      <c r="E366" s="3285" t="str">
        <f t="shared" si="5"/>
        <v>南-7-604</v>
      </c>
      <c r="F366" s="3283" t="s">
        <v>3512</v>
      </c>
      <c r="G366" s="3283" t="s">
        <v>3428</v>
      </c>
      <c r="H366" s="3286"/>
      <c r="I366" s="3287">
        <v>43.94</v>
      </c>
      <c r="J366" s="3286">
        <v>29.4</v>
      </c>
    </row>
    <row r="367" spans="1:10" hidden="1">
      <c r="A367" s="3282">
        <v>366</v>
      </c>
      <c r="B367" s="3283" t="s">
        <v>3262</v>
      </c>
      <c r="C367" s="3283">
        <v>7</v>
      </c>
      <c r="D367" s="3283">
        <v>605</v>
      </c>
      <c r="E367" s="3285" t="str">
        <f t="shared" si="5"/>
        <v>南-7-605</v>
      </c>
      <c r="F367" s="3283" t="s">
        <v>3513</v>
      </c>
      <c r="G367" s="3283" t="s">
        <v>3430</v>
      </c>
      <c r="H367" s="3286"/>
      <c r="I367" s="3287">
        <v>72.510000000000005</v>
      </c>
      <c r="J367" s="3286">
        <v>48.51</v>
      </c>
    </row>
    <row r="368" spans="1:10" hidden="1">
      <c r="A368" s="3282">
        <v>367</v>
      </c>
      <c r="B368" s="3283" t="s">
        <v>3270</v>
      </c>
      <c r="C368" s="3283">
        <v>7</v>
      </c>
      <c r="D368" s="3283">
        <v>606</v>
      </c>
      <c r="E368" s="3285" t="str">
        <f t="shared" si="5"/>
        <v>南-7-606</v>
      </c>
      <c r="F368" s="3283" t="s">
        <v>3514</v>
      </c>
      <c r="G368" s="3283" t="s">
        <v>3508</v>
      </c>
      <c r="H368" s="3286"/>
      <c r="I368" s="3287">
        <v>72.510000000000005</v>
      </c>
      <c r="J368" s="3286">
        <v>48.51</v>
      </c>
    </row>
    <row r="369" spans="1:10" hidden="1">
      <c r="A369" s="3282">
        <v>368</v>
      </c>
      <c r="B369" s="3283" t="s">
        <v>3509</v>
      </c>
      <c r="C369" s="3283">
        <v>7</v>
      </c>
      <c r="D369" s="3283">
        <v>607</v>
      </c>
      <c r="E369" s="3285" t="str">
        <f t="shared" si="5"/>
        <v>南-7-607</v>
      </c>
      <c r="F369" s="3283" t="s">
        <v>3515</v>
      </c>
      <c r="G369" s="3283" t="s">
        <v>3428</v>
      </c>
      <c r="H369" s="3286"/>
      <c r="I369" s="3287">
        <v>72.510000000000005</v>
      </c>
      <c r="J369" s="3286">
        <v>48.51</v>
      </c>
    </row>
    <row r="370" spans="1:10" hidden="1">
      <c r="A370" s="3282">
        <v>369</v>
      </c>
      <c r="B370" s="3283" t="s">
        <v>3262</v>
      </c>
      <c r="C370" s="3283">
        <v>7</v>
      </c>
      <c r="D370" s="3283">
        <v>608</v>
      </c>
      <c r="E370" s="3285" t="str">
        <f t="shared" si="5"/>
        <v>南-7-608</v>
      </c>
      <c r="F370" s="3283" t="s">
        <v>3516</v>
      </c>
      <c r="G370" s="3283" t="s">
        <v>3428</v>
      </c>
      <c r="H370" s="3286"/>
      <c r="I370" s="3287">
        <v>72.510000000000005</v>
      </c>
      <c r="J370" s="3286">
        <v>48.51</v>
      </c>
    </row>
    <row r="371" spans="1:10" hidden="1">
      <c r="A371" s="3282">
        <v>370</v>
      </c>
      <c r="B371" s="3283" t="s">
        <v>3262</v>
      </c>
      <c r="C371" s="3283">
        <v>7</v>
      </c>
      <c r="D371" s="3283">
        <v>609</v>
      </c>
      <c r="E371" s="3285" t="str">
        <f t="shared" si="5"/>
        <v>南-7-609</v>
      </c>
      <c r="F371" s="3283" t="s">
        <v>3517</v>
      </c>
      <c r="G371" s="3283" t="s">
        <v>3428</v>
      </c>
      <c r="H371" s="3286"/>
      <c r="I371" s="3287">
        <v>79.650000000000006</v>
      </c>
      <c r="J371" s="3286">
        <v>53.29</v>
      </c>
    </row>
    <row r="372" spans="1:10" hidden="1">
      <c r="A372" s="3282">
        <v>371</v>
      </c>
      <c r="B372" s="3283" t="s">
        <v>3262</v>
      </c>
      <c r="C372" s="3283">
        <v>7</v>
      </c>
      <c r="D372" s="3283">
        <v>610</v>
      </c>
      <c r="E372" s="3285" t="str">
        <f t="shared" si="5"/>
        <v>南-7-610</v>
      </c>
      <c r="F372" s="3283" t="s">
        <v>3518</v>
      </c>
      <c r="G372" s="3283" t="s">
        <v>3430</v>
      </c>
      <c r="H372" s="3286"/>
      <c r="I372" s="3287">
        <v>56.59</v>
      </c>
      <c r="J372" s="3286">
        <v>37.86</v>
      </c>
    </row>
    <row r="373" spans="1:10" hidden="1">
      <c r="A373" s="3282">
        <v>372</v>
      </c>
      <c r="B373" s="3283" t="s">
        <v>3270</v>
      </c>
      <c r="C373" s="3283">
        <v>7</v>
      </c>
      <c r="D373" s="3283">
        <v>611</v>
      </c>
      <c r="E373" s="3285" t="str">
        <f t="shared" si="5"/>
        <v>南-7-611</v>
      </c>
      <c r="F373" s="3283" t="s">
        <v>3519</v>
      </c>
      <c r="G373" s="3283" t="s">
        <v>3508</v>
      </c>
      <c r="H373" s="3286"/>
      <c r="I373" s="3287">
        <v>79.709999999999994</v>
      </c>
      <c r="J373" s="3286">
        <v>53.33</v>
      </c>
    </row>
    <row r="374" spans="1:10" hidden="1">
      <c r="A374" s="3282">
        <v>373</v>
      </c>
      <c r="B374" s="3283" t="s">
        <v>3509</v>
      </c>
      <c r="C374" s="3283">
        <v>7</v>
      </c>
      <c r="D374" s="3283">
        <v>612</v>
      </c>
      <c r="E374" s="3285" t="str">
        <f t="shared" si="5"/>
        <v>南-7-612</v>
      </c>
      <c r="F374" s="3283" t="s">
        <v>3520</v>
      </c>
      <c r="G374" s="3283" t="s">
        <v>3428</v>
      </c>
      <c r="H374" s="3286"/>
      <c r="I374" s="3287">
        <v>72.510000000000005</v>
      </c>
      <c r="J374" s="3286">
        <v>48.51</v>
      </c>
    </row>
    <row r="375" spans="1:10" hidden="1">
      <c r="A375" s="3282">
        <v>374</v>
      </c>
      <c r="B375" s="3283" t="s">
        <v>3262</v>
      </c>
      <c r="C375" s="3283">
        <v>7</v>
      </c>
      <c r="D375" s="3283">
        <v>613</v>
      </c>
      <c r="E375" s="3285" t="str">
        <f t="shared" si="5"/>
        <v>南-7-613</v>
      </c>
      <c r="F375" s="3283" t="s">
        <v>3521</v>
      </c>
      <c r="G375" s="3283" t="s">
        <v>3428</v>
      </c>
      <c r="H375" s="3286"/>
      <c r="I375" s="3287">
        <v>72.510000000000005</v>
      </c>
      <c r="J375" s="3286">
        <v>48.51</v>
      </c>
    </row>
    <row r="376" spans="1:10" hidden="1">
      <c r="A376" s="3282">
        <v>375</v>
      </c>
      <c r="B376" s="3283" t="s">
        <v>3262</v>
      </c>
      <c r="C376" s="3283">
        <v>7</v>
      </c>
      <c r="D376" s="3283">
        <v>614</v>
      </c>
      <c r="E376" s="3285" t="str">
        <f t="shared" si="5"/>
        <v>南-7-614</v>
      </c>
      <c r="F376" s="3283" t="s">
        <v>3522</v>
      </c>
      <c r="G376" s="3283" t="s">
        <v>3428</v>
      </c>
      <c r="H376" s="3286"/>
      <c r="I376" s="3287">
        <v>72.510000000000005</v>
      </c>
      <c r="J376" s="3286">
        <v>48.51</v>
      </c>
    </row>
    <row r="377" spans="1:10" hidden="1">
      <c r="A377" s="3282">
        <v>376</v>
      </c>
      <c r="B377" s="3283" t="s">
        <v>3262</v>
      </c>
      <c r="C377" s="3283">
        <v>7</v>
      </c>
      <c r="D377" s="3283">
        <v>615</v>
      </c>
      <c r="E377" s="3285" t="str">
        <f t="shared" si="5"/>
        <v>南-7-615</v>
      </c>
      <c r="F377" s="3283" t="s">
        <v>3523</v>
      </c>
      <c r="G377" s="3283" t="s">
        <v>3428</v>
      </c>
      <c r="H377" s="3286"/>
      <c r="I377" s="3287">
        <v>72.510000000000005</v>
      </c>
      <c r="J377" s="3286">
        <v>48.51</v>
      </c>
    </row>
    <row r="378" spans="1:10" hidden="1">
      <c r="A378" s="3282">
        <v>377</v>
      </c>
      <c r="B378" s="3283" t="s">
        <v>3262</v>
      </c>
      <c r="C378" s="3283">
        <v>7</v>
      </c>
      <c r="D378" s="3283">
        <v>616</v>
      </c>
      <c r="E378" s="3285" t="str">
        <f t="shared" si="5"/>
        <v>南-7-616</v>
      </c>
      <c r="F378" s="3283" t="s">
        <v>3524</v>
      </c>
      <c r="G378" s="3283" t="s">
        <v>3430</v>
      </c>
      <c r="H378" s="3286"/>
      <c r="I378" s="3287">
        <v>43.94</v>
      </c>
      <c r="J378" s="3286">
        <v>29.4</v>
      </c>
    </row>
    <row r="379" spans="1:10" hidden="1">
      <c r="A379" s="3282">
        <v>378</v>
      </c>
      <c r="B379" s="3283" t="s">
        <v>3270</v>
      </c>
      <c r="C379" s="3283">
        <v>7</v>
      </c>
      <c r="D379" s="3283">
        <v>701</v>
      </c>
      <c r="E379" s="3285" t="str">
        <f t="shared" si="5"/>
        <v>南-7-701</v>
      </c>
      <c r="F379" s="3283" t="s">
        <v>3525</v>
      </c>
      <c r="G379" s="3283" t="s">
        <v>3508</v>
      </c>
      <c r="H379" s="3286"/>
      <c r="I379" s="3287">
        <v>79.709999999999994</v>
      </c>
      <c r="J379" s="3286">
        <v>53.33</v>
      </c>
    </row>
    <row r="380" spans="1:10" hidden="1">
      <c r="A380" s="3282">
        <v>379</v>
      </c>
      <c r="B380" s="3283" t="s">
        <v>3509</v>
      </c>
      <c r="C380" s="3283">
        <v>7</v>
      </c>
      <c r="D380" s="3283">
        <v>702</v>
      </c>
      <c r="E380" s="3285" t="str">
        <f t="shared" si="5"/>
        <v>南-7-702</v>
      </c>
      <c r="F380" s="3283" t="s">
        <v>3526</v>
      </c>
      <c r="G380" s="3283" t="s">
        <v>3428</v>
      </c>
      <c r="H380" s="3286"/>
      <c r="I380" s="3287">
        <v>56.59</v>
      </c>
      <c r="J380" s="3286">
        <v>37.86</v>
      </c>
    </row>
    <row r="381" spans="1:10" hidden="1">
      <c r="A381" s="3282">
        <v>380</v>
      </c>
      <c r="B381" s="3283" t="s">
        <v>3262</v>
      </c>
      <c r="C381" s="3283">
        <v>7</v>
      </c>
      <c r="D381" s="3283">
        <v>703</v>
      </c>
      <c r="E381" s="3285" t="str">
        <f t="shared" si="5"/>
        <v>南-7-703</v>
      </c>
      <c r="F381" s="3283" t="s">
        <v>3527</v>
      </c>
      <c r="G381" s="3283" t="s">
        <v>3428</v>
      </c>
      <c r="H381" s="3286"/>
      <c r="I381" s="3287">
        <v>79.650000000000006</v>
      </c>
      <c r="J381" s="3286">
        <v>53.29</v>
      </c>
    </row>
    <row r="382" spans="1:10" hidden="1">
      <c r="A382" s="3282">
        <v>381</v>
      </c>
      <c r="B382" s="3283" t="s">
        <v>3262</v>
      </c>
      <c r="C382" s="3283">
        <v>7</v>
      </c>
      <c r="D382" s="3283">
        <v>704</v>
      </c>
      <c r="E382" s="3285" t="str">
        <f t="shared" si="5"/>
        <v>南-7-704</v>
      </c>
      <c r="F382" s="3283" t="s">
        <v>3528</v>
      </c>
      <c r="G382" s="3283" t="s">
        <v>3428</v>
      </c>
      <c r="H382" s="3286"/>
      <c r="I382" s="3287">
        <v>43.94</v>
      </c>
      <c r="J382" s="3286">
        <v>29.4</v>
      </c>
    </row>
    <row r="383" spans="1:10" hidden="1">
      <c r="A383" s="3282">
        <v>382</v>
      </c>
      <c r="B383" s="3283" t="s">
        <v>3262</v>
      </c>
      <c r="C383" s="3283">
        <v>7</v>
      </c>
      <c r="D383" s="3283">
        <v>705</v>
      </c>
      <c r="E383" s="3285" t="str">
        <f t="shared" si="5"/>
        <v>南-7-705</v>
      </c>
      <c r="F383" s="3283" t="s">
        <v>3529</v>
      </c>
      <c r="G383" s="3283" t="s">
        <v>3430</v>
      </c>
      <c r="H383" s="3286"/>
      <c r="I383" s="3287">
        <v>72.510000000000005</v>
      </c>
      <c r="J383" s="3286">
        <v>48.51</v>
      </c>
    </row>
    <row r="384" spans="1:10" hidden="1">
      <c r="A384" s="3282">
        <v>383</v>
      </c>
      <c r="B384" s="3283" t="s">
        <v>3270</v>
      </c>
      <c r="C384" s="3283">
        <v>7</v>
      </c>
      <c r="D384" s="3283">
        <v>706</v>
      </c>
      <c r="E384" s="3285" t="str">
        <f t="shared" si="5"/>
        <v>南-7-706</v>
      </c>
      <c r="F384" s="3283" t="s">
        <v>3530</v>
      </c>
      <c r="G384" s="3283" t="s">
        <v>3508</v>
      </c>
      <c r="H384" s="3286"/>
      <c r="I384" s="3287">
        <v>72.510000000000005</v>
      </c>
      <c r="J384" s="3286">
        <v>48.51</v>
      </c>
    </row>
    <row r="385" spans="1:10" hidden="1">
      <c r="A385" s="3282">
        <v>384</v>
      </c>
      <c r="B385" s="3283" t="s">
        <v>3509</v>
      </c>
      <c r="C385" s="3283">
        <v>7</v>
      </c>
      <c r="D385" s="3283">
        <v>707</v>
      </c>
      <c r="E385" s="3285" t="str">
        <f t="shared" si="5"/>
        <v>南-7-707</v>
      </c>
      <c r="F385" s="3283" t="s">
        <v>3531</v>
      </c>
      <c r="G385" s="3283" t="s">
        <v>3428</v>
      </c>
      <c r="H385" s="3286"/>
      <c r="I385" s="3287">
        <v>72.510000000000005</v>
      </c>
      <c r="J385" s="3286">
        <v>48.51</v>
      </c>
    </row>
    <row r="386" spans="1:10" hidden="1">
      <c r="A386" s="3282">
        <v>385</v>
      </c>
      <c r="B386" s="3283" t="s">
        <v>3262</v>
      </c>
      <c r="C386" s="3283">
        <v>7</v>
      </c>
      <c r="D386" s="3283">
        <v>708</v>
      </c>
      <c r="E386" s="3285" t="str">
        <f t="shared" si="5"/>
        <v>南-7-708</v>
      </c>
      <c r="F386" s="3283" t="s">
        <v>3532</v>
      </c>
      <c r="G386" s="3283" t="s">
        <v>3428</v>
      </c>
      <c r="H386" s="3286"/>
      <c r="I386" s="3287">
        <v>72.510000000000005</v>
      </c>
      <c r="J386" s="3286">
        <v>48.51</v>
      </c>
    </row>
    <row r="387" spans="1:10" hidden="1">
      <c r="A387" s="3282">
        <v>386</v>
      </c>
      <c r="B387" s="3283" t="s">
        <v>3262</v>
      </c>
      <c r="C387" s="3283">
        <v>7</v>
      </c>
      <c r="D387" s="3283">
        <v>709</v>
      </c>
      <c r="E387" s="3285" t="str">
        <f t="shared" ref="E387:E450" si="6">B387&amp;-C387&amp;"-"&amp;D387</f>
        <v>南-7-709</v>
      </c>
      <c r="F387" s="3283" t="s">
        <v>3533</v>
      </c>
      <c r="G387" s="3283" t="s">
        <v>3428</v>
      </c>
      <c r="H387" s="3286"/>
      <c r="I387" s="3287">
        <v>79.709999999999994</v>
      </c>
      <c r="J387" s="3286">
        <v>53.33</v>
      </c>
    </row>
    <row r="388" spans="1:10" hidden="1">
      <c r="A388" s="3282">
        <v>387</v>
      </c>
      <c r="B388" s="3283" t="s">
        <v>3262</v>
      </c>
      <c r="C388" s="3283">
        <v>7</v>
      </c>
      <c r="D388" s="3283">
        <v>710</v>
      </c>
      <c r="E388" s="3285" t="str">
        <f t="shared" si="6"/>
        <v>南-7-710</v>
      </c>
      <c r="F388" s="3283" t="s">
        <v>3534</v>
      </c>
      <c r="G388" s="3283" t="s">
        <v>3430</v>
      </c>
      <c r="H388" s="3286"/>
      <c r="I388" s="3287">
        <v>56.59</v>
      </c>
      <c r="J388" s="3286">
        <v>37.86</v>
      </c>
    </row>
    <row r="389" spans="1:10" hidden="1">
      <c r="A389" s="3282">
        <v>388</v>
      </c>
      <c r="B389" s="3283" t="s">
        <v>3270</v>
      </c>
      <c r="C389" s="3283">
        <v>7</v>
      </c>
      <c r="D389" s="3283">
        <v>711</v>
      </c>
      <c r="E389" s="3285" t="str">
        <f t="shared" si="6"/>
        <v>南-7-711</v>
      </c>
      <c r="F389" s="3283" t="s">
        <v>3535</v>
      </c>
      <c r="G389" s="3283" t="s">
        <v>3508</v>
      </c>
      <c r="H389" s="3286"/>
      <c r="I389" s="3287">
        <v>79.650000000000006</v>
      </c>
      <c r="J389" s="3286">
        <v>53.29</v>
      </c>
    </row>
    <row r="390" spans="1:10" hidden="1">
      <c r="A390" s="3282">
        <v>389</v>
      </c>
      <c r="B390" s="3283" t="s">
        <v>3509</v>
      </c>
      <c r="C390" s="3283">
        <v>7</v>
      </c>
      <c r="D390" s="3283">
        <v>712</v>
      </c>
      <c r="E390" s="3285" t="str">
        <f t="shared" si="6"/>
        <v>南-7-712</v>
      </c>
      <c r="F390" s="3283" t="s">
        <v>3536</v>
      </c>
      <c r="G390" s="3283" t="s">
        <v>3428</v>
      </c>
      <c r="H390" s="3286"/>
      <c r="I390" s="3287">
        <v>72.510000000000005</v>
      </c>
      <c r="J390" s="3286">
        <v>48.51</v>
      </c>
    </row>
    <row r="391" spans="1:10" hidden="1">
      <c r="A391" s="3282">
        <v>390</v>
      </c>
      <c r="B391" s="3283" t="s">
        <v>3262</v>
      </c>
      <c r="C391" s="3283">
        <v>7</v>
      </c>
      <c r="D391" s="3283">
        <v>713</v>
      </c>
      <c r="E391" s="3285" t="str">
        <f t="shared" si="6"/>
        <v>南-7-713</v>
      </c>
      <c r="F391" s="3283" t="s">
        <v>3537</v>
      </c>
      <c r="G391" s="3283" t="s">
        <v>3428</v>
      </c>
      <c r="H391" s="3286"/>
      <c r="I391" s="3287">
        <v>72.510000000000005</v>
      </c>
      <c r="J391" s="3286">
        <v>48.51</v>
      </c>
    </row>
    <row r="392" spans="1:10" hidden="1">
      <c r="A392" s="3282">
        <v>391</v>
      </c>
      <c r="B392" s="3283" t="s">
        <v>3262</v>
      </c>
      <c r="C392" s="3283">
        <v>7</v>
      </c>
      <c r="D392" s="3283">
        <v>714</v>
      </c>
      <c r="E392" s="3285" t="str">
        <f t="shared" si="6"/>
        <v>南-7-714</v>
      </c>
      <c r="F392" s="3283" t="s">
        <v>3538</v>
      </c>
      <c r="G392" s="3283" t="s">
        <v>3428</v>
      </c>
      <c r="H392" s="3286"/>
      <c r="I392" s="3287">
        <v>72.510000000000005</v>
      </c>
      <c r="J392" s="3286">
        <v>48.51</v>
      </c>
    </row>
    <row r="393" spans="1:10" hidden="1">
      <c r="A393" s="3282">
        <v>392</v>
      </c>
      <c r="B393" s="3283" t="s">
        <v>3262</v>
      </c>
      <c r="C393" s="3283">
        <v>7</v>
      </c>
      <c r="D393" s="3283">
        <v>715</v>
      </c>
      <c r="E393" s="3285" t="str">
        <f t="shared" si="6"/>
        <v>南-7-715</v>
      </c>
      <c r="F393" s="3283" t="s">
        <v>3539</v>
      </c>
      <c r="G393" s="3283" t="s">
        <v>3430</v>
      </c>
      <c r="H393" s="3286"/>
      <c r="I393" s="3287">
        <v>72.510000000000005</v>
      </c>
      <c r="J393" s="3286">
        <v>48.51</v>
      </c>
    </row>
    <row r="394" spans="1:10" hidden="1">
      <c r="A394" s="3282">
        <v>393</v>
      </c>
      <c r="B394" s="3283" t="s">
        <v>3270</v>
      </c>
      <c r="C394" s="3283">
        <v>7</v>
      </c>
      <c r="D394" s="3283">
        <v>716</v>
      </c>
      <c r="E394" s="3285" t="str">
        <f t="shared" si="6"/>
        <v>南-7-716</v>
      </c>
      <c r="F394" s="3283" t="s">
        <v>3540</v>
      </c>
      <c r="G394" s="3283" t="s">
        <v>3428</v>
      </c>
      <c r="H394" s="3286"/>
      <c r="I394" s="3287">
        <v>43.94</v>
      </c>
      <c r="J394" s="3286">
        <v>29.4</v>
      </c>
    </row>
    <row r="395" spans="1:10" hidden="1">
      <c r="A395" s="3282">
        <v>394</v>
      </c>
      <c r="B395" s="3283" t="s">
        <v>3262</v>
      </c>
      <c r="C395" s="3283">
        <v>7</v>
      </c>
      <c r="D395" s="3283">
        <v>801</v>
      </c>
      <c r="E395" s="3285" t="str">
        <f t="shared" si="6"/>
        <v>南-7-801</v>
      </c>
      <c r="F395" s="3283" t="s">
        <v>3541</v>
      </c>
      <c r="G395" s="3283" t="s">
        <v>3428</v>
      </c>
      <c r="H395" s="3286"/>
      <c r="I395" s="3287">
        <v>79.650000000000006</v>
      </c>
      <c r="J395" s="3286">
        <v>53.29</v>
      </c>
    </row>
    <row r="396" spans="1:10" hidden="1">
      <c r="A396" s="3282">
        <v>395</v>
      </c>
      <c r="B396" s="3283" t="s">
        <v>3262</v>
      </c>
      <c r="C396" s="3283">
        <v>7</v>
      </c>
      <c r="D396" s="3283">
        <v>802</v>
      </c>
      <c r="E396" s="3285" t="str">
        <f t="shared" si="6"/>
        <v>南-7-802</v>
      </c>
      <c r="F396" s="3283" t="s">
        <v>3542</v>
      </c>
      <c r="G396" s="3283" t="s">
        <v>3428</v>
      </c>
      <c r="H396" s="3286"/>
      <c r="I396" s="3287">
        <v>56.59</v>
      </c>
      <c r="J396" s="3286">
        <v>37.86</v>
      </c>
    </row>
    <row r="397" spans="1:10" hidden="1">
      <c r="A397" s="3282">
        <v>396</v>
      </c>
      <c r="B397" s="3283" t="s">
        <v>3262</v>
      </c>
      <c r="C397" s="3283">
        <v>7</v>
      </c>
      <c r="D397" s="3283">
        <v>803</v>
      </c>
      <c r="E397" s="3285" t="str">
        <f t="shared" si="6"/>
        <v>南-7-803</v>
      </c>
      <c r="F397" s="3283" t="s">
        <v>3543</v>
      </c>
      <c r="G397" s="3283" t="s">
        <v>3428</v>
      </c>
      <c r="H397" s="3286"/>
      <c r="I397" s="3287">
        <v>79.709999999999994</v>
      </c>
      <c r="J397" s="3286">
        <v>53.33</v>
      </c>
    </row>
    <row r="398" spans="1:10" hidden="1">
      <c r="A398" s="3282">
        <v>397</v>
      </c>
      <c r="B398" s="3283" t="s">
        <v>3262</v>
      </c>
      <c r="C398" s="3283">
        <v>7</v>
      </c>
      <c r="D398" s="3283">
        <v>804</v>
      </c>
      <c r="E398" s="3285" t="str">
        <f t="shared" si="6"/>
        <v>南-7-804</v>
      </c>
      <c r="F398" s="3283" t="s">
        <v>3544</v>
      </c>
      <c r="G398" s="3283" t="s">
        <v>3430</v>
      </c>
      <c r="H398" s="3286"/>
      <c r="I398" s="3287">
        <v>43.94</v>
      </c>
      <c r="J398" s="3286">
        <v>29.4</v>
      </c>
    </row>
    <row r="399" spans="1:10" hidden="1">
      <c r="A399" s="3282">
        <v>398</v>
      </c>
      <c r="B399" s="3283" t="s">
        <v>3270</v>
      </c>
      <c r="C399" s="3283">
        <v>7</v>
      </c>
      <c r="D399" s="3283">
        <v>805</v>
      </c>
      <c r="E399" s="3285" t="str">
        <f t="shared" si="6"/>
        <v>南-7-805</v>
      </c>
      <c r="F399" s="3283" t="s">
        <v>3545</v>
      </c>
      <c r="G399" s="3283" t="s">
        <v>3508</v>
      </c>
      <c r="H399" s="3286"/>
      <c r="I399" s="3287">
        <v>72.510000000000005</v>
      </c>
      <c r="J399" s="3286">
        <v>48.51</v>
      </c>
    </row>
    <row r="400" spans="1:10" hidden="1">
      <c r="A400" s="3282">
        <v>399</v>
      </c>
      <c r="B400" s="3283" t="s">
        <v>3509</v>
      </c>
      <c r="C400" s="3283">
        <v>7</v>
      </c>
      <c r="D400" s="3283">
        <v>806</v>
      </c>
      <c r="E400" s="3285" t="str">
        <f t="shared" si="6"/>
        <v>南-7-806</v>
      </c>
      <c r="F400" s="3283" t="s">
        <v>3546</v>
      </c>
      <c r="G400" s="3283" t="s">
        <v>3428</v>
      </c>
      <c r="H400" s="3286"/>
      <c r="I400" s="3287">
        <v>72.510000000000005</v>
      </c>
      <c r="J400" s="3286">
        <v>48.51</v>
      </c>
    </row>
    <row r="401" spans="1:10" hidden="1">
      <c r="A401" s="3282">
        <v>400</v>
      </c>
      <c r="B401" s="3283" t="s">
        <v>3262</v>
      </c>
      <c r="C401" s="3283">
        <v>7</v>
      </c>
      <c r="D401" s="3283">
        <v>807</v>
      </c>
      <c r="E401" s="3285" t="str">
        <f t="shared" si="6"/>
        <v>南-7-807</v>
      </c>
      <c r="F401" s="3283" t="s">
        <v>3547</v>
      </c>
      <c r="G401" s="3283" t="s">
        <v>3428</v>
      </c>
      <c r="H401" s="3286"/>
      <c r="I401" s="3287">
        <v>72.510000000000005</v>
      </c>
      <c r="J401" s="3286">
        <v>48.51</v>
      </c>
    </row>
    <row r="402" spans="1:10" hidden="1">
      <c r="A402" s="3282">
        <v>401</v>
      </c>
      <c r="B402" s="3283" t="s">
        <v>3262</v>
      </c>
      <c r="C402" s="3283">
        <v>7</v>
      </c>
      <c r="D402" s="3283">
        <v>808</v>
      </c>
      <c r="E402" s="3285" t="str">
        <f t="shared" si="6"/>
        <v>南-7-808</v>
      </c>
      <c r="F402" s="3283" t="s">
        <v>3548</v>
      </c>
      <c r="G402" s="3283" t="s">
        <v>3428</v>
      </c>
      <c r="H402" s="3286"/>
      <c r="I402" s="3287">
        <v>72.510000000000005</v>
      </c>
      <c r="J402" s="3286">
        <v>48.51</v>
      </c>
    </row>
    <row r="403" spans="1:10" hidden="1">
      <c r="A403" s="3282">
        <v>402</v>
      </c>
      <c r="B403" s="3283" t="s">
        <v>3262</v>
      </c>
      <c r="C403" s="3283">
        <v>7</v>
      </c>
      <c r="D403" s="3283">
        <v>809</v>
      </c>
      <c r="E403" s="3285" t="str">
        <f t="shared" si="6"/>
        <v>南-7-809</v>
      </c>
      <c r="F403" s="3283" t="s">
        <v>3549</v>
      </c>
      <c r="G403" s="3283" t="s">
        <v>3430</v>
      </c>
      <c r="H403" s="3286"/>
      <c r="I403" s="3287">
        <v>79.650000000000006</v>
      </c>
      <c r="J403" s="3286">
        <v>53.29</v>
      </c>
    </row>
    <row r="404" spans="1:10" hidden="1">
      <c r="A404" s="3282">
        <v>403</v>
      </c>
      <c r="B404" s="3283" t="s">
        <v>3270</v>
      </c>
      <c r="C404" s="3283">
        <v>7</v>
      </c>
      <c r="D404" s="3283">
        <v>810</v>
      </c>
      <c r="E404" s="3285" t="str">
        <f t="shared" si="6"/>
        <v>南-7-810</v>
      </c>
      <c r="F404" s="3283" t="s">
        <v>3550</v>
      </c>
      <c r="G404" s="3283" t="s">
        <v>3508</v>
      </c>
      <c r="H404" s="3286"/>
      <c r="I404" s="3287">
        <v>56.59</v>
      </c>
      <c r="J404" s="3286">
        <v>37.86</v>
      </c>
    </row>
    <row r="405" spans="1:10" hidden="1">
      <c r="A405" s="3282">
        <v>404</v>
      </c>
      <c r="B405" s="3283" t="s">
        <v>3509</v>
      </c>
      <c r="C405" s="3283">
        <v>7</v>
      </c>
      <c r="D405" s="3283">
        <v>811</v>
      </c>
      <c r="E405" s="3285" t="str">
        <f t="shared" si="6"/>
        <v>南-7-811</v>
      </c>
      <c r="F405" s="3283" t="s">
        <v>3551</v>
      </c>
      <c r="G405" s="3283" t="s">
        <v>3552</v>
      </c>
      <c r="H405" s="3286"/>
      <c r="I405" s="3287">
        <v>79.709999999999994</v>
      </c>
      <c r="J405" s="3286">
        <v>53.33</v>
      </c>
    </row>
    <row r="406" spans="1:10" hidden="1">
      <c r="A406" s="3282">
        <v>405</v>
      </c>
      <c r="B406" s="3283" t="s">
        <v>3057</v>
      </c>
      <c r="C406" s="3283">
        <v>7</v>
      </c>
      <c r="D406" s="3283">
        <v>812</v>
      </c>
      <c r="E406" s="3285" t="str">
        <f t="shared" si="6"/>
        <v>南-7-812</v>
      </c>
      <c r="F406" s="3283" t="s">
        <v>3553</v>
      </c>
      <c r="G406" s="3283" t="s">
        <v>3552</v>
      </c>
      <c r="H406" s="3286"/>
      <c r="I406" s="3287">
        <v>72.510000000000005</v>
      </c>
      <c r="J406" s="3286">
        <v>48.51</v>
      </c>
    </row>
    <row r="407" spans="1:10" hidden="1">
      <c r="A407" s="3282">
        <v>406</v>
      </c>
      <c r="B407" s="3283" t="s">
        <v>3057</v>
      </c>
      <c r="C407" s="3283">
        <v>7</v>
      </c>
      <c r="D407" s="3283">
        <v>813</v>
      </c>
      <c r="E407" s="3285" t="str">
        <f t="shared" si="6"/>
        <v>南-7-813</v>
      </c>
      <c r="F407" s="3283" t="s">
        <v>3554</v>
      </c>
      <c r="G407" s="3283" t="s">
        <v>3428</v>
      </c>
      <c r="H407" s="3286"/>
      <c r="I407" s="3287">
        <v>72.510000000000005</v>
      </c>
      <c r="J407" s="3286">
        <v>48.51</v>
      </c>
    </row>
    <row r="408" spans="1:10" hidden="1">
      <c r="A408" s="3282">
        <v>407</v>
      </c>
      <c r="B408" s="3283" t="s">
        <v>3262</v>
      </c>
      <c r="C408" s="3283">
        <v>7</v>
      </c>
      <c r="D408" s="3283">
        <v>814</v>
      </c>
      <c r="E408" s="3285" t="str">
        <f t="shared" si="6"/>
        <v>南-7-814</v>
      </c>
      <c r="F408" s="3283" t="s">
        <v>3555</v>
      </c>
      <c r="G408" s="3283" t="s">
        <v>3428</v>
      </c>
      <c r="H408" s="3286"/>
      <c r="I408" s="3287">
        <v>72.510000000000005</v>
      </c>
      <c r="J408" s="3286">
        <v>48.51</v>
      </c>
    </row>
    <row r="409" spans="1:10" hidden="1">
      <c r="A409" s="3282">
        <v>408</v>
      </c>
      <c r="B409" s="3283" t="s">
        <v>3262</v>
      </c>
      <c r="C409" s="3283">
        <v>7</v>
      </c>
      <c r="D409" s="3283">
        <v>815</v>
      </c>
      <c r="E409" s="3285" t="str">
        <f t="shared" si="6"/>
        <v>南-7-815</v>
      </c>
      <c r="F409" s="3283" t="s">
        <v>3556</v>
      </c>
      <c r="G409" s="3283" t="s">
        <v>3430</v>
      </c>
      <c r="H409" s="3286"/>
      <c r="I409" s="3287">
        <v>72.510000000000005</v>
      </c>
      <c r="J409" s="3286">
        <v>48.51</v>
      </c>
    </row>
    <row r="410" spans="1:10" hidden="1">
      <c r="A410" s="3282">
        <v>409</v>
      </c>
      <c r="B410" s="3283" t="s">
        <v>3270</v>
      </c>
      <c r="C410" s="3283">
        <v>7</v>
      </c>
      <c r="D410" s="3283">
        <v>816</v>
      </c>
      <c r="E410" s="3285" t="str">
        <f t="shared" si="6"/>
        <v>南-7-816</v>
      </c>
      <c r="F410" s="3283" t="s">
        <v>3557</v>
      </c>
      <c r="G410" s="3283" t="s">
        <v>3508</v>
      </c>
      <c r="H410" s="3286"/>
      <c r="I410" s="3287">
        <v>43.94</v>
      </c>
      <c r="J410" s="3286">
        <v>29.4</v>
      </c>
    </row>
    <row r="411" spans="1:10" hidden="1">
      <c r="A411" s="3282">
        <v>410</v>
      </c>
      <c r="B411" s="3283" t="s">
        <v>3509</v>
      </c>
      <c r="C411" s="3283">
        <v>7</v>
      </c>
      <c r="D411" s="3283">
        <v>901</v>
      </c>
      <c r="E411" s="3285" t="str">
        <f t="shared" si="6"/>
        <v>南-7-901</v>
      </c>
      <c r="F411" s="3283" t="s">
        <v>3558</v>
      </c>
      <c r="G411" s="3283" t="s">
        <v>3428</v>
      </c>
      <c r="H411" s="3286"/>
      <c r="I411" s="3287">
        <v>79.709999999999994</v>
      </c>
      <c r="J411" s="3286">
        <v>53.33</v>
      </c>
    </row>
    <row r="412" spans="1:10" hidden="1">
      <c r="A412" s="3282">
        <v>411</v>
      </c>
      <c r="B412" s="3283" t="s">
        <v>3262</v>
      </c>
      <c r="C412" s="3283">
        <v>7</v>
      </c>
      <c r="D412" s="3283">
        <v>902</v>
      </c>
      <c r="E412" s="3285" t="str">
        <f t="shared" si="6"/>
        <v>南-7-902</v>
      </c>
      <c r="F412" s="3283" t="s">
        <v>3559</v>
      </c>
      <c r="G412" s="3283" t="s">
        <v>3428</v>
      </c>
      <c r="H412" s="3286"/>
      <c r="I412" s="3287">
        <v>56.59</v>
      </c>
      <c r="J412" s="3286">
        <v>37.86</v>
      </c>
    </row>
    <row r="413" spans="1:10" hidden="1">
      <c r="A413" s="3282">
        <v>412</v>
      </c>
      <c r="B413" s="3283" t="s">
        <v>3262</v>
      </c>
      <c r="C413" s="3283">
        <v>7</v>
      </c>
      <c r="D413" s="3283">
        <v>903</v>
      </c>
      <c r="E413" s="3285" t="str">
        <f t="shared" si="6"/>
        <v>南-7-903</v>
      </c>
      <c r="F413" s="3283" t="s">
        <v>3560</v>
      </c>
      <c r="G413" s="3283" t="s">
        <v>3428</v>
      </c>
      <c r="H413" s="3286"/>
      <c r="I413" s="3287">
        <v>79.650000000000006</v>
      </c>
      <c r="J413" s="3286">
        <v>53.29</v>
      </c>
    </row>
    <row r="414" spans="1:10" hidden="1">
      <c r="A414" s="3282">
        <v>413</v>
      </c>
      <c r="B414" s="3283" t="s">
        <v>3262</v>
      </c>
      <c r="C414" s="3283">
        <v>7</v>
      </c>
      <c r="D414" s="3283">
        <v>904</v>
      </c>
      <c r="E414" s="3285" t="str">
        <f t="shared" si="6"/>
        <v>南-7-904</v>
      </c>
      <c r="F414" s="3283" t="s">
        <v>3561</v>
      </c>
      <c r="G414" s="3283" t="s">
        <v>3430</v>
      </c>
      <c r="H414" s="3286"/>
      <c r="I414" s="3287">
        <v>43.94</v>
      </c>
      <c r="J414" s="3286">
        <v>29.4</v>
      </c>
    </row>
    <row r="415" spans="1:10" hidden="1">
      <c r="A415" s="3282">
        <v>414</v>
      </c>
      <c r="B415" s="3283" t="s">
        <v>3270</v>
      </c>
      <c r="C415" s="3283">
        <v>7</v>
      </c>
      <c r="D415" s="3283">
        <v>905</v>
      </c>
      <c r="E415" s="3285" t="str">
        <f t="shared" si="6"/>
        <v>南-7-905</v>
      </c>
      <c r="F415" s="3283" t="s">
        <v>3562</v>
      </c>
      <c r="G415" s="3283" t="s">
        <v>3508</v>
      </c>
      <c r="H415" s="3286"/>
      <c r="I415" s="3287">
        <v>72.510000000000005</v>
      </c>
      <c r="J415" s="3286">
        <v>48.51</v>
      </c>
    </row>
    <row r="416" spans="1:10" hidden="1">
      <c r="A416" s="3282">
        <v>415</v>
      </c>
      <c r="B416" s="3283" t="s">
        <v>3509</v>
      </c>
      <c r="C416" s="3283">
        <v>7</v>
      </c>
      <c r="D416" s="3283">
        <v>906</v>
      </c>
      <c r="E416" s="3285" t="str">
        <f t="shared" si="6"/>
        <v>南-7-906</v>
      </c>
      <c r="F416" s="3283" t="s">
        <v>3563</v>
      </c>
      <c r="G416" s="3283" t="s">
        <v>3428</v>
      </c>
      <c r="H416" s="3286"/>
      <c r="I416" s="3287">
        <v>72.510000000000005</v>
      </c>
      <c r="J416" s="3286">
        <v>48.51</v>
      </c>
    </row>
    <row r="417" spans="1:10" hidden="1">
      <c r="A417" s="3282">
        <v>416</v>
      </c>
      <c r="B417" s="3283" t="s">
        <v>3262</v>
      </c>
      <c r="C417" s="3283">
        <v>7</v>
      </c>
      <c r="D417" s="3283">
        <v>907</v>
      </c>
      <c r="E417" s="3285" t="str">
        <f t="shared" si="6"/>
        <v>南-7-907</v>
      </c>
      <c r="F417" s="3283" t="s">
        <v>3564</v>
      </c>
      <c r="G417" s="3283" t="s">
        <v>3428</v>
      </c>
      <c r="H417" s="3286"/>
      <c r="I417" s="3287">
        <v>72.510000000000005</v>
      </c>
      <c r="J417" s="3286">
        <v>48.51</v>
      </c>
    </row>
    <row r="418" spans="1:10" hidden="1">
      <c r="A418" s="3282">
        <v>417</v>
      </c>
      <c r="B418" s="3283" t="s">
        <v>3262</v>
      </c>
      <c r="C418" s="3283">
        <v>7</v>
      </c>
      <c r="D418" s="3283">
        <v>908</v>
      </c>
      <c r="E418" s="3285" t="str">
        <f t="shared" si="6"/>
        <v>南-7-908</v>
      </c>
      <c r="F418" s="3283" t="s">
        <v>3565</v>
      </c>
      <c r="G418" s="3283" t="s">
        <v>3428</v>
      </c>
      <c r="H418" s="3286"/>
      <c r="I418" s="3287">
        <v>72.510000000000005</v>
      </c>
      <c r="J418" s="3286">
        <v>48.51</v>
      </c>
    </row>
    <row r="419" spans="1:10" hidden="1">
      <c r="A419" s="3282">
        <v>418</v>
      </c>
      <c r="B419" s="3283" t="s">
        <v>3262</v>
      </c>
      <c r="C419" s="3283">
        <v>7</v>
      </c>
      <c r="D419" s="3283">
        <v>909</v>
      </c>
      <c r="E419" s="3285" t="str">
        <f t="shared" si="6"/>
        <v>南-7-909</v>
      </c>
      <c r="F419" s="3283" t="s">
        <v>3566</v>
      </c>
      <c r="G419" s="3283" t="s">
        <v>3430</v>
      </c>
      <c r="H419" s="3286"/>
      <c r="I419" s="3287">
        <v>79.709999999999994</v>
      </c>
      <c r="J419" s="3286">
        <v>53.33</v>
      </c>
    </row>
    <row r="420" spans="1:10" hidden="1">
      <c r="A420" s="3282">
        <v>419</v>
      </c>
      <c r="B420" s="3283" t="s">
        <v>3270</v>
      </c>
      <c r="C420" s="3283">
        <v>7</v>
      </c>
      <c r="D420" s="3283">
        <v>910</v>
      </c>
      <c r="E420" s="3285" t="str">
        <f t="shared" si="6"/>
        <v>南-7-910</v>
      </c>
      <c r="F420" s="3283" t="s">
        <v>3567</v>
      </c>
      <c r="G420" s="3283" t="s">
        <v>3428</v>
      </c>
      <c r="H420" s="3286"/>
      <c r="I420" s="3287">
        <v>56.59</v>
      </c>
      <c r="J420" s="3286">
        <v>37.86</v>
      </c>
    </row>
    <row r="421" spans="1:10" hidden="1">
      <c r="A421" s="3282">
        <v>420</v>
      </c>
      <c r="B421" s="3283" t="s">
        <v>3262</v>
      </c>
      <c r="C421" s="3283">
        <v>7</v>
      </c>
      <c r="D421" s="3283">
        <v>911</v>
      </c>
      <c r="E421" s="3285" t="str">
        <f t="shared" si="6"/>
        <v>南-7-911</v>
      </c>
      <c r="F421" s="3283" t="s">
        <v>3568</v>
      </c>
      <c r="G421" s="3283" t="s">
        <v>3428</v>
      </c>
      <c r="H421" s="3286"/>
      <c r="I421" s="3287">
        <v>79.650000000000006</v>
      </c>
      <c r="J421" s="3286">
        <v>53.29</v>
      </c>
    </row>
    <row r="422" spans="1:10" hidden="1">
      <c r="A422" s="3282">
        <v>421</v>
      </c>
      <c r="B422" s="3283" t="s">
        <v>3262</v>
      </c>
      <c r="C422" s="3283">
        <v>7</v>
      </c>
      <c r="D422" s="3283">
        <v>912</v>
      </c>
      <c r="E422" s="3285" t="str">
        <f t="shared" si="6"/>
        <v>南-7-912</v>
      </c>
      <c r="F422" s="3283" t="s">
        <v>3569</v>
      </c>
      <c r="G422" s="3283" t="s">
        <v>3428</v>
      </c>
      <c r="H422" s="3286"/>
      <c r="I422" s="3287">
        <v>72.510000000000005</v>
      </c>
      <c r="J422" s="3286">
        <v>48.51</v>
      </c>
    </row>
    <row r="423" spans="1:10" hidden="1">
      <c r="A423" s="3282">
        <v>422</v>
      </c>
      <c r="B423" s="3283" t="s">
        <v>3262</v>
      </c>
      <c r="C423" s="3283">
        <v>7</v>
      </c>
      <c r="D423" s="3283">
        <v>913</v>
      </c>
      <c r="E423" s="3285" t="str">
        <f t="shared" si="6"/>
        <v>南-7-913</v>
      </c>
      <c r="F423" s="3283" t="s">
        <v>3570</v>
      </c>
      <c r="G423" s="3283" t="s">
        <v>3428</v>
      </c>
      <c r="H423" s="3286"/>
      <c r="I423" s="3287">
        <v>72.510000000000005</v>
      </c>
      <c r="J423" s="3286">
        <v>48.51</v>
      </c>
    </row>
    <row r="424" spans="1:10" hidden="1">
      <c r="A424" s="3282">
        <v>423</v>
      </c>
      <c r="B424" s="3283" t="s">
        <v>3262</v>
      </c>
      <c r="C424" s="3283">
        <v>7</v>
      </c>
      <c r="D424" s="3283">
        <v>914</v>
      </c>
      <c r="E424" s="3285" t="str">
        <f t="shared" si="6"/>
        <v>南-7-914</v>
      </c>
      <c r="F424" s="3283" t="s">
        <v>3571</v>
      </c>
      <c r="G424" s="3283" t="s">
        <v>3428</v>
      </c>
      <c r="H424" s="3286"/>
      <c r="I424" s="3287">
        <v>72.510000000000005</v>
      </c>
      <c r="J424" s="3286">
        <v>48.51</v>
      </c>
    </row>
    <row r="425" spans="1:10" hidden="1">
      <c r="A425" s="3282">
        <v>424</v>
      </c>
      <c r="B425" s="3283" t="s">
        <v>3262</v>
      </c>
      <c r="C425" s="3283">
        <v>7</v>
      </c>
      <c r="D425" s="3283">
        <v>915</v>
      </c>
      <c r="E425" s="3285" t="str">
        <f t="shared" si="6"/>
        <v>南-7-915</v>
      </c>
      <c r="F425" s="3283" t="s">
        <v>3572</v>
      </c>
      <c r="G425" s="3283" t="s">
        <v>3446</v>
      </c>
      <c r="H425" s="3286"/>
      <c r="I425" s="3287">
        <v>72.510000000000005</v>
      </c>
      <c r="J425" s="3286">
        <v>48.51</v>
      </c>
    </row>
    <row r="426" spans="1:10" hidden="1">
      <c r="A426" s="3282">
        <v>425</v>
      </c>
      <c r="B426" s="3283" t="s">
        <v>3447</v>
      </c>
      <c r="C426" s="3283">
        <v>7</v>
      </c>
      <c r="D426" s="3283">
        <v>916</v>
      </c>
      <c r="E426" s="3285" t="str">
        <f t="shared" si="6"/>
        <v>南-7-916</v>
      </c>
      <c r="F426" s="3283" t="s">
        <v>3573</v>
      </c>
      <c r="G426" s="3283" t="s">
        <v>3428</v>
      </c>
      <c r="H426" s="3286"/>
      <c r="I426" s="3287">
        <v>43.94</v>
      </c>
      <c r="J426" s="3286">
        <v>29.4</v>
      </c>
    </row>
    <row r="427" spans="1:10" hidden="1">
      <c r="A427" s="3282">
        <v>426</v>
      </c>
      <c r="B427" s="3283" t="s">
        <v>3262</v>
      </c>
      <c r="C427" s="3283">
        <v>7</v>
      </c>
      <c r="D427" s="3283">
        <v>1001</v>
      </c>
      <c r="E427" s="3285" t="str">
        <f t="shared" si="6"/>
        <v>南-7-1001</v>
      </c>
      <c r="F427" s="3283" t="s">
        <v>3574</v>
      </c>
      <c r="G427" s="3283" t="s">
        <v>3428</v>
      </c>
      <c r="H427" s="3286"/>
      <c r="I427" s="3287">
        <v>79.650000000000006</v>
      </c>
      <c r="J427" s="3286">
        <v>53.29</v>
      </c>
    </row>
    <row r="428" spans="1:10" hidden="1">
      <c r="A428" s="3282">
        <v>427</v>
      </c>
      <c r="B428" s="3283" t="s">
        <v>3262</v>
      </c>
      <c r="C428" s="3283">
        <v>7</v>
      </c>
      <c r="D428" s="3283">
        <v>1002</v>
      </c>
      <c r="E428" s="3285" t="str">
        <f t="shared" si="6"/>
        <v>南-7-1002</v>
      </c>
      <c r="F428" s="3283" t="s">
        <v>3575</v>
      </c>
      <c r="G428" s="3283" t="s">
        <v>3428</v>
      </c>
      <c r="H428" s="3286"/>
      <c r="I428" s="3287">
        <v>56.59</v>
      </c>
      <c r="J428" s="3286">
        <v>37.86</v>
      </c>
    </row>
    <row r="429" spans="1:10" hidden="1">
      <c r="A429" s="3282">
        <v>428</v>
      </c>
      <c r="B429" s="3283" t="s">
        <v>3262</v>
      </c>
      <c r="C429" s="3283">
        <v>7</v>
      </c>
      <c r="D429" s="3283">
        <v>1003</v>
      </c>
      <c r="E429" s="3285" t="str">
        <f t="shared" si="6"/>
        <v>南-7-1003</v>
      </c>
      <c r="F429" s="3283" t="s">
        <v>3576</v>
      </c>
      <c r="G429" s="3283" t="s">
        <v>3428</v>
      </c>
      <c r="H429" s="3286"/>
      <c r="I429" s="3287">
        <v>79.709999999999994</v>
      </c>
      <c r="J429" s="3286">
        <v>53.33</v>
      </c>
    </row>
    <row r="430" spans="1:10" hidden="1">
      <c r="A430" s="3282">
        <v>429</v>
      </c>
      <c r="B430" s="3283" t="s">
        <v>3262</v>
      </c>
      <c r="C430" s="3283">
        <v>7</v>
      </c>
      <c r="D430" s="3283">
        <v>1004</v>
      </c>
      <c r="E430" s="3285" t="str">
        <f t="shared" si="6"/>
        <v>南-7-1004</v>
      </c>
      <c r="F430" s="3283" t="s">
        <v>3577</v>
      </c>
      <c r="G430" s="3283" t="s">
        <v>3428</v>
      </c>
      <c r="H430" s="3286"/>
      <c r="I430" s="3287">
        <v>43.94</v>
      </c>
      <c r="J430" s="3286">
        <v>29.4</v>
      </c>
    </row>
    <row r="431" spans="1:10" hidden="1">
      <c r="A431" s="3282">
        <v>430</v>
      </c>
      <c r="B431" s="3283" t="s">
        <v>3262</v>
      </c>
      <c r="C431" s="3283">
        <v>7</v>
      </c>
      <c r="D431" s="3283">
        <v>1005</v>
      </c>
      <c r="E431" s="3285" t="str">
        <f t="shared" si="6"/>
        <v>南-7-1005</v>
      </c>
      <c r="F431" s="3283" t="s">
        <v>3578</v>
      </c>
      <c r="G431" s="3283" t="s">
        <v>3428</v>
      </c>
      <c r="H431" s="3286"/>
      <c r="I431" s="3287">
        <v>72.510000000000005</v>
      </c>
      <c r="J431" s="3286">
        <v>48.51</v>
      </c>
    </row>
    <row r="432" spans="1:10" hidden="1">
      <c r="A432" s="3282">
        <v>431</v>
      </c>
      <c r="B432" s="3283" t="s">
        <v>3262</v>
      </c>
      <c r="C432" s="3283">
        <v>7</v>
      </c>
      <c r="D432" s="3283">
        <v>1006</v>
      </c>
      <c r="E432" s="3285" t="str">
        <f t="shared" si="6"/>
        <v>南-7-1006</v>
      </c>
      <c r="F432" s="3283" t="s">
        <v>3579</v>
      </c>
      <c r="G432" s="3283" t="s">
        <v>3428</v>
      </c>
      <c r="H432" s="3286"/>
      <c r="I432" s="3287">
        <v>72.510000000000005</v>
      </c>
      <c r="J432" s="3286">
        <v>48.51</v>
      </c>
    </row>
    <row r="433" spans="1:10" hidden="1">
      <c r="A433" s="3282">
        <v>432</v>
      </c>
      <c r="B433" s="3283" t="s">
        <v>3262</v>
      </c>
      <c r="C433" s="3283">
        <v>7</v>
      </c>
      <c r="D433" s="3283">
        <v>1007</v>
      </c>
      <c r="E433" s="3285" t="str">
        <f t="shared" si="6"/>
        <v>南-7-1007</v>
      </c>
      <c r="F433" s="3283" t="s">
        <v>3580</v>
      </c>
      <c r="G433" s="3283" t="s">
        <v>3428</v>
      </c>
      <c r="H433" s="3286"/>
      <c r="I433" s="3287">
        <v>72.510000000000005</v>
      </c>
      <c r="J433" s="3286">
        <v>48.51</v>
      </c>
    </row>
    <row r="434" spans="1:10" hidden="1">
      <c r="A434" s="3282">
        <v>433</v>
      </c>
      <c r="B434" s="3283" t="s">
        <v>3262</v>
      </c>
      <c r="C434" s="3283">
        <v>7</v>
      </c>
      <c r="D434" s="3283">
        <v>1008</v>
      </c>
      <c r="E434" s="3285" t="str">
        <f t="shared" si="6"/>
        <v>南-7-1008</v>
      </c>
      <c r="F434" s="3283" t="s">
        <v>3581</v>
      </c>
      <c r="G434" s="3283" t="s">
        <v>3428</v>
      </c>
      <c r="H434" s="3286"/>
      <c r="I434" s="3287">
        <v>72.510000000000005</v>
      </c>
      <c r="J434" s="3286">
        <v>48.51</v>
      </c>
    </row>
    <row r="435" spans="1:10" hidden="1">
      <c r="A435" s="3282">
        <v>434</v>
      </c>
      <c r="B435" s="3283" t="s">
        <v>3262</v>
      </c>
      <c r="C435" s="3283">
        <v>7</v>
      </c>
      <c r="D435" s="3283">
        <v>1009</v>
      </c>
      <c r="E435" s="3285" t="str">
        <f t="shared" si="6"/>
        <v>南-7-1009</v>
      </c>
      <c r="F435" s="3283" t="s">
        <v>3582</v>
      </c>
      <c r="G435" s="3283" t="s">
        <v>3428</v>
      </c>
      <c r="H435" s="3286"/>
      <c r="I435" s="3287">
        <v>79.650000000000006</v>
      </c>
      <c r="J435" s="3286">
        <v>53.29</v>
      </c>
    </row>
    <row r="436" spans="1:10" hidden="1">
      <c r="A436" s="3282">
        <v>435</v>
      </c>
      <c r="B436" s="3283" t="s">
        <v>3262</v>
      </c>
      <c r="C436" s="3283">
        <v>7</v>
      </c>
      <c r="D436" s="3283">
        <v>1010</v>
      </c>
      <c r="E436" s="3285" t="str">
        <f t="shared" si="6"/>
        <v>南-7-1010</v>
      </c>
      <c r="F436" s="3283" t="s">
        <v>3583</v>
      </c>
      <c r="G436" s="3283" t="s">
        <v>3428</v>
      </c>
      <c r="H436" s="3286"/>
      <c r="I436" s="3287">
        <v>56.59</v>
      </c>
      <c r="J436" s="3286">
        <v>37.86</v>
      </c>
    </row>
    <row r="437" spans="1:10" hidden="1">
      <c r="A437" s="3282">
        <v>436</v>
      </c>
      <c r="B437" s="3283" t="s">
        <v>3262</v>
      </c>
      <c r="C437" s="3283">
        <v>7</v>
      </c>
      <c r="D437" s="3283">
        <v>1011</v>
      </c>
      <c r="E437" s="3285" t="str">
        <f t="shared" si="6"/>
        <v>南-7-1011</v>
      </c>
      <c r="F437" s="3283" t="s">
        <v>3584</v>
      </c>
      <c r="G437" s="3283" t="s">
        <v>3428</v>
      </c>
      <c r="H437" s="3286"/>
      <c r="I437" s="3287">
        <v>79.709999999999994</v>
      </c>
      <c r="J437" s="3286">
        <v>53.33</v>
      </c>
    </row>
    <row r="438" spans="1:10" hidden="1">
      <c r="A438" s="3282">
        <v>437</v>
      </c>
      <c r="B438" s="3283" t="s">
        <v>3262</v>
      </c>
      <c r="C438" s="3283">
        <v>7</v>
      </c>
      <c r="D438" s="3283">
        <v>1012</v>
      </c>
      <c r="E438" s="3285" t="str">
        <f t="shared" si="6"/>
        <v>南-7-1012</v>
      </c>
      <c r="F438" s="3283" t="s">
        <v>3585</v>
      </c>
      <c r="G438" s="3283" t="s">
        <v>3428</v>
      </c>
      <c r="H438" s="3286"/>
      <c r="I438" s="3287">
        <v>72.510000000000005</v>
      </c>
      <c r="J438" s="3286">
        <v>48.51</v>
      </c>
    </row>
    <row r="439" spans="1:10" hidden="1">
      <c r="A439" s="3282">
        <v>438</v>
      </c>
      <c r="B439" s="3283" t="s">
        <v>3262</v>
      </c>
      <c r="C439" s="3283">
        <v>7</v>
      </c>
      <c r="D439" s="3283">
        <v>1013</v>
      </c>
      <c r="E439" s="3285" t="str">
        <f t="shared" si="6"/>
        <v>南-7-1013</v>
      </c>
      <c r="F439" s="3283" t="s">
        <v>3586</v>
      </c>
      <c r="G439" s="3283" t="s">
        <v>3428</v>
      </c>
      <c r="H439" s="3286"/>
      <c r="I439" s="3287">
        <v>72.510000000000005</v>
      </c>
      <c r="J439" s="3286">
        <v>48.51</v>
      </c>
    </row>
    <row r="440" spans="1:10" hidden="1">
      <c r="A440" s="3282">
        <v>439</v>
      </c>
      <c r="B440" s="3283" t="s">
        <v>3262</v>
      </c>
      <c r="C440" s="3283">
        <v>7</v>
      </c>
      <c r="D440" s="3283">
        <v>1014</v>
      </c>
      <c r="E440" s="3285" t="str">
        <f t="shared" si="6"/>
        <v>南-7-1014</v>
      </c>
      <c r="F440" s="3283" t="s">
        <v>3587</v>
      </c>
      <c r="G440" s="3283" t="s">
        <v>3428</v>
      </c>
      <c r="H440" s="3286"/>
      <c r="I440" s="3287">
        <v>72.510000000000005</v>
      </c>
      <c r="J440" s="3286">
        <v>48.51</v>
      </c>
    </row>
    <row r="441" spans="1:10" hidden="1">
      <c r="A441" s="3282">
        <v>440</v>
      </c>
      <c r="B441" s="3283" t="s">
        <v>3262</v>
      </c>
      <c r="C441" s="3283">
        <v>7</v>
      </c>
      <c r="D441" s="3283">
        <v>1015</v>
      </c>
      <c r="E441" s="3285" t="str">
        <f t="shared" si="6"/>
        <v>南-7-1015</v>
      </c>
      <c r="F441" s="3283" t="s">
        <v>3588</v>
      </c>
      <c r="G441" s="3283" t="s">
        <v>3428</v>
      </c>
      <c r="H441" s="3286"/>
      <c r="I441" s="3287">
        <v>72.510000000000005</v>
      </c>
      <c r="J441" s="3286">
        <v>48.51</v>
      </c>
    </row>
    <row r="442" spans="1:10" hidden="1">
      <c r="A442" s="3282">
        <v>441</v>
      </c>
      <c r="B442" s="3283" t="s">
        <v>3262</v>
      </c>
      <c r="C442" s="3283">
        <v>7</v>
      </c>
      <c r="D442" s="3283">
        <v>1016</v>
      </c>
      <c r="E442" s="3285" t="str">
        <f t="shared" si="6"/>
        <v>南-7-1016</v>
      </c>
      <c r="F442" s="3283" t="s">
        <v>3589</v>
      </c>
      <c r="G442" s="3283" t="s">
        <v>3428</v>
      </c>
      <c r="H442" s="3286"/>
      <c r="I442" s="3287">
        <v>43.94</v>
      </c>
      <c r="J442" s="3286">
        <v>29.4</v>
      </c>
    </row>
    <row r="443" spans="1:10" hidden="1">
      <c r="A443" s="3282">
        <v>442</v>
      </c>
      <c r="B443" s="3283" t="s">
        <v>3262</v>
      </c>
      <c r="C443" s="3283">
        <v>7</v>
      </c>
      <c r="D443" s="3283">
        <v>1101</v>
      </c>
      <c r="E443" s="3285" t="str">
        <f t="shared" si="6"/>
        <v>南-7-1101</v>
      </c>
      <c r="F443" s="3283" t="s">
        <v>3590</v>
      </c>
      <c r="G443" s="3283" t="s">
        <v>3428</v>
      </c>
      <c r="H443" s="3286"/>
      <c r="I443" s="3287">
        <v>79.709999999999994</v>
      </c>
      <c r="J443" s="3286">
        <v>53.33</v>
      </c>
    </row>
    <row r="444" spans="1:10" hidden="1">
      <c r="A444" s="3282">
        <v>443</v>
      </c>
      <c r="B444" s="3283" t="s">
        <v>3262</v>
      </c>
      <c r="C444" s="3283">
        <v>7</v>
      </c>
      <c r="D444" s="3283">
        <v>1102</v>
      </c>
      <c r="E444" s="3285" t="str">
        <f t="shared" si="6"/>
        <v>南-7-1102</v>
      </c>
      <c r="F444" s="3283" t="s">
        <v>3591</v>
      </c>
      <c r="G444" s="3283" t="s">
        <v>3428</v>
      </c>
      <c r="H444" s="3286"/>
      <c r="I444" s="3287">
        <v>56.59</v>
      </c>
      <c r="J444" s="3286">
        <v>37.86</v>
      </c>
    </row>
    <row r="445" spans="1:10" hidden="1">
      <c r="A445" s="3282">
        <v>444</v>
      </c>
      <c r="B445" s="3283" t="s">
        <v>3262</v>
      </c>
      <c r="C445" s="3283">
        <v>7</v>
      </c>
      <c r="D445" s="3283">
        <v>1103</v>
      </c>
      <c r="E445" s="3285" t="str">
        <f t="shared" si="6"/>
        <v>南-7-1103</v>
      </c>
      <c r="F445" s="3283" t="s">
        <v>3592</v>
      </c>
      <c r="G445" s="3283" t="s">
        <v>3428</v>
      </c>
      <c r="H445" s="3286"/>
      <c r="I445" s="3287">
        <v>79.650000000000006</v>
      </c>
      <c r="J445" s="3286">
        <v>53.29</v>
      </c>
    </row>
    <row r="446" spans="1:10" hidden="1">
      <c r="A446" s="3282">
        <v>445</v>
      </c>
      <c r="B446" s="3283" t="s">
        <v>3262</v>
      </c>
      <c r="C446" s="3283">
        <v>7</v>
      </c>
      <c r="D446" s="3283">
        <v>1104</v>
      </c>
      <c r="E446" s="3285" t="str">
        <f t="shared" si="6"/>
        <v>南-7-1104</v>
      </c>
      <c r="F446" s="3283" t="s">
        <v>3593</v>
      </c>
      <c r="G446" s="3283" t="s">
        <v>3428</v>
      </c>
      <c r="H446" s="3286"/>
      <c r="I446" s="3287">
        <v>43.94</v>
      </c>
      <c r="J446" s="3286">
        <v>29.4</v>
      </c>
    </row>
    <row r="447" spans="1:10" hidden="1">
      <c r="A447" s="3282">
        <v>446</v>
      </c>
      <c r="B447" s="3283" t="s">
        <v>3262</v>
      </c>
      <c r="C447" s="3283">
        <v>7</v>
      </c>
      <c r="D447" s="3283">
        <v>1105</v>
      </c>
      <c r="E447" s="3285" t="str">
        <f t="shared" si="6"/>
        <v>南-7-1105</v>
      </c>
      <c r="F447" s="3283" t="s">
        <v>3594</v>
      </c>
      <c r="G447" s="3283" t="s">
        <v>3428</v>
      </c>
      <c r="H447" s="3286"/>
      <c r="I447" s="3287">
        <v>72.510000000000005</v>
      </c>
      <c r="J447" s="3286">
        <v>48.51</v>
      </c>
    </row>
    <row r="448" spans="1:10" hidden="1">
      <c r="A448" s="3282">
        <v>447</v>
      </c>
      <c r="B448" s="3283" t="s">
        <v>3262</v>
      </c>
      <c r="C448" s="3283">
        <v>7</v>
      </c>
      <c r="D448" s="3283">
        <v>1106</v>
      </c>
      <c r="E448" s="3285" t="str">
        <f t="shared" si="6"/>
        <v>南-7-1106</v>
      </c>
      <c r="F448" s="3283" t="s">
        <v>3595</v>
      </c>
      <c r="G448" s="3283" t="s">
        <v>3428</v>
      </c>
      <c r="H448" s="3286"/>
      <c r="I448" s="3287">
        <v>72.510000000000005</v>
      </c>
      <c r="J448" s="3286">
        <v>48.51</v>
      </c>
    </row>
    <row r="449" spans="1:10" hidden="1">
      <c r="A449" s="3282">
        <v>448</v>
      </c>
      <c r="B449" s="3283" t="s">
        <v>3262</v>
      </c>
      <c r="C449" s="3283">
        <v>7</v>
      </c>
      <c r="D449" s="3283">
        <v>1107</v>
      </c>
      <c r="E449" s="3285" t="str">
        <f t="shared" si="6"/>
        <v>南-7-1107</v>
      </c>
      <c r="F449" s="3283" t="s">
        <v>3596</v>
      </c>
      <c r="G449" s="3283" t="s">
        <v>3428</v>
      </c>
      <c r="H449" s="3286"/>
      <c r="I449" s="3287">
        <v>72.510000000000005</v>
      </c>
      <c r="J449" s="3286">
        <v>48.51</v>
      </c>
    </row>
    <row r="450" spans="1:10" hidden="1">
      <c r="A450" s="3282">
        <v>449</v>
      </c>
      <c r="B450" s="3283" t="s">
        <v>3262</v>
      </c>
      <c r="C450" s="3283">
        <v>7</v>
      </c>
      <c r="D450" s="3283">
        <v>1108</v>
      </c>
      <c r="E450" s="3285" t="str">
        <f t="shared" si="6"/>
        <v>南-7-1108</v>
      </c>
      <c r="F450" s="3283" t="s">
        <v>3597</v>
      </c>
      <c r="G450" s="3283" t="s">
        <v>3428</v>
      </c>
      <c r="H450" s="3286"/>
      <c r="I450" s="3287">
        <v>72.510000000000005</v>
      </c>
      <c r="J450" s="3286">
        <v>48.51</v>
      </c>
    </row>
    <row r="451" spans="1:10" hidden="1">
      <c r="A451" s="3282">
        <v>450</v>
      </c>
      <c r="B451" s="3283" t="s">
        <v>3262</v>
      </c>
      <c r="C451" s="3283">
        <v>7</v>
      </c>
      <c r="D451" s="3283">
        <v>1109</v>
      </c>
      <c r="E451" s="3285" t="str">
        <f t="shared" ref="E451:E514" si="7">B451&amp;-C451&amp;"-"&amp;D451</f>
        <v>南-7-1109</v>
      </c>
      <c r="F451" s="3283" t="s">
        <v>3598</v>
      </c>
      <c r="G451" s="3283" t="s">
        <v>3428</v>
      </c>
      <c r="H451" s="3286"/>
      <c r="I451" s="3287">
        <v>79.709999999999994</v>
      </c>
      <c r="J451" s="3286">
        <v>53.33</v>
      </c>
    </row>
    <row r="452" spans="1:10" hidden="1">
      <c r="A452" s="3282">
        <v>451</v>
      </c>
      <c r="B452" s="3283" t="s">
        <v>3262</v>
      </c>
      <c r="C452" s="3283">
        <v>7</v>
      </c>
      <c r="D452" s="3283">
        <v>1110</v>
      </c>
      <c r="E452" s="3285" t="str">
        <f t="shared" si="7"/>
        <v>南-7-1110</v>
      </c>
      <c r="F452" s="3283" t="s">
        <v>3599</v>
      </c>
      <c r="G452" s="3283" t="s">
        <v>3428</v>
      </c>
      <c r="H452" s="3286"/>
      <c r="I452" s="3287">
        <v>56.59</v>
      </c>
      <c r="J452" s="3286">
        <v>37.86</v>
      </c>
    </row>
    <row r="453" spans="1:10" hidden="1">
      <c r="A453" s="3282">
        <v>452</v>
      </c>
      <c r="B453" s="3283" t="s">
        <v>3262</v>
      </c>
      <c r="C453" s="3283">
        <v>7</v>
      </c>
      <c r="D453" s="3283">
        <v>1111</v>
      </c>
      <c r="E453" s="3285" t="str">
        <f t="shared" si="7"/>
        <v>南-7-1111</v>
      </c>
      <c r="F453" s="3283" t="s">
        <v>3600</v>
      </c>
      <c r="G453" s="3283" t="s">
        <v>3428</v>
      </c>
      <c r="H453" s="3286"/>
      <c r="I453" s="3287">
        <v>79.650000000000006</v>
      </c>
      <c r="J453" s="3286">
        <v>53.29</v>
      </c>
    </row>
    <row r="454" spans="1:10" hidden="1">
      <c r="A454" s="3282">
        <v>453</v>
      </c>
      <c r="B454" s="3283" t="s">
        <v>3262</v>
      </c>
      <c r="C454" s="3283">
        <v>7</v>
      </c>
      <c r="D454" s="3283">
        <v>1112</v>
      </c>
      <c r="E454" s="3285" t="str">
        <f t="shared" si="7"/>
        <v>南-7-1112</v>
      </c>
      <c r="F454" s="3283" t="s">
        <v>3601</v>
      </c>
      <c r="G454" s="3283" t="s">
        <v>3428</v>
      </c>
      <c r="H454" s="3286"/>
      <c r="I454" s="3287">
        <v>72.510000000000005</v>
      </c>
      <c r="J454" s="3286">
        <v>48.51</v>
      </c>
    </row>
    <row r="455" spans="1:10" hidden="1">
      <c r="A455" s="3282">
        <v>454</v>
      </c>
      <c r="B455" s="3283" t="s">
        <v>3262</v>
      </c>
      <c r="C455" s="3283">
        <v>7</v>
      </c>
      <c r="D455" s="3283">
        <v>1113</v>
      </c>
      <c r="E455" s="3285" t="str">
        <f t="shared" si="7"/>
        <v>南-7-1113</v>
      </c>
      <c r="F455" s="3283" t="s">
        <v>3602</v>
      </c>
      <c r="G455" s="3283" t="s">
        <v>3428</v>
      </c>
      <c r="H455" s="3286"/>
      <c r="I455" s="3287">
        <v>72.510000000000005</v>
      </c>
      <c r="J455" s="3286">
        <v>48.51</v>
      </c>
    </row>
    <row r="456" spans="1:10" hidden="1">
      <c r="A456" s="3282">
        <v>455</v>
      </c>
      <c r="B456" s="3283" t="s">
        <v>3262</v>
      </c>
      <c r="C456" s="3283">
        <v>7</v>
      </c>
      <c r="D456" s="3283">
        <v>1114</v>
      </c>
      <c r="E456" s="3285" t="str">
        <f t="shared" si="7"/>
        <v>南-7-1114</v>
      </c>
      <c r="F456" s="3283" t="s">
        <v>3603</v>
      </c>
      <c r="G456" s="3283" t="s">
        <v>3428</v>
      </c>
      <c r="H456" s="3286"/>
      <c r="I456" s="3287">
        <v>72.510000000000005</v>
      </c>
      <c r="J456" s="3286">
        <v>48.51</v>
      </c>
    </row>
    <row r="457" spans="1:10" hidden="1">
      <c r="A457" s="3282">
        <v>456</v>
      </c>
      <c r="B457" s="3283" t="s">
        <v>3262</v>
      </c>
      <c r="C457" s="3283">
        <v>7</v>
      </c>
      <c r="D457" s="3283">
        <v>1115</v>
      </c>
      <c r="E457" s="3285" t="str">
        <f t="shared" si="7"/>
        <v>南-7-1115</v>
      </c>
      <c r="F457" s="3283" t="s">
        <v>3604</v>
      </c>
      <c r="G457" s="3283" t="s">
        <v>3428</v>
      </c>
      <c r="H457" s="3286"/>
      <c r="I457" s="3287">
        <v>72.510000000000005</v>
      </c>
      <c r="J457" s="3286">
        <v>48.51</v>
      </c>
    </row>
    <row r="458" spans="1:10" hidden="1">
      <c r="A458" s="3282">
        <v>457</v>
      </c>
      <c r="B458" s="3283" t="s">
        <v>3262</v>
      </c>
      <c r="C458" s="3283">
        <v>7</v>
      </c>
      <c r="D458" s="3283">
        <v>1116</v>
      </c>
      <c r="E458" s="3285" t="str">
        <f t="shared" si="7"/>
        <v>南-7-1116</v>
      </c>
      <c r="F458" s="3283" t="s">
        <v>3605</v>
      </c>
      <c r="G458" s="3283" t="s">
        <v>3428</v>
      </c>
      <c r="H458" s="3286"/>
      <c r="I458" s="3287">
        <v>43.94</v>
      </c>
      <c r="J458" s="3286">
        <v>29.4</v>
      </c>
    </row>
    <row r="459" spans="1:10" hidden="1">
      <c r="A459" s="3282">
        <v>458</v>
      </c>
      <c r="B459" s="3283" t="s">
        <v>3262</v>
      </c>
      <c r="C459" s="3283">
        <v>7</v>
      </c>
      <c r="D459" s="3283">
        <v>1201</v>
      </c>
      <c r="E459" s="3285" t="str">
        <f t="shared" si="7"/>
        <v>南-7-1201</v>
      </c>
      <c r="F459" s="3283" t="s">
        <v>3606</v>
      </c>
      <c r="G459" s="3283" t="s">
        <v>3428</v>
      </c>
      <c r="H459" s="3286"/>
      <c r="I459" s="3287">
        <v>79.650000000000006</v>
      </c>
      <c r="J459" s="3286">
        <v>53.29</v>
      </c>
    </row>
    <row r="460" spans="1:10" hidden="1">
      <c r="A460" s="3282">
        <v>459</v>
      </c>
      <c r="B460" s="3283" t="s">
        <v>3262</v>
      </c>
      <c r="C460" s="3283">
        <v>7</v>
      </c>
      <c r="D460" s="3283">
        <v>1202</v>
      </c>
      <c r="E460" s="3285" t="str">
        <f t="shared" si="7"/>
        <v>南-7-1202</v>
      </c>
      <c r="F460" s="3283" t="s">
        <v>3607</v>
      </c>
      <c r="G460" s="3283" t="s">
        <v>3428</v>
      </c>
      <c r="H460" s="3286"/>
      <c r="I460" s="3287">
        <v>56.59</v>
      </c>
      <c r="J460" s="3286">
        <v>37.86</v>
      </c>
    </row>
    <row r="461" spans="1:10" hidden="1">
      <c r="A461" s="3282">
        <v>460</v>
      </c>
      <c r="B461" s="3283" t="s">
        <v>3262</v>
      </c>
      <c r="C461" s="3283">
        <v>7</v>
      </c>
      <c r="D461" s="3283">
        <v>1203</v>
      </c>
      <c r="E461" s="3285" t="str">
        <f t="shared" si="7"/>
        <v>南-7-1203</v>
      </c>
      <c r="F461" s="3283" t="s">
        <v>3608</v>
      </c>
      <c r="G461" s="3283" t="s">
        <v>3428</v>
      </c>
      <c r="H461" s="3286"/>
      <c r="I461" s="3287">
        <v>79.709999999999994</v>
      </c>
      <c r="J461" s="3286">
        <v>53.33</v>
      </c>
    </row>
    <row r="462" spans="1:10" hidden="1">
      <c r="A462" s="3282">
        <v>461</v>
      </c>
      <c r="B462" s="3283" t="s">
        <v>3262</v>
      </c>
      <c r="C462" s="3283">
        <v>7</v>
      </c>
      <c r="D462" s="3283">
        <v>1204</v>
      </c>
      <c r="E462" s="3285" t="str">
        <f t="shared" si="7"/>
        <v>南-7-1204</v>
      </c>
      <c r="F462" s="3283" t="s">
        <v>3609</v>
      </c>
      <c r="G462" s="3283" t="s">
        <v>3428</v>
      </c>
      <c r="H462" s="3286"/>
      <c r="I462" s="3287">
        <v>43.94</v>
      </c>
      <c r="J462" s="3286">
        <v>29.4</v>
      </c>
    </row>
    <row r="463" spans="1:10" hidden="1">
      <c r="A463" s="3282">
        <v>462</v>
      </c>
      <c r="B463" s="3283" t="s">
        <v>3262</v>
      </c>
      <c r="C463" s="3283">
        <v>7</v>
      </c>
      <c r="D463" s="3283">
        <v>1205</v>
      </c>
      <c r="E463" s="3285" t="str">
        <f t="shared" si="7"/>
        <v>南-7-1205</v>
      </c>
      <c r="F463" s="3283" t="s">
        <v>3610</v>
      </c>
      <c r="G463" s="3283" t="s">
        <v>3428</v>
      </c>
      <c r="H463" s="3286"/>
      <c r="I463" s="3287">
        <v>72.510000000000005</v>
      </c>
      <c r="J463" s="3286">
        <v>48.51</v>
      </c>
    </row>
    <row r="464" spans="1:10" hidden="1">
      <c r="A464" s="3282">
        <v>463</v>
      </c>
      <c r="B464" s="3283" t="s">
        <v>3262</v>
      </c>
      <c r="C464" s="3283">
        <v>7</v>
      </c>
      <c r="D464" s="3283">
        <v>1206</v>
      </c>
      <c r="E464" s="3285" t="str">
        <f t="shared" si="7"/>
        <v>南-7-1206</v>
      </c>
      <c r="F464" s="3283" t="s">
        <v>3611</v>
      </c>
      <c r="G464" s="3283" t="s">
        <v>3428</v>
      </c>
      <c r="H464" s="3286"/>
      <c r="I464" s="3287">
        <v>72.510000000000005</v>
      </c>
      <c r="J464" s="3286">
        <v>48.51</v>
      </c>
    </row>
    <row r="465" spans="1:10" hidden="1">
      <c r="A465" s="3282">
        <v>464</v>
      </c>
      <c r="B465" s="3283" t="s">
        <v>3262</v>
      </c>
      <c r="C465" s="3283">
        <v>7</v>
      </c>
      <c r="D465" s="3283">
        <v>1207</v>
      </c>
      <c r="E465" s="3285" t="str">
        <f t="shared" si="7"/>
        <v>南-7-1207</v>
      </c>
      <c r="F465" s="3283" t="s">
        <v>3612</v>
      </c>
      <c r="G465" s="3283" t="s">
        <v>3428</v>
      </c>
      <c r="H465" s="3286"/>
      <c r="I465" s="3287">
        <v>72.510000000000005</v>
      </c>
      <c r="J465" s="3286">
        <v>48.51</v>
      </c>
    </row>
    <row r="466" spans="1:10" hidden="1">
      <c r="A466" s="3282">
        <v>465</v>
      </c>
      <c r="B466" s="3283" t="s">
        <v>3262</v>
      </c>
      <c r="C466" s="3283">
        <v>7</v>
      </c>
      <c r="D466" s="3283">
        <v>1208</v>
      </c>
      <c r="E466" s="3285" t="str">
        <f t="shared" si="7"/>
        <v>南-7-1208</v>
      </c>
      <c r="F466" s="3283" t="s">
        <v>3613</v>
      </c>
      <c r="G466" s="3283" t="s">
        <v>3428</v>
      </c>
      <c r="H466" s="3286"/>
      <c r="I466" s="3287">
        <v>72.510000000000005</v>
      </c>
      <c r="J466" s="3286">
        <v>48.51</v>
      </c>
    </row>
    <row r="467" spans="1:10" hidden="1">
      <c r="A467" s="3282">
        <v>466</v>
      </c>
      <c r="B467" s="3283" t="s">
        <v>3262</v>
      </c>
      <c r="C467" s="3283">
        <v>7</v>
      </c>
      <c r="D467" s="3283">
        <v>1209</v>
      </c>
      <c r="E467" s="3285" t="str">
        <f t="shared" si="7"/>
        <v>南-7-1209</v>
      </c>
      <c r="F467" s="3283" t="s">
        <v>3614</v>
      </c>
      <c r="G467" s="3283" t="s">
        <v>3428</v>
      </c>
      <c r="H467" s="3286"/>
      <c r="I467" s="3287">
        <v>79.650000000000006</v>
      </c>
      <c r="J467" s="3286">
        <v>53.29</v>
      </c>
    </row>
    <row r="468" spans="1:10" hidden="1">
      <c r="A468" s="3282">
        <v>467</v>
      </c>
      <c r="B468" s="3283" t="s">
        <v>3262</v>
      </c>
      <c r="C468" s="3283">
        <v>7</v>
      </c>
      <c r="D468" s="3283">
        <v>1210</v>
      </c>
      <c r="E468" s="3285" t="str">
        <f t="shared" si="7"/>
        <v>南-7-1210</v>
      </c>
      <c r="F468" s="3283" t="s">
        <v>3615</v>
      </c>
      <c r="G468" s="3283" t="s">
        <v>3428</v>
      </c>
      <c r="H468" s="3286"/>
      <c r="I468" s="3287">
        <v>56.59</v>
      </c>
      <c r="J468" s="3286">
        <v>37.86</v>
      </c>
    </row>
    <row r="469" spans="1:10" hidden="1">
      <c r="A469" s="3282">
        <v>468</v>
      </c>
      <c r="B469" s="3283" t="s">
        <v>3262</v>
      </c>
      <c r="C469" s="3283">
        <v>7</v>
      </c>
      <c r="D469" s="3283">
        <v>1211</v>
      </c>
      <c r="E469" s="3285" t="str">
        <f t="shared" si="7"/>
        <v>南-7-1211</v>
      </c>
      <c r="F469" s="3283" t="s">
        <v>3616</v>
      </c>
      <c r="G469" s="3283" t="s">
        <v>3428</v>
      </c>
      <c r="H469" s="3286"/>
      <c r="I469" s="3287">
        <v>79.709999999999994</v>
      </c>
      <c r="J469" s="3286">
        <v>53.33</v>
      </c>
    </row>
    <row r="470" spans="1:10" hidden="1">
      <c r="A470" s="3282">
        <v>469</v>
      </c>
      <c r="B470" s="3283" t="s">
        <v>3262</v>
      </c>
      <c r="C470" s="3283">
        <v>7</v>
      </c>
      <c r="D470" s="3283">
        <v>1212</v>
      </c>
      <c r="E470" s="3285" t="str">
        <f t="shared" si="7"/>
        <v>南-7-1212</v>
      </c>
      <c r="F470" s="3283" t="s">
        <v>3617</v>
      </c>
      <c r="G470" s="3283" t="s">
        <v>3428</v>
      </c>
      <c r="H470" s="3286"/>
      <c r="I470" s="3287">
        <v>72.510000000000005</v>
      </c>
      <c r="J470" s="3286">
        <v>48.51</v>
      </c>
    </row>
    <row r="471" spans="1:10" hidden="1">
      <c r="A471" s="3282">
        <v>470</v>
      </c>
      <c r="B471" s="3283" t="s">
        <v>3262</v>
      </c>
      <c r="C471" s="3283">
        <v>7</v>
      </c>
      <c r="D471" s="3283">
        <v>1213</v>
      </c>
      <c r="E471" s="3285" t="str">
        <f t="shared" si="7"/>
        <v>南-7-1213</v>
      </c>
      <c r="F471" s="3283" t="s">
        <v>3618</v>
      </c>
      <c r="G471" s="3283" t="s">
        <v>3428</v>
      </c>
      <c r="H471" s="3286"/>
      <c r="I471" s="3287">
        <v>72.510000000000005</v>
      </c>
      <c r="J471" s="3286">
        <v>48.51</v>
      </c>
    </row>
    <row r="472" spans="1:10" hidden="1">
      <c r="A472" s="3282">
        <v>471</v>
      </c>
      <c r="B472" s="3283" t="s">
        <v>3262</v>
      </c>
      <c r="C472" s="3283">
        <v>7</v>
      </c>
      <c r="D472" s="3283">
        <v>1214</v>
      </c>
      <c r="E472" s="3285" t="str">
        <f t="shared" si="7"/>
        <v>南-7-1214</v>
      </c>
      <c r="F472" s="3283" t="s">
        <v>3619</v>
      </c>
      <c r="G472" s="3283" t="s">
        <v>3428</v>
      </c>
      <c r="H472" s="3286"/>
      <c r="I472" s="3287">
        <v>72.510000000000005</v>
      </c>
      <c r="J472" s="3286">
        <v>48.51</v>
      </c>
    </row>
    <row r="473" spans="1:10" hidden="1">
      <c r="A473" s="3282">
        <v>472</v>
      </c>
      <c r="B473" s="3283" t="s">
        <v>3262</v>
      </c>
      <c r="C473" s="3283">
        <v>7</v>
      </c>
      <c r="D473" s="3283">
        <v>1215</v>
      </c>
      <c r="E473" s="3285" t="str">
        <f t="shared" si="7"/>
        <v>南-7-1215</v>
      </c>
      <c r="F473" s="3283" t="s">
        <v>3620</v>
      </c>
      <c r="G473" s="3283" t="s">
        <v>3428</v>
      </c>
      <c r="H473" s="3286"/>
      <c r="I473" s="3287">
        <v>72.510000000000005</v>
      </c>
      <c r="J473" s="3286">
        <v>48.51</v>
      </c>
    </row>
    <row r="474" spans="1:10" hidden="1">
      <c r="A474" s="3282">
        <v>473</v>
      </c>
      <c r="B474" s="3283" t="s">
        <v>3262</v>
      </c>
      <c r="C474" s="3283">
        <v>7</v>
      </c>
      <c r="D474" s="3283">
        <v>1216</v>
      </c>
      <c r="E474" s="3285" t="str">
        <f t="shared" si="7"/>
        <v>南-7-1216</v>
      </c>
      <c r="F474" s="3283" t="s">
        <v>3621</v>
      </c>
      <c r="G474" s="3283" t="s">
        <v>3428</v>
      </c>
      <c r="H474" s="3286"/>
      <c r="I474" s="3287">
        <v>43.94</v>
      </c>
      <c r="J474" s="3286">
        <v>29.4</v>
      </c>
    </row>
    <row r="475" spans="1:10" hidden="1">
      <c r="A475" s="3282">
        <v>474</v>
      </c>
      <c r="B475" s="3283" t="s">
        <v>3262</v>
      </c>
      <c r="C475" s="3283">
        <v>7</v>
      </c>
      <c r="D475" s="3283">
        <v>1301</v>
      </c>
      <c r="E475" s="3285" t="str">
        <f t="shared" si="7"/>
        <v>南-7-1301</v>
      </c>
      <c r="F475" s="3283" t="s">
        <v>3622</v>
      </c>
      <c r="G475" s="3283" t="s">
        <v>3428</v>
      </c>
      <c r="H475" s="3286"/>
      <c r="I475" s="3287">
        <v>79.709999999999994</v>
      </c>
      <c r="J475" s="3286">
        <v>53.33</v>
      </c>
    </row>
    <row r="476" spans="1:10" hidden="1">
      <c r="A476" s="3282">
        <v>475</v>
      </c>
      <c r="B476" s="3283" t="s">
        <v>3262</v>
      </c>
      <c r="C476" s="3283">
        <v>7</v>
      </c>
      <c r="D476" s="3283">
        <v>1302</v>
      </c>
      <c r="E476" s="3285" t="str">
        <f t="shared" si="7"/>
        <v>南-7-1302</v>
      </c>
      <c r="F476" s="3283" t="s">
        <v>3623</v>
      </c>
      <c r="G476" s="3283" t="s">
        <v>3428</v>
      </c>
      <c r="H476" s="3286"/>
      <c r="I476" s="3287">
        <v>56.59</v>
      </c>
      <c r="J476" s="3286">
        <v>37.86</v>
      </c>
    </row>
    <row r="477" spans="1:10" hidden="1">
      <c r="A477" s="3282">
        <v>476</v>
      </c>
      <c r="B477" s="3283" t="s">
        <v>3262</v>
      </c>
      <c r="C477" s="3283">
        <v>7</v>
      </c>
      <c r="D477" s="3283">
        <v>1303</v>
      </c>
      <c r="E477" s="3285" t="str">
        <f t="shared" si="7"/>
        <v>南-7-1303</v>
      </c>
      <c r="F477" s="3283" t="s">
        <v>3624</v>
      </c>
      <c r="G477" s="3283" t="s">
        <v>3428</v>
      </c>
      <c r="H477" s="3286"/>
      <c r="I477" s="3287">
        <v>79.650000000000006</v>
      </c>
      <c r="J477" s="3286">
        <v>53.29</v>
      </c>
    </row>
    <row r="478" spans="1:10" hidden="1">
      <c r="A478" s="3282">
        <v>477</v>
      </c>
      <c r="B478" s="3283" t="s">
        <v>3262</v>
      </c>
      <c r="C478" s="3283">
        <v>7</v>
      </c>
      <c r="D478" s="3283">
        <v>1304</v>
      </c>
      <c r="E478" s="3285" t="str">
        <f t="shared" si="7"/>
        <v>南-7-1304</v>
      </c>
      <c r="F478" s="3283" t="s">
        <v>3625</v>
      </c>
      <c r="G478" s="3283" t="s">
        <v>3428</v>
      </c>
      <c r="H478" s="3286"/>
      <c r="I478" s="3287">
        <v>43.94</v>
      </c>
      <c r="J478" s="3286">
        <v>29.4</v>
      </c>
    </row>
    <row r="479" spans="1:10" hidden="1">
      <c r="A479" s="3282">
        <v>478</v>
      </c>
      <c r="B479" s="3283" t="s">
        <v>3262</v>
      </c>
      <c r="C479" s="3283">
        <v>7</v>
      </c>
      <c r="D479" s="3283">
        <v>1305</v>
      </c>
      <c r="E479" s="3285" t="str">
        <f t="shared" si="7"/>
        <v>南-7-1305</v>
      </c>
      <c r="F479" s="3283" t="s">
        <v>3626</v>
      </c>
      <c r="G479" s="3283" t="s">
        <v>3428</v>
      </c>
      <c r="H479" s="3286"/>
      <c r="I479" s="3287">
        <v>72.510000000000005</v>
      </c>
      <c r="J479" s="3286">
        <v>48.51</v>
      </c>
    </row>
    <row r="480" spans="1:10" hidden="1">
      <c r="A480" s="3282">
        <v>479</v>
      </c>
      <c r="B480" s="3283" t="s">
        <v>3262</v>
      </c>
      <c r="C480" s="3283">
        <v>7</v>
      </c>
      <c r="D480" s="3283">
        <v>1306</v>
      </c>
      <c r="E480" s="3285" t="str">
        <f t="shared" si="7"/>
        <v>南-7-1306</v>
      </c>
      <c r="F480" s="3283" t="s">
        <v>3627</v>
      </c>
      <c r="G480" s="3283" t="s">
        <v>3428</v>
      </c>
      <c r="H480" s="3286"/>
      <c r="I480" s="3287">
        <v>72.510000000000005</v>
      </c>
      <c r="J480" s="3286">
        <v>48.51</v>
      </c>
    </row>
    <row r="481" spans="1:10" hidden="1">
      <c r="A481" s="3282">
        <v>480</v>
      </c>
      <c r="B481" s="3283" t="s">
        <v>3262</v>
      </c>
      <c r="C481" s="3283">
        <v>7</v>
      </c>
      <c r="D481" s="3283">
        <v>1307</v>
      </c>
      <c r="E481" s="3285" t="str">
        <f t="shared" si="7"/>
        <v>南-7-1307</v>
      </c>
      <c r="F481" s="3283" t="s">
        <v>3628</v>
      </c>
      <c r="G481" s="3283" t="s">
        <v>3428</v>
      </c>
      <c r="H481" s="3286"/>
      <c r="I481" s="3287">
        <v>72.510000000000005</v>
      </c>
      <c r="J481" s="3286">
        <v>48.51</v>
      </c>
    </row>
    <row r="482" spans="1:10" hidden="1">
      <c r="A482" s="3282">
        <v>481</v>
      </c>
      <c r="B482" s="3283" t="s">
        <v>3262</v>
      </c>
      <c r="C482" s="3283">
        <v>7</v>
      </c>
      <c r="D482" s="3283">
        <v>1308</v>
      </c>
      <c r="E482" s="3285" t="str">
        <f t="shared" si="7"/>
        <v>南-7-1308</v>
      </c>
      <c r="F482" s="3283" t="s">
        <v>3629</v>
      </c>
      <c r="G482" s="3283" t="s">
        <v>3428</v>
      </c>
      <c r="H482" s="3286"/>
      <c r="I482" s="3287">
        <v>72.510000000000005</v>
      </c>
      <c r="J482" s="3286">
        <v>48.51</v>
      </c>
    </row>
    <row r="483" spans="1:10" hidden="1">
      <c r="A483" s="3282">
        <v>482</v>
      </c>
      <c r="B483" s="3283" t="s">
        <v>3262</v>
      </c>
      <c r="C483" s="3283">
        <v>7</v>
      </c>
      <c r="D483" s="3283">
        <v>1309</v>
      </c>
      <c r="E483" s="3285" t="str">
        <f t="shared" si="7"/>
        <v>南-7-1309</v>
      </c>
      <c r="F483" s="3283" t="s">
        <v>3630</v>
      </c>
      <c r="G483" s="3283" t="s">
        <v>3428</v>
      </c>
      <c r="H483" s="3286"/>
      <c r="I483" s="3287">
        <v>79.709999999999994</v>
      </c>
      <c r="J483" s="3286">
        <v>53.33</v>
      </c>
    </row>
    <row r="484" spans="1:10" hidden="1">
      <c r="A484" s="3282">
        <v>483</v>
      </c>
      <c r="B484" s="3283" t="s">
        <v>3262</v>
      </c>
      <c r="C484" s="3283">
        <v>7</v>
      </c>
      <c r="D484" s="3283">
        <v>1310</v>
      </c>
      <c r="E484" s="3285" t="str">
        <f t="shared" si="7"/>
        <v>南-7-1310</v>
      </c>
      <c r="F484" s="3283" t="s">
        <v>3631</v>
      </c>
      <c r="G484" s="3283" t="s">
        <v>3428</v>
      </c>
      <c r="H484" s="3286"/>
      <c r="I484" s="3287">
        <v>56.59</v>
      </c>
      <c r="J484" s="3286">
        <v>37.86</v>
      </c>
    </row>
    <row r="485" spans="1:10" hidden="1">
      <c r="A485" s="3282">
        <v>484</v>
      </c>
      <c r="B485" s="3283" t="s">
        <v>3262</v>
      </c>
      <c r="C485" s="3283">
        <v>7</v>
      </c>
      <c r="D485" s="3283">
        <v>1311</v>
      </c>
      <c r="E485" s="3285" t="str">
        <f t="shared" si="7"/>
        <v>南-7-1311</v>
      </c>
      <c r="F485" s="3283" t="s">
        <v>3632</v>
      </c>
      <c r="G485" s="3283" t="s">
        <v>3428</v>
      </c>
      <c r="H485" s="3286"/>
      <c r="I485" s="3287">
        <v>79.650000000000006</v>
      </c>
      <c r="J485" s="3286">
        <v>53.29</v>
      </c>
    </row>
    <row r="486" spans="1:10" hidden="1">
      <c r="A486" s="3282">
        <v>485</v>
      </c>
      <c r="B486" s="3283" t="s">
        <v>3262</v>
      </c>
      <c r="C486" s="3283">
        <v>7</v>
      </c>
      <c r="D486" s="3283">
        <v>1312</v>
      </c>
      <c r="E486" s="3285" t="str">
        <f t="shared" si="7"/>
        <v>南-7-1312</v>
      </c>
      <c r="F486" s="3283" t="s">
        <v>3633</v>
      </c>
      <c r="G486" s="3283" t="s">
        <v>3428</v>
      </c>
      <c r="H486" s="3286"/>
      <c r="I486" s="3287">
        <v>72.510000000000005</v>
      </c>
      <c r="J486" s="3286">
        <v>48.51</v>
      </c>
    </row>
    <row r="487" spans="1:10" hidden="1">
      <c r="A487" s="3282">
        <v>486</v>
      </c>
      <c r="B487" s="3283" t="s">
        <v>3262</v>
      </c>
      <c r="C487" s="3283">
        <v>7</v>
      </c>
      <c r="D487" s="3283">
        <v>1313</v>
      </c>
      <c r="E487" s="3285" t="str">
        <f t="shared" si="7"/>
        <v>南-7-1313</v>
      </c>
      <c r="F487" s="3283" t="s">
        <v>3634</v>
      </c>
      <c r="G487" s="3283" t="s">
        <v>3428</v>
      </c>
      <c r="H487" s="3286"/>
      <c r="I487" s="3287">
        <v>72.510000000000005</v>
      </c>
      <c r="J487" s="3286">
        <v>48.51</v>
      </c>
    </row>
    <row r="488" spans="1:10" hidden="1">
      <c r="A488" s="3282">
        <v>487</v>
      </c>
      <c r="B488" s="3283" t="s">
        <v>3262</v>
      </c>
      <c r="C488" s="3283">
        <v>7</v>
      </c>
      <c r="D488" s="3283">
        <v>1314</v>
      </c>
      <c r="E488" s="3285" t="str">
        <f t="shared" si="7"/>
        <v>南-7-1314</v>
      </c>
      <c r="F488" s="3283" t="s">
        <v>3635</v>
      </c>
      <c r="G488" s="3283" t="s">
        <v>3428</v>
      </c>
      <c r="H488" s="3286"/>
      <c r="I488" s="3287">
        <v>72.510000000000005</v>
      </c>
      <c r="J488" s="3286">
        <v>48.51</v>
      </c>
    </row>
    <row r="489" spans="1:10" hidden="1">
      <c r="A489" s="3282">
        <v>488</v>
      </c>
      <c r="B489" s="3283" t="s">
        <v>3262</v>
      </c>
      <c r="C489" s="3283">
        <v>7</v>
      </c>
      <c r="D489" s="3283">
        <v>1315</v>
      </c>
      <c r="E489" s="3285" t="str">
        <f t="shared" si="7"/>
        <v>南-7-1315</v>
      </c>
      <c r="F489" s="3283" t="s">
        <v>3636</v>
      </c>
      <c r="G489" s="3283" t="s">
        <v>3428</v>
      </c>
      <c r="H489" s="3286"/>
      <c r="I489" s="3287">
        <v>72.510000000000005</v>
      </c>
      <c r="J489" s="3286">
        <v>48.51</v>
      </c>
    </row>
    <row r="490" spans="1:10" hidden="1">
      <c r="A490" s="3282">
        <v>489</v>
      </c>
      <c r="B490" s="3283" t="s">
        <v>3262</v>
      </c>
      <c r="C490" s="3283">
        <v>7</v>
      </c>
      <c r="D490" s="3283">
        <v>1316</v>
      </c>
      <c r="E490" s="3285" t="str">
        <f t="shared" si="7"/>
        <v>南-7-1316</v>
      </c>
      <c r="F490" s="3283" t="s">
        <v>3637</v>
      </c>
      <c r="G490" s="3283" t="s">
        <v>3428</v>
      </c>
      <c r="H490" s="3286"/>
      <c r="I490" s="3287">
        <v>43.94</v>
      </c>
      <c r="J490" s="3286">
        <v>29.4</v>
      </c>
    </row>
    <row r="491" spans="1:10" hidden="1">
      <c r="A491" s="3282">
        <v>490</v>
      </c>
      <c r="B491" s="3283" t="s">
        <v>3262</v>
      </c>
      <c r="C491" s="3283">
        <v>7</v>
      </c>
      <c r="D491" s="3283">
        <v>1401</v>
      </c>
      <c r="E491" s="3285" t="str">
        <f t="shared" si="7"/>
        <v>南-7-1401</v>
      </c>
      <c r="F491" s="3283" t="s">
        <v>3638</v>
      </c>
      <c r="G491" s="3283" t="s">
        <v>3428</v>
      </c>
      <c r="H491" s="3286"/>
      <c r="I491" s="3287">
        <v>79.650000000000006</v>
      </c>
      <c r="J491" s="3286">
        <v>53.29</v>
      </c>
    </row>
    <row r="492" spans="1:10" hidden="1">
      <c r="A492" s="3282">
        <v>491</v>
      </c>
      <c r="B492" s="3283" t="s">
        <v>3262</v>
      </c>
      <c r="C492" s="3283">
        <v>7</v>
      </c>
      <c r="D492" s="3283">
        <v>1402</v>
      </c>
      <c r="E492" s="3285" t="str">
        <f t="shared" si="7"/>
        <v>南-7-1402</v>
      </c>
      <c r="F492" s="3283" t="s">
        <v>3639</v>
      </c>
      <c r="G492" s="3283" t="s">
        <v>3428</v>
      </c>
      <c r="H492" s="3286"/>
      <c r="I492" s="3287">
        <v>56.59</v>
      </c>
      <c r="J492" s="3286">
        <v>37.86</v>
      </c>
    </row>
    <row r="493" spans="1:10" hidden="1">
      <c r="A493" s="3282">
        <v>492</v>
      </c>
      <c r="B493" s="3283" t="s">
        <v>3262</v>
      </c>
      <c r="C493" s="3283">
        <v>7</v>
      </c>
      <c r="D493" s="3283">
        <v>1403</v>
      </c>
      <c r="E493" s="3285" t="str">
        <f t="shared" si="7"/>
        <v>南-7-1403</v>
      </c>
      <c r="F493" s="3283" t="s">
        <v>3640</v>
      </c>
      <c r="G493" s="3283" t="s">
        <v>3428</v>
      </c>
      <c r="H493" s="3286"/>
      <c r="I493" s="3287">
        <v>79.709999999999994</v>
      </c>
      <c r="J493" s="3286">
        <v>53.33</v>
      </c>
    </row>
    <row r="494" spans="1:10" hidden="1">
      <c r="A494" s="3282">
        <v>493</v>
      </c>
      <c r="B494" s="3283" t="s">
        <v>3262</v>
      </c>
      <c r="C494" s="3283">
        <v>7</v>
      </c>
      <c r="D494" s="3283">
        <v>1404</v>
      </c>
      <c r="E494" s="3285" t="str">
        <f t="shared" si="7"/>
        <v>南-7-1404</v>
      </c>
      <c r="F494" s="3283" t="s">
        <v>3641</v>
      </c>
      <c r="G494" s="3283" t="s">
        <v>3428</v>
      </c>
      <c r="H494" s="3286"/>
      <c r="I494" s="3287">
        <v>43.94</v>
      </c>
      <c r="J494" s="3286">
        <v>29.4</v>
      </c>
    </row>
    <row r="495" spans="1:10" hidden="1">
      <c r="A495" s="3282">
        <v>494</v>
      </c>
      <c r="B495" s="3283" t="s">
        <v>3262</v>
      </c>
      <c r="C495" s="3283">
        <v>7</v>
      </c>
      <c r="D495" s="3283">
        <v>1405</v>
      </c>
      <c r="E495" s="3285" t="str">
        <f t="shared" si="7"/>
        <v>南-7-1405</v>
      </c>
      <c r="F495" s="3283" t="s">
        <v>3642</v>
      </c>
      <c r="G495" s="3283" t="s">
        <v>3428</v>
      </c>
      <c r="H495" s="3286"/>
      <c r="I495" s="3287">
        <v>72.510000000000005</v>
      </c>
      <c r="J495" s="3286">
        <v>48.51</v>
      </c>
    </row>
    <row r="496" spans="1:10" hidden="1">
      <c r="A496" s="3282">
        <v>495</v>
      </c>
      <c r="B496" s="3283" t="s">
        <v>3262</v>
      </c>
      <c r="C496" s="3283">
        <v>7</v>
      </c>
      <c r="D496" s="3283">
        <v>1406</v>
      </c>
      <c r="E496" s="3285" t="str">
        <f t="shared" si="7"/>
        <v>南-7-1406</v>
      </c>
      <c r="F496" s="3283" t="s">
        <v>3643</v>
      </c>
      <c r="G496" s="3283" t="s">
        <v>3428</v>
      </c>
      <c r="H496" s="3286"/>
      <c r="I496" s="3287">
        <v>72.510000000000005</v>
      </c>
      <c r="J496" s="3286">
        <v>48.51</v>
      </c>
    </row>
    <row r="497" spans="1:10" hidden="1">
      <c r="A497" s="3282">
        <v>496</v>
      </c>
      <c r="B497" s="3283" t="s">
        <v>3262</v>
      </c>
      <c r="C497" s="3283">
        <v>7</v>
      </c>
      <c r="D497" s="3283">
        <v>1407</v>
      </c>
      <c r="E497" s="3285" t="str">
        <f t="shared" si="7"/>
        <v>南-7-1407</v>
      </c>
      <c r="F497" s="3283" t="s">
        <v>3644</v>
      </c>
      <c r="G497" s="3283" t="s">
        <v>3428</v>
      </c>
      <c r="H497" s="3286"/>
      <c r="I497" s="3287">
        <v>72.510000000000005</v>
      </c>
      <c r="J497" s="3286">
        <v>48.51</v>
      </c>
    </row>
    <row r="498" spans="1:10" hidden="1">
      <c r="A498" s="3282">
        <v>497</v>
      </c>
      <c r="B498" s="3283" t="s">
        <v>3262</v>
      </c>
      <c r="C498" s="3283">
        <v>7</v>
      </c>
      <c r="D498" s="3283">
        <v>1408</v>
      </c>
      <c r="E498" s="3285" t="str">
        <f t="shared" si="7"/>
        <v>南-7-1408</v>
      </c>
      <c r="F498" s="3283" t="s">
        <v>3645</v>
      </c>
      <c r="G498" s="3283" t="s">
        <v>3428</v>
      </c>
      <c r="H498" s="3286"/>
      <c r="I498" s="3287">
        <v>72.510000000000005</v>
      </c>
      <c r="J498" s="3286">
        <v>48.51</v>
      </c>
    </row>
    <row r="499" spans="1:10" hidden="1">
      <c r="A499" s="3282">
        <v>498</v>
      </c>
      <c r="B499" s="3283" t="s">
        <v>3262</v>
      </c>
      <c r="C499" s="3283">
        <v>7</v>
      </c>
      <c r="D499" s="3283">
        <v>1409</v>
      </c>
      <c r="E499" s="3285" t="str">
        <f t="shared" si="7"/>
        <v>南-7-1409</v>
      </c>
      <c r="F499" s="3283" t="s">
        <v>3646</v>
      </c>
      <c r="G499" s="3283" t="s">
        <v>3428</v>
      </c>
      <c r="H499" s="3286"/>
      <c r="I499" s="3287">
        <v>79.650000000000006</v>
      </c>
      <c r="J499" s="3286">
        <v>53.29</v>
      </c>
    </row>
    <row r="500" spans="1:10" hidden="1">
      <c r="A500" s="3282">
        <v>499</v>
      </c>
      <c r="B500" s="3283" t="s">
        <v>3262</v>
      </c>
      <c r="C500" s="3283">
        <v>7</v>
      </c>
      <c r="D500" s="3283">
        <v>1410</v>
      </c>
      <c r="E500" s="3285" t="str">
        <f t="shared" si="7"/>
        <v>南-7-1410</v>
      </c>
      <c r="F500" s="3283" t="s">
        <v>3647</v>
      </c>
      <c r="G500" s="3283" t="s">
        <v>3428</v>
      </c>
      <c r="H500" s="3286"/>
      <c r="I500" s="3287">
        <v>56.59</v>
      </c>
      <c r="J500" s="3286">
        <v>37.86</v>
      </c>
    </row>
    <row r="501" spans="1:10" hidden="1">
      <c r="A501" s="3282">
        <v>500</v>
      </c>
      <c r="B501" s="3283" t="s">
        <v>3262</v>
      </c>
      <c r="C501" s="3283">
        <v>7</v>
      </c>
      <c r="D501" s="3283">
        <v>1411</v>
      </c>
      <c r="E501" s="3285" t="str">
        <f t="shared" si="7"/>
        <v>南-7-1411</v>
      </c>
      <c r="F501" s="3283" t="s">
        <v>3648</v>
      </c>
      <c r="G501" s="3283" t="s">
        <v>3428</v>
      </c>
      <c r="H501" s="3286"/>
      <c r="I501" s="3287">
        <v>79.709999999999994</v>
      </c>
      <c r="J501" s="3286">
        <v>53.33</v>
      </c>
    </row>
    <row r="502" spans="1:10" hidden="1">
      <c r="A502" s="3282">
        <v>501</v>
      </c>
      <c r="B502" s="3283" t="s">
        <v>3262</v>
      </c>
      <c r="C502" s="3283">
        <v>7</v>
      </c>
      <c r="D502" s="3283">
        <v>1412</v>
      </c>
      <c r="E502" s="3285" t="str">
        <f t="shared" si="7"/>
        <v>南-7-1412</v>
      </c>
      <c r="F502" s="3283" t="s">
        <v>3649</v>
      </c>
      <c r="G502" s="3283" t="s">
        <v>3428</v>
      </c>
      <c r="H502" s="3286"/>
      <c r="I502" s="3287">
        <v>72.510000000000005</v>
      </c>
      <c r="J502" s="3286">
        <v>48.51</v>
      </c>
    </row>
    <row r="503" spans="1:10" hidden="1">
      <c r="A503" s="3282">
        <v>502</v>
      </c>
      <c r="B503" s="3283" t="s">
        <v>3262</v>
      </c>
      <c r="C503" s="3283">
        <v>7</v>
      </c>
      <c r="D503" s="3283">
        <v>1413</v>
      </c>
      <c r="E503" s="3285" t="str">
        <f t="shared" si="7"/>
        <v>南-7-1413</v>
      </c>
      <c r="F503" s="3283" t="s">
        <v>3650</v>
      </c>
      <c r="G503" s="3283" t="s">
        <v>3428</v>
      </c>
      <c r="H503" s="3286"/>
      <c r="I503" s="3287">
        <v>72.510000000000005</v>
      </c>
      <c r="J503" s="3286">
        <v>48.51</v>
      </c>
    </row>
    <row r="504" spans="1:10" hidden="1">
      <c r="A504" s="3282">
        <v>503</v>
      </c>
      <c r="B504" s="3283" t="s">
        <v>3262</v>
      </c>
      <c r="C504" s="3283">
        <v>7</v>
      </c>
      <c r="D504" s="3283">
        <v>1414</v>
      </c>
      <c r="E504" s="3285" t="str">
        <f t="shared" si="7"/>
        <v>南-7-1414</v>
      </c>
      <c r="F504" s="3283" t="s">
        <v>3651</v>
      </c>
      <c r="G504" s="3283" t="s">
        <v>3428</v>
      </c>
      <c r="H504" s="3286"/>
      <c r="I504" s="3287">
        <v>72.510000000000005</v>
      </c>
      <c r="J504" s="3286">
        <v>48.51</v>
      </c>
    </row>
    <row r="505" spans="1:10" hidden="1">
      <c r="A505" s="3282">
        <v>504</v>
      </c>
      <c r="B505" s="3283" t="s">
        <v>3262</v>
      </c>
      <c r="C505" s="3283">
        <v>7</v>
      </c>
      <c r="D505" s="3283">
        <v>1415</v>
      </c>
      <c r="E505" s="3285" t="str">
        <f t="shared" si="7"/>
        <v>南-7-1415</v>
      </c>
      <c r="F505" s="3283" t="s">
        <v>3652</v>
      </c>
      <c r="G505" s="3283" t="s">
        <v>3428</v>
      </c>
      <c r="H505" s="3286"/>
      <c r="I505" s="3287">
        <v>72.510000000000005</v>
      </c>
      <c r="J505" s="3286">
        <v>48.51</v>
      </c>
    </row>
    <row r="506" spans="1:10" hidden="1">
      <c r="A506" s="3282">
        <v>505</v>
      </c>
      <c r="B506" s="3283" t="s">
        <v>3262</v>
      </c>
      <c r="C506" s="3283">
        <v>7</v>
      </c>
      <c r="D506" s="3283">
        <v>1416</v>
      </c>
      <c r="E506" s="3285" t="str">
        <f t="shared" si="7"/>
        <v>南-7-1416</v>
      </c>
      <c r="F506" s="3283" t="s">
        <v>3653</v>
      </c>
      <c r="G506" s="3283" t="s">
        <v>3428</v>
      </c>
      <c r="H506" s="3286"/>
      <c r="I506" s="3287">
        <v>43.94</v>
      </c>
      <c r="J506" s="3286">
        <v>29.4</v>
      </c>
    </row>
    <row r="507" spans="1:10" hidden="1">
      <c r="A507" s="3282">
        <v>506</v>
      </c>
      <c r="B507" s="3283" t="s">
        <v>3262</v>
      </c>
      <c r="C507" s="3283">
        <v>7</v>
      </c>
      <c r="D507" s="3283">
        <v>1501</v>
      </c>
      <c r="E507" s="3285" t="str">
        <f t="shared" si="7"/>
        <v>南-7-1501</v>
      </c>
      <c r="F507" s="3283" t="s">
        <v>3654</v>
      </c>
      <c r="G507" s="3283" t="s">
        <v>3428</v>
      </c>
      <c r="H507" s="3286"/>
      <c r="I507" s="3287">
        <v>79.709999999999994</v>
      </c>
      <c r="J507" s="3286">
        <v>53.33</v>
      </c>
    </row>
    <row r="508" spans="1:10" hidden="1">
      <c r="A508" s="3282">
        <v>507</v>
      </c>
      <c r="B508" s="3283" t="s">
        <v>3262</v>
      </c>
      <c r="C508" s="3283">
        <v>7</v>
      </c>
      <c r="D508" s="3283">
        <v>1502</v>
      </c>
      <c r="E508" s="3285" t="str">
        <f t="shared" si="7"/>
        <v>南-7-1502</v>
      </c>
      <c r="F508" s="3283" t="s">
        <v>3655</v>
      </c>
      <c r="G508" s="3283" t="s">
        <v>3428</v>
      </c>
      <c r="H508" s="3286"/>
      <c r="I508" s="3287">
        <v>56.59</v>
      </c>
      <c r="J508" s="3286">
        <v>37.86</v>
      </c>
    </row>
    <row r="509" spans="1:10" hidden="1">
      <c r="A509" s="3282">
        <v>508</v>
      </c>
      <c r="B509" s="3283" t="s">
        <v>3262</v>
      </c>
      <c r="C509" s="3283">
        <v>7</v>
      </c>
      <c r="D509" s="3283">
        <v>1503</v>
      </c>
      <c r="E509" s="3285" t="str">
        <f t="shared" si="7"/>
        <v>南-7-1503</v>
      </c>
      <c r="F509" s="3283" t="s">
        <v>3656</v>
      </c>
      <c r="G509" s="3283" t="s">
        <v>3428</v>
      </c>
      <c r="H509" s="3286"/>
      <c r="I509" s="3287">
        <v>79.650000000000006</v>
      </c>
      <c r="J509" s="3286">
        <v>53.29</v>
      </c>
    </row>
    <row r="510" spans="1:10" hidden="1">
      <c r="A510" s="3282">
        <v>509</v>
      </c>
      <c r="B510" s="3283" t="s">
        <v>3262</v>
      </c>
      <c r="C510" s="3283">
        <v>7</v>
      </c>
      <c r="D510" s="3283">
        <v>1504</v>
      </c>
      <c r="E510" s="3285" t="str">
        <f t="shared" si="7"/>
        <v>南-7-1504</v>
      </c>
      <c r="F510" s="3283" t="s">
        <v>3657</v>
      </c>
      <c r="G510" s="3283" t="s">
        <v>3428</v>
      </c>
      <c r="H510" s="3286"/>
      <c r="I510" s="3287">
        <v>43.94</v>
      </c>
      <c r="J510" s="3286">
        <v>29.4</v>
      </c>
    </row>
    <row r="511" spans="1:10" hidden="1">
      <c r="A511" s="3282">
        <v>510</v>
      </c>
      <c r="B511" s="3283" t="s">
        <v>3262</v>
      </c>
      <c r="C511" s="3283">
        <v>7</v>
      </c>
      <c r="D511" s="3283">
        <v>1505</v>
      </c>
      <c r="E511" s="3285" t="str">
        <f t="shared" si="7"/>
        <v>南-7-1505</v>
      </c>
      <c r="F511" s="3283" t="s">
        <v>3658</v>
      </c>
      <c r="G511" s="3283" t="s">
        <v>3428</v>
      </c>
      <c r="H511" s="3286"/>
      <c r="I511" s="3287">
        <v>72.510000000000005</v>
      </c>
      <c r="J511" s="3286">
        <v>48.51</v>
      </c>
    </row>
    <row r="512" spans="1:10" hidden="1">
      <c r="A512" s="3282">
        <v>511</v>
      </c>
      <c r="B512" s="3283" t="s">
        <v>3262</v>
      </c>
      <c r="C512" s="3283">
        <v>7</v>
      </c>
      <c r="D512" s="3283">
        <v>1506</v>
      </c>
      <c r="E512" s="3285" t="str">
        <f t="shared" si="7"/>
        <v>南-7-1506</v>
      </c>
      <c r="F512" s="3283" t="s">
        <v>3659</v>
      </c>
      <c r="G512" s="3283" t="s">
        <v>3428</v>
      </c>
      <c r="H512" s="3286"/>
      <c r="I512" s="3287">
        <v>72.510000000000005</v>
      </c>
      <c r="J512" s="3286">
        <v>48.51</v>
      </c>
    </row>
    <row r="513" spans="1:10" hidden="1">
      <c r="A513" s="3282">
        <v>512</v>
      </c>
      <c r="B513" s="3283" t="s">
        <v>3262</v>
      </c>
      <c r="C513" s="3283">
        <v>7</v>
      </c>
      <c r="D513" s="3283">
        <v>1507</v>
      </c>
      <c r="E513" s="3285" t="str">
        <f t="shared" si="7"/>
        <v>南-7-1507</v>
      </c>
      <c r="F513" s="3283" t="s">
        <v>3660</v>
      </c>
      <c r="G513" s="3283" t="s">
        <v>3428</v>
      </c>
      <c r="H513" s="3286"/>
      <c r="I513" s="3287">
        <v>72.510000000000005</v>
      </c>
      <c r="J513" s="3286">
        <v>48.51</v>
      </c>
    </row>
    <row r="514" spans="1:10" hidden="1">
      <c r="A514" s="3282">
        <v>513</v>
      </c>
      <c r="B514" s="3283" t="s">
        <v>3262</v>
      </c>
      <c r="C514" s="3283">
        <v>7</v>
      </c>
      <c r="D514" s="3283">
        <v>1508</v>
      </c>
      <c r="E514" s="3285" t="str">
        <f t="shared" si="7"/>
        <v>南-7-1508</v>
      </c>
      <c r="F514" s="3283" t="s">
        <v>3661</v>
      </c>
      <c r="G514" s="3283" t="s">
        <v>3428</v>
      </c>
      <c r="H514" s="3286"/>
      <c r="I514" s="3287">
        <v>72.510000000000005</v>
      </c>
      <c r="J514" s="3286">
        <v>48.51</v>
      </c>
    </row>
    <row r="515" spans="1:10" hidden="1">
      <c r="A515" s="3282">
        <v>514</v>
      </c>
      <c r="B515" s="3283" t="s">
        <v>3262</v>
      </c>
      <c r="C515" s="3283">
        <v>7</v>
      </c>
      <c r="D515" s="3283">
        <v>1509</v>
      </c>
      <c r="E515" s="3285" t="str">
        <f t="shared" ref="E515:E578" si="8">B515&amp;-C515&amp;"-"&amp;D515</f>
        <v>南-7-1509</v>
      </c>
      <c r="F515" s="3283" t="s">
        <v>3662</v>
      </c>
      <c r="G515" s="3283" t="s">
        <v>3428</v>
      </c>
      <c r="H515" s="3286"/>
      <c r="I515" s="3287">
        <v>79.709999999999994</v>
      </c>
      <c r="J515" s="3286">
        <v>53.33</v>
      </c>
    </row>
    <row r="516" spans="1:10" hidden="1">
      <c r="A516" s="3282">
        <v>515</v>
      </c>
      <c r="B516" s="3283" t="s">
        <v>3262</v>
      </c>
      <c r="C516" s="3283">
        <v>7</v>
      </c>
      <c r="D516" s="3283">
        <v>1510</v>
      </c>
      <c r="E516" s="3285" t="str">
        <f t="shared" si="8"/>
        <v>南-7-1510</v>
      </c>
      <c r="F516" s="3283" t="s">
        <v>3663</v>
      </c>
      <c r="G516" s="3283" t="s">
        <v>3428</v>
      </c>
      <c r="H516" s="3286"/>
      <c r="I516" s="3287">
        <v>56.59</v>
      </c>
      <c r="J516" s="3286">
        <v>37.86</v>
      </c>
    </row>
    <row r="517" spans="1:10" hidden="1">
      <c r="A517" s="3282">
        <v>516</v>
      </c>
      <c r="B517" s="3283" t="s">
        <v>3262</v>
      </c>
      <c r="C517" s="3283">
        <v>7</v>
      </c>
      <c r="D517" s="3283">
        <v>1511</v>
      </c>
      <c r="E517" s="3285" t="str">
        <f t="shared" si="8"/>
        <v>南-7-1511</v>
      </c>
      <c r="F517" s="3283" t="s">
        <v>3664</v>
      </c>
      <c r="G517" s="3283" t="s">
        <v>3428</v>
      </c>
      <c r="H517" s="3286"/>
      <c r="I517" s="3287">
        <v>79.650000000000006</v>
      </c>
      <c r="J517" s="3286">
        <v>53.29</v>
      </c>
    </row>
    <row r="518" spans="1:10" hidden="1">
      <c r="A518" s="3282">
        <v>517</v>
      </c>
      <c r="B518" s="3283" t="s">
        <v>3262</v>
      </c>
      <c r="C518" s="3283">
        <v>7</v>
      </c>
      <c r="D518" s="3283">
        <v>1512</v>
      </c>
      <c r="E518" s="3285" t="str">
        <f t="shared" si="8"/>
        <v>南-7-1512</v>
      </c>
      <c r="F518" s="3283" t="s">
        <v>3665</v>
      </c>
      <c r="G518" s="3283" t="s">
        <v>3428</v>
      </c>
      <c r="H518" s="3286"/>
      <c r="I518" s="3287">
        <v>72.510000000000005</v>
      </c>
      <c r="J518" s="3286">
        <v>48.51</v>
      </c>
    </row>
    <row r="519" spans="1:10" hidden="1">
      <c r="A519" s="3282">
        <v>518</v>
      </c>
      <c r="B519" s="3283" t="s">
        <v>3262</v>
      </c>
      <c r="C519" s="3283">
        <v>7</v>
      </c>
      <c r="D519" s="3283">
        <v>1513</v>
      </c>
      <c r="E519" s="3285" t="str">
        <f t="shared" si="8"/>
        <v>南-7-1513</v>
      </c>
      <c r="F519" s="3283" t="s">
        <v>3666</v>
      </c>
      <c r="G519" s="3283" t="s">
        <v>3428</v>
      </c>
      <c r="H519" s="3286"/>
      <c r="I519" s="3287">
        <v>72.510000000000005</v>
      </c>
      <c r="J519" s="3286">
        <v>48.51</v>
      </c>
    </row>
    <row r="520" spans="1:10" hidden="1">
      <c r="A520" s="3282">
        <v>519</v>
      </c>
      <c r="B520" s="3283" t="s">
        <v>3262</v>
      </c>
      <c r="C520" s="3283">
        <v>7</v>
      </c>
      <c r="D520" s="3283">
        <v>1514</v>
      </c>
      <c r="E520" s="3285" t="str">
        <f t="shared" si="8"/>
        <v>南-7-1514</v>
      </c>
      <c r="F520" s="3283" t="s">
        <v>3667</v>
      </c>
      <c r="G520" s="3283" t="s">
        <v>3428</v>
      </c>
      <c r="H520" s="3286"/>
      <c r="I520" s="3287">
        <v>72.510000000000005</v>
      </c>
      <c r="J520" s="3286">
        <v>48.51</v>
      </c>
    </row>
    <row r="521" spans="1:10" hidden="1">
      <c r="A521" s="3282">
        <v>520</v>
      </c>
      <c r="B521" s="3283" t="s">
        <v>3262</v>
      </c>
      <c r="C521" s="3283">
        <v>7</v>
      </c>
      <c r="D521" s="3283">
        <v>1515</v>
      </c>
      <c r="E521" s="3285" t="str">
        <f t="shared" si="8"/>
        <v>南-7-1515</v>
      </c>
      <c r="F521" s="3283" t="s">
        <v>3668</v>
      </c>
      <c r="G521" s="3283" t="s">
        <v>3428</v>
      </c>
      <c r="H521" s="3286"/>
      <c r="I521" s="3287">
        <v>72.510000000000005</v>
      </c>
      <c r="J521" s="3286">
        <v>48.51</v>
      </c>
    </row>
    <row r="522" spans="1:10" hidden="1">
      <c r="A522" s="3282">
        <v>521</v>
      </c>
      <c r="B522" s="3283" t="s">
        <v>3262</v>
      </c>
      <c r="C522" s="3283">
        <v>7</v>
      </c>
      <c r="D522" s="3283">
        <v>1516</v>
      </c>
      <c r="E522" s="3285" t="str">
        <f t="shared" si="8"/>
        <v>南-7-1516</v>
      </c>
      <c r="F522" s="3283" t="s">
        <v>3669</v>
      </c>
      <c r="G522" s="3283" t="s">
        <v>3428</v>
      </c>
      <c r="H522" s="3286"/>
      <c r="I522" s="3287">
        <v>43.94</v>
      </c>
      <c r="J522" s="3286">
        <v>29.4</v>
      </c>
    </row>
    <row r="523" spans="1:10" hidden="1">
      <c r="A523" s="3282">
        <v>522</v>
      </c>
      <c r="B523" s="3283" t="s">
        <v>3262</v>
      </c>
      <c r="C523" s="3283">
        <v>7</v>
      </c>
      <c r="D523" s="3283">
        <v>1601</v>
      </c>
      <c r="E523" s="3285" t="str">
        <f t="shared" si="8"/>
        <v>南-7-1601</v>
      </c>
      <c r="F523" s="3283" t="s">
        <v>3670</v>
      </c>
      <c r="G523" s="3283" t="s">
        <v>3428</v>
      </c>
      <c r="H523" s="3286"/>
      <c r="I523" s="3287">
        <v>79.650000000000006</v>
      </c>
      <c r="J523" s="3286">
        <v>53.29</v>
      </c>
    </row>
    <row r="524" spans="1:10" hidden="1">
      <c r="A524" s="3282">
        <v>523</v>
      </c>
      <c r="B524" s="3283" t="s">
        <v>3262</v>
      </c>
      <c r="C524" s="3283">
        <v>7</v>
      </c>
      <c r="D524" s="3283">
        <v>1602</v>
      </c>
      <c r="E524" s="3285" t="str">
        <f t="shared" si="8"/>
        <v>南-7-1602</v>
      </c>
      <c r="F524" s="3283" t="s">
        <v>3671</v>
      </c>
      <c r="G524" s="3283" t="s">
        <v>3428</v>
      </c>
      <c r="H524" s="3286"/>
      <c r="I524" s="3287">
        <v>56.59</v>
      </c>
      <c r="J524" s="3286">
        <v>37.86</v>
      </c>
    </row>
    <row r="525" spans="1:10" hidden="1">
      <c r="A525" s="3282">
        <v>524</v>
      </c>
      <c r="B525" s="3283" t="s">
        <v>3262</v>
      </c>
      <c r="C525" s="3283">
        <v>7</v>
      </c>
      <c r="D525" s="3283">
        <v>1603</v>
      </c>
      <c r="E525" s="3285" t="str">
        <f t="shared" si="8"/>
        <v>南-7-1603</v>
      </c>
      <c r="F525" s="3283" t="s">
        <v>3672</v>
      </c>
      <c r="G525" s="3283" t="s">
        <v>3428</v>
      </c>
      <c r="H525" s="3286"/>
      <c r="I525" s="3287">
        <v>79.709999999999994</v>
      </c>
      <c r="J525" s="3286">
        <v>53.33</v>
      </c>
    </row>
    <row r="526" spans="1:10" hidden="1">
      <c r="A526" s="3282">
        <v>525</v>
      </c>
      <c r="B526" s="3283" t="s">
        <v>3262</v>
      </c>
      <c r="C526" s="3283">
        <v>7</v>
      </c>
      <c r="D526" s="3283">
        <v>1604</v>
      </c>
      <c r="E526" s="3285" t="str">
        <f t="shared" si="8"/>
        <v>南-7-1604</v>
      </c>
      <c r="F526" s="3283" t="s">
        <v>3673</v>
      </c>
      <c r="G526" s="3283" t="s">
        <v>3428</v>
      </c>
      <c r="H526" s="3286"/>
      <c r="I526" s="3287">
        <v>43.94</v>
      </c>
      <c r="J526" s="3286">
        <v>29.4</v>
      </c>
    </row>
    <row r="527" spans="1:10" hidden="1">
      <c r="A527" s="3282">
        <v>526</v>
      </c>
      <c r="B527" s="3283" t="s">
        <v>3262</v>
      </c>
      <c r="C527" s="3283">
        <v>7</v>
      </c>
      <c r="D527" s="3283">
        <v>1605</v>
      </c>
      <c r="E527" s="3285" t="str">
        <f t="shared" si="8"/>
        <v>南-7-1605</v>
      </c>
      <c r="F527" s="3283" t="s">
        <v>3674</v>
      </c>
      <c r="G527" s="3283" t="s">
        <v>3428</v>
      </c>
      <c r="H527" s="3286"/>
      <c r="I527" s="3287">
        <v>72.510000000000005</v>
      </c>
      <c r="J527" s="3286">
        <v>48.51</v>
      </c>
    </row>
    <row r="528" spans="1:10" hidden="1">
      <c r="A528" s="3282">
        <v>527</v>
      </c>
      <c r="B528" s="3283" t="s">
        <v>3262</v>
      </c>
      <c r="C528" s="3283">
        <v>7</v>
      </c>
      <c r="D528" s="3283">
        <v>1606</v>
      </c>
      <c r="E528" s="3285" t="str">
        <f t="shared" si="8"/>
        <v>南-7-1606</v>
      </c>
      <c r="F528" s="3283" t="s">
        <v>3675</v>
      </c>
      <c r="G528" s="3283" t="s">
        <v>3428</v>
      </c>
      <c r="H528" s="3286"/>
      <c r="I528" s="3287">
        <v>72.510000000000005</v>
      </c>
      <c r="J528" s="3286">
        <v>48.51</v>
      </c>
    </row>
    <row r="529" spans="1:10" hidden="1">
      <c r="A529" s="3282">
        <v>528</v>
      </c>
      <c r="B529" s="3283" t="s">
        <v>3262</v>
      </c>
      <c r="C529" s="3283">
        <v>7</v>
      </c>
      <c r="D529" s="3283">
        <v>1607</v>
      </c>
      <c r="E529" s="3285" t="str">
        <f t="shared" si="8"/>
        <v>南-7-1607</v>
      </c>
      <c r="F529" s="3283" t="s">
        <v>3676</v>
      </c>
      <c r="G529" s="3283" t="s">
        <v>3428</v>
      </c>
      <c r="H529" s="3286"/>
      <c r="I529" s="3287">
        <v>72.510000000000005</v>
      </c>
      <c r="J529" s="3286">
        <v>48.51</v>
      </c>
    </row>
    <row r="530" spans="1:10" hidden="1">
      <c r="A530" s="3282">
        <v>529</v>
      </c>
      <c r="B530" s="3283" t="s">
        <v>3262</v>
      </c>
      <c r="C530" s="3283">
        <v>7</v>
      </c>
      <c r="D530" s="3283">
        <v>1608</v>
      </c>
      <c r="E530" s="3285" t="str">
        <f t="shared" si="8"/>
        <v>南-7-1608</v>
      </c>
      <c r="F530" s="3283" t="s">
        <v>3677</v>
      </c>
      <c r="G530" s="3283" t="s">
        <v>3428</v>
      </c>
      <c r="H530" s="3286"/>
      <c r="I530" s="3287">
        <v>72.510000000000005</v>
      </c>
      <c r="J530" s="3286">
        <v>48.51</v>
      </c>
    </row>
    <row r="531" spans="1:10" hidden="1">
      <c r="A531" s="3282">
        <v>530</v>
      </c>
      <c r="B531" s="3283" t="s">
        <v>3262</v>
      </c>
      <c r="C531" s="3283">
        <v>7</v>
      </c>
      <c r="D531" s="3283">
        <v>1609</v>
      </c>
      <c r="E531" s="3285" t="str">
        <f t="shared" si="8"/>
        <v>南-7-1609</v>
      </c>
      <c r="F531" s="3283" t="s">
        <v>3678</v>
      </c>
      <c r="G531" s="3283" t="s">
        <v>3428</v>
      </c>
      <c r="H531" s="3286"/>
      <c r="I531" s="3287">
        <v>79.650000000000006</v>
      </c>
      <c r="J531" s="3286">
        <v>53.29</v>
      </c>
    </row>
    <row r="532" spans="1:10" hidden="1">
      <c r="A532" s="3282">
        <v>531</v>
      </c>
      <c r="B532" s="3283" t="s">
        <v>3262</v>
      </c>
      <c r="C532" s="3283">
        <v>7</v>
      </c>
      <c r="D532" s="3283">
        <v>1610</v>
      </c>
      <c r="E532" s="3285" t="str">
        <f t="shared" si="8"/>
        <v>南-7-1610</v>
      </c>
      <c r="F532" s="3283" t="s">
        <v>3679</v>
      </c>
      <c r="G532" s="3283" t="s">
        <v>3428</v>
      </c>
      <c r="H532" s="3286"/>
      <c r="I532" s="3287">
        <v>56.59</v>
      </c>
      <c r="J532" s="3286">
        <v>37.86</v>
      </c>
    </row>
    <row r="533" spans="1:10" hidden="1">
      <c r="A533" s="3282">
        <v>532</v>
      </c>
      <c r="B533" s="3283" t="s">
        <v>3262</v>
      </c>
      <c r="C533" s="3283">
        <v>7</v>
      </c>
      <c r="D533" s="3283">
        <v>1611</v>
      </c>
      <c r="E533" s="3285" t="str">
        <f t="shared" si="8"/>
        <v>南-7-1611</v>
      </c>
      <c r="F533" s="3283" t="s">
        <v>3680</v>
      </c>
      <c r="G533" s="3283" t="s">
        <v>3428</v>
      </c>
      <c r="H533" s="3286"/>
      <c r="I533" s="3287">
        <v>79.709999999999994</v>
      </c>
      <c r="J533" s="3286">
        <v>53.33</v>
      </c>
    </row>
    <row r="534" spans="1:10" hidden="1">
      <c r="A534" s="3282">
        <v>533</v>
      </c>
      <c r="B534" s="3283" t="s">
        <v>3262</v>
      </c>
      <c r="C534" s="3283">
        <v>7</v>
      </c>
      <c r="D534" s="3283">
        <v>1612</v>
      </c>
      <c r="E534" s="3285" t="str">
        <f t="shared" si="8"/>
        <v>南-7-1612</v>
      </c>
      <c r="F534" s="3283" t="s">
        <v>3681</v>
      </c>
      <c r="G534" s="3283" t="s">
        <v>3428</v>
      </c>
      <c r="H534" s="3286"/>
      <c r="I534" s="3287">
        <v>72.510000000000005</v>
      </c>
      <c r="J534" s="3286">
        <v>48.51</v>
      </c>
    </row>
    <row r="535" spans="1:10" hidden="1">
      <c r="A535" s="3282">
        <v>534</v>
      </c>
      <c r="B535" s="3283" t="s">
        <v>3262</v>
      </c>
      <c r="C535" s="3283">
        <v>7</v>
      </c>
      <c r="D535" s="3283">
        <v>1613</v>
      </c>
      <c r="E535" s="3285" t="str">
        <f t="shared" si="8"/>
        <v>南-7-1613</v>
      </c>
      <c r="F535" s="3283" t="s">
        <v>3682</v>
      </c>
      <c r="G535" s="3283" t="s">
        <v>3428</v>
      </c>
      <c r="H535" s="3286"/>
      <c r="I535" s="3287">
        <v>72.510000000000005</v>
      </c>
      <c r="J535" s="3286">
        <v>48.51</v>
      </c>
    </row>
    <row r="536" spans="1:10" hidden="1">
      <c r="A536" s="3282">
        <v>535</v>
      </c>
      <c r="B536" s="3283" t="s">
        <v>3262</v>
      </c>
      <c r="C536" s="3283">
        <v>7</v>
      </c>
      <c r="D536" s="3283">
        <v>1614</v>
      </c>
      <c r="E536" s="3285" t="str">
        <f t="shared" si="8"/>
        <v>南-7-1614</v>
      </c>
      <c r="F536" s="3283" t="s">
        <v>3683</v>
      </c>
      <c r="G536" s="3283" t="s">
        <v>3428</v>
      </c>
      <c r="H536" s="3286"/>
      <c r="I536" s="3287">
        <v>72.510000000000005</v>
      </c>
      <c r="J536" s="3286">
        <v>48.51</v>
      </c>
    </row>
    <row r="537" spans="1:10" hidden="1">
      <c r="A537" s="3282">
        <v>536</v>
      </c>
      <c r="B537" s="3283" t="s">
        <v>3262</v>
      </c>
      <c r="C537" s="3283">
        <v>7</v>
      </c>
      <c r="D537" s="3283">
        <v>1615</v>
      </c>
      <c r="E537" s="3285" t="str">
        <f t="shared" si="8"/>
        <v>南-7-1615</v>
      </c>
      <c r="F537" s="3283" t="s">
        <v>3684</v>
      </c>
      <c r="G537" s="3283" t="s">
        <v>3428</v>
      </c>
      <c r="H537" s="3286"/>
      <c r="I537" s="3287">
        <v>72.510000000000005</v>
      </c>
      <c r="J537" s="3286">
        <v>48.51</v>
      </c>
    </row>
    <row r="538" spans="1:10" hidden="1">
      <c r="A538" s="3282">
        <v>537</v>
      </c>
      <c r="B538" s="3283" t="s">
        <v>3262</v>
      </c>
      <c r="C538" s="3283">
        <v>7</v>
      </c>
      <c r="D538" s="3283">
        <v>1616</v>
      </c>
      <c r="E538" s="3285" t="str">
        <f t="shared" si="8"/>
        <v>南-7-1616</v>
      </c>
      <c r="F538" s="3283" t="s">
        <v>3685</v>
      </c>
      <c r="G538" s="3283" t="s">
        <v>3428</v>
      </c>
      <c r="H538" s="3286"/>
      <c r="I538" s="3287">
        <v>43.94</v>
      </c>
      <c r="J538" s="3286">
        <v>29.4</v>
      </c>
    </row>
    <row r="539" spans="1:10" hidden="1">
      <c r="A539" s="3282">
        <v>538</v>
      </c>
      <c r="B539" s="3283" t="s">
        <v>3262</v>
      </c>
      <c r="C539" s="3283">
        <v>8</v>
      </c>
      <c r="D539" s="3283">
        <v>201</v>
      </c>
      <c r="E539" s="3285" t="str">
        <f t="shared" si="8"/>
        <v>南-8-201</v>
      </c>
      <c r="F539" s="3283" t="s">
        <v>3686</v>
      </c>
      <c r="G539" s="3283" t="s">
        <v>3450</v>
      </c>
      <c r="H539" s="3286"/>
      <c r="I539" s="3287">
        <v>80.42</v>
      </c>
      <c r="J539" s="3286">
        <v>53.36</v>
      </c>
    </row>
    <row r="540" spans="1:10" hidden="1">
      <c r="A540" s="3282">
        <v>539</v>
      </c>
      <c r="B540" s="3283" t="s">
        <v>3451</v>
      </c>
      <c r="C540" s="3283">
        <v>8</v>
      </c>
      <c r="D540" s="3283">
        <v>202</v>
      </c>
      <c r="E540" s="3285" t="str">
        <f t="shared" si="8"/>
        <v>南-8-202</v>
      </c>
      <c r="F540" s="3283" t="s">
        <v>3687</v>
      </c>
      <c r="G540" s="3283" t="s">
        <v>3446</v>
      </c>
      <c r="H540" s="3286"/>
      <c r="I540" s="3287">
        <v>73.11</v>
      </c>
      <c r="J540" s="3286">
        <v>48.51</v>
      </c>
    </row>
    <row r="541" spans="1:10" hidden="1">
      <c r="A541" s="3282">
        <v>540</v>
      </c>
      <c r="B541" s="3283" t="s">
        <v>3447</v>
      </c>
      <c r="C541" s="3283">
        <v>8</v>
      </c>
      <c r="D541" s="3283">
        <v>203</v>
      </c>
      <c r="E541" s="3285" t="str">
        <f t="shared" si="8"/>
        <v>南-8-203</v>
      </c>
      <c r="F541" s="3283" t="s">
        <v>3688</v>
      </c>
      <c r="G541" s="3283" t="s">
        <v>3428</v>
      </c>
      <c r="H541" s="3286"/>
      <c r="I541" s="3287">
        <v>73.11</v>
      </c>
      <c r="J541" s="3286">
        <v>48.51</v>
      </c>
    </row>
    <row r="542" spans="1:10" hidden="1">
      <c r="A542" s="3282">
        <v>541</v>
      </c>
      <c r="B542" s="3283" t="s">
        <v>3262</v>
      </c>
      <c r="C542" s="3283">
        <v>8</v>
      </c>
      <c r="D542" s="3283">
        <v>204</v>
      </c>
      <c r="E542" s="3285" t="str">
        <f t="shared" si="8"/>
        <v>南-8-204</v>
      </c>
      <c r="F542" s="3283" t="s">
        <v>3689</v>
      </c>
      <c r="G542" s="3283" t="s">
        <v>3430</v>
      </c>
      <c r="H542" s="3286"/>
      <c r="I542" s="3287">
        <v>73.11</v>
      </c>
      <c r="J542" s="3286">
        <v>48.51</v>
      </c>
    </row>
    <row r="543" spans="1:10" hidden="1">
      <c r="A543" s="3282">
        <v>542</v>
      </c>
      <c r="B543" s="3283" t="s">
        <v>3270</v>
      </c>
      <c r="C543" s="3283">
        <v>8</v>
      </c>
      <c r="D543" s="3283">
        <v>205</v>
      </c>
      <c r="E543" s="3285" t="str">
        <f t="shared" si="8"/>
        <v>南-8-205</v>
      </c>
      <c r="F543" s="3283" t="s">
        <v>3690</v>
      </c>
      <c r="G543" s="3283" t="s">
        <v>3463</v>
      </c>
      <c r="H543" s="3286"/>
      <c r="I543" s="3287">
        <v>73.11</v>
      </c>
      <c r="J543" s="3286">
        <v>48.51</v>
      </c>
    </row>
    <row r="544" spans="1:10" hidden="1">
      <c r="A544" s="3282">
        <v>543</v>
      </c>
      <c r="B544" s="3283" t="s">
        <v>3464</v>
      </c>
      <c r="C544" s="3283">
        <v>8</v>
      </c>
      <c r="D544" s="3283">
        <v>206</v>
      </c>
      <c r="E544" s="3285" t="str">
        <f t="shared" si="8"/>
        <v>南-8-206</v>
      </c>
      <c r="F544" s="3283" t="s">
        <v>3691</v>
      </c>
      <c r="G544" s="3283" t="s">
        <v>3428</v>
      </c>
      <c r="H544" s="3286"/>
      <c r="I544" s="3287">
        <v>80.31</v>
      </c>
      <c r="J544" s="3286">
        <v>53.29</v>
      </c>
    </row>
    <row r="545" spans="1:10" hidden="1">
      <c r="A545" s="3282">
        <v>544</v>
      </c>
      <c r="B545" s="3283" t="s">
        <v>3262</v>
      </c>
      <c r="C545" s="3283">
        <v>8</v>
      </c>
      <c r="D545" s="3283">
        <v>207</v>
      </c>
      <c r="E545" s="3285" t="str">
        <f t="shared" si="8"/>
        <v>南-8-207</v>
      </c>
      <c r="F545" s="3283" t="s">
        <v>3692</v>
      </c>
      <c r="G545" s="3283" t="s">
        <v>3428</v>
      </c>
      <c r="H545" s="3286"/>
      <c r="I545" s="3287">
        <v>56.18</v>
      </c>
      <c r="J545" s="3286">
        <v>37.28</v>
      </c>
    </row>
    <row r="546" spans="1:10" hidden="1">
      <c r="A546" s="3282">
        <v>545</v>
      </c>
      <c r="B546" s="3283" t="s">
        <v>3262</v>
      </c>
      <c r="C546" s="3283">
        <v>8</v>
      </c>
      <c r="D546" s="3283">
        <v>208</v>
      </c>
      <c r="E546" s="3285" t="str">
        <f t="shared" si="8"/>
        <v>南-8-208</v>
      </c>
      <c r="F546" s="3283" t="s">
        <v>3693</v>
      </c>
      <c r="G546" s="3283" t="s">
        <v>3428</v>
      </c>
      <c r="H546" s="3286"/>
      <c r="I546" s="3287">
        <v>71.56</v>
      </c>
      <c r="J546" s="3286">
        <v>47.48</v>
      </c>
    </row>
    <row r="547" spans="1:10" hidden="1">
      <c r="A547" s="3282">
        <v>546</v>
      </c>
      <c r="B547" s="3283" t="s">
        <v>3262</v>
      </c>
      <c r="C547" s="3283">
        <v>8</v>
      </c>
      <c r="D547" s="3283">
        <v>209</v>
      </c>
      <c r="E547" s="3285" t="str">
        <f t="shared" si="8"/>
        <v>南-8-209</v>
      </c>
      <c r="F547" s="3283" t="s">
        <v>3694</v>
      </c>
      <c r="G547" s="3283" t="s">
        <v>3430</v>
      </c>
      <c r="H547" s="3286"/>
      <c r="I547" s="3287">
        <v>44.31</v>
      </c>
      <c r="J547" s="3286">
        <v>29.4</v>
      </c>
    </row>
    <row r="548" spans="1:10" hidden="1">
      <c r="A548" s="3282">
        <v>547</v>
      </c>
      <c r="B548" s="3283" t="s">
        <v>3270</v>
      </c>
      <c r="C548" s="3283">
        <v>8</v>
      </c>
      <c r="D548" s="3283">
        <v>210</v>
      </c>
      <c r="E548" s="3285" t="str">
        <f t="shared" si="8"/>
        <v>南-8-210</v>
      </c>
      <c r="F548" s="3283" t="s">
        <v>3695</v>
      </c>
      <c r="G548" s="3283" t="s">
        <v>3428</v>
      </c>
      <c r="H548" s="3286"/>
      <c r="I548" s="3287">
        <v>44.31</v>
      </c>
      <c r="J548" s="3286">
        <v>29.4</v>
      </c>
    </row>
    <row r="549" spans="1:10" hidden="1">
      <c r="A549" s="3282">
        <v>548</v>
      </c>
      <c r="B549" s="3283" t="s">
        <v>3262</v>
      </c>
      <c r="C549" s="3283">
        <v>8</v>
      </c>
      <c r="D549" s="3283">
        <v>211</v>
      </c>
      <c r="E549" s="3285" t="str">
        <f t="shared" si="8"/>
        <v>南-8-211</v>
      </c>
      <c r="F549" s="3283" t="s">
        <v>3696</v>
      </c>
      <c r="G549" s="3283" t="s">
        <v>3428</v>
      </c>
      <c r="H549" s="3286"/>
      <c r="I549" s="3287">
        <v>44.31</v>
      </c>
      <c r="J549" s="3286">
        <v>29.4</v>
      </c>
    </row>
    <row r="550" spans="1:10" hidden="1">
      <c r="A550" s="3282">
        <v>549</v>
      </c>
      <c r="B550" s="3283" t="s">
        <v>3262</v>
      </c>
      <c r="C550" s="3283">
        <v>8</v>
      </c>
      <c r="D550" s="3283">
        <v>212</v>
      </c>
      <c r="E550" s="3285" t="str">
        <f t="shared" si="8"/>
        <v>南-8-212</v>
      </c>
      <c r="F550" s="3283" t="s">
        <v>3697</v>
      </c>
      <c r="G550" s="3283" t="s">
        <v>3428</v>
      </c>
      <c r="H550" s="3286"/>
      <c r="I550" s="3287">
        <v>44.31</v>
      </c>
      <c r="J550" s="3286">
        <v>29.4</v>
      </c>
    </row>
    <row r="551" spans="1:10" hidden="1">
      <c r="A551" s="3282">
        <v>550</v>
      </c>
      <c r="B551" s="3283" t="s">
        <v>3262</v>
      </c>
      <c r="C551" s="3283">
        <v>8</v>
      </c>
      <c r="D551" s="3283">
        <v>213</v>
      </c>
      <c r="E551" s="3285" t="str">
        <f t="shared" si="8"/>
        <v>南-8-213</v>
      </c>
      <c r="F551" s="3283" t="s">
        <v>3698</v>
      </c>
      <c r="G551" s="3283" t="s">
        <v>3428</v>
      </c>
      <c r="H551" s="3286"/>
      <c r="I551" s="3287">
        <v>44.31</v>
      </c>
      <c r="J551" s="3286">
        <v>29.4</v>
      </c>
    </row>
    <row r="552" spans="1:10" hidden="1">
      <c r="A552" s="3282">
        <v>551</v>
      </c>
      <c r="B552" s="3283" t="s">
        <v>3262</v>
      </c>
      <c r="C552" s="3283">
        <v>8</v>
      </c>
      <c r="D552" s="3283">
        <v>214</v>
      </c>
      <c r="E552" s="3285" t="str">
        <f t="shared" si="8"/>
        <v>南-8-214</v>
      </c>
      <c r="F552" s="3283" t="s">
        <v>3699</v>
      </c>
      <c r="G552" s="3283" t="s">
        <v>3430</v>
      </c>
      <c r="H552" s="3286"/>
      <c r="I552" s="3287">
        <v>44.31</v>
      </c>
      <c r="J552" s="3286">
        <v>29.4</v>
      </c>
    </row>
    <row r="553" spans="1:10" hidden="1">
      <c r="A553" s="3282">
        <v>552</v>
      </c>
      <c r="B553" s="3283" t="s">
        <v>3270</v>
      </c>
      <c r="C553" s="3283">
        <v>8</v>
      </c>
      <c r="D553" s="3283">
        <v>215</v>
      </c>
      <c r="E553" s="3285" t="str">
        <f t="shared" si="8"/>
        <v>南-8-215</v>
      </c>
      <c r="F553" s="3283" t="s">
        <v>3700</v>
      </c>
      <c r="G553" s="3283" t="s">
        <v>3428</v>
      </c>
      <c r="H553" s="3286"/>
      <c r="I553" s="3287">
        <v>44.31</v>
      </c>
      <c r="J553" s="3286">
        <v>29.4</v>
      </c>
    </row>
    <row r="554" spans="1:10" hidden="1">
      <c r="A554" s="3282">
        <v>553</v>
      </c>
      <c r="B554" s="3283" t="s">
        <v>3262</v>
      </c>
      <c r="C554" s="3283">
        <v>8</v>
      </c>
      <c r="D554" s="3283">
        <v>216</v>
      </c>
      <c r="E554" s="3285" t="str">
        <f t="shared" si="8"/>
        <v>南-8-216</v>
      </c>
      <c r="F554" s="3283" t="s">
        <v>3701</v>
      </c>
      <c r="G554" s="3283" t="s">
        <v>3428</v>
      </c>
      <c r="H554" s="3286"/>
      <c r="I554" s="3287">
        <v>71.45</v>
      </c>
      <c r="J554" s="3286">
        <v>47.41</v>
      </c>
    </row>
    <row r="555" spans="1:10" hidden="1">
      <c r="A555" s="3282">
        <v>554</v>
      </c>
      <c r="B555" s="3283" t="s">
        <v>3262</v>
      </c>
      <c r="C555" s="3283">
        <v>8</v>
      </c>
      <c r="D555" s="3283">
        <v>217</v>
      </c>
      <c r="E555" s="3285" t="str">
        <f t="shared" si="8"/>
        <v>南-8-217</v>
      </c>
      <c r="F555" s="3283" t="s">
        <v>3702</v>
      </c>
      <c r="G555" s="3283" t="s">
        <v>3428</v>
      </c>
      <c r="H555" s="3286"/>
      <c r="I555" s="3287">
        <v>56.18</v>
      </c>
      <c r="J555" s="3286">
        <v>37.28</v>
      </c>
    </row>
    <row r="556" spans="1:10" hidden="1">
      <c r="A556" s="3282">
        <v>555</v>
      </c>
      <c r="B556" s="3283" t="s">
        <v>3262</v>
      </c>
      <c r="C556" s="3283">
        <v>8</v>
      </c>
      <c r="D556" s="3283">
        <v>301</v>
      </c>
      <c r="E556" s="3285" t="str">
        <f t="shared" si="8"/>
        <v>南-8-301</v>
      </c>
      <c r="F556" s="3283" t="s">
        <v>3703</v>
      </c>
      <c r="G556" s="3283" t="s">
        <v>3428</v>
      </c>
      <c r="H556" s="3286"/>
      <c r="I556" s="3287">
        <v>80.31</v>
      </c>
      <c r="J556" s="3286">
        <v>53.29</v>
      </c>
    </row>
    <row r="557" spans="1:10" hidden="1">
      <c r="A557" s="3282">
        <v>556</v>
      </c>
      <c r="B557" s="3283" t="s">
        <v>3262</v>
      </c>
      <c r="C557" s="3283">
        <v>8</v>
      </c>
      <c r="D557" s="3283">
        <v>302</v>
      </c>
      <c r="E557" s="3285" t="str">
        <f t="shared" si="8"/>
        <v>南-8-302</v>
      </c>
      <c r="F557" s="3283" t="s">
        <v>3704</v>
      </c>
      <c r="G557" s="3283" t="s">
        <v>3430</v>
      </c>
      <c r="H557" s="3286"/>
      <c r="I557" s="3287">
        <v>73.11</v>
      </c>
      <c r="J557" s="3286">
        <v>48.51</v>
      </c>
    </row>
    <row r="558" spans="1:10" hidden="1">
      <c r="A558" s="3282">
        <v>557</v>
      </c>
      <c r="B558" s="3283" t="s">
        <v>3270</v>
      </c>
      <c r="C558" s="3283">
        <v>8</v>
      </c>
      <c r="D558" s="3283">
        <v>303</v>
      </c>
      <c r="E558" s="3285" t="str">
        <f t="shared" si="8"/>
        <v>南-8-303</v>
      </c>
      <c r="F558" s="3283" t="s">
        <v>3705</v>
      </c>
      <c r="G558" s="3283" t="s">
        <v>3428</v>
      </c>
      <c r="H558" s="3286"/>
      <c r="I558" s="3287">
        <v>73.11</v>
      </c>
      <c r="J558" s="3286">
        <v>48.51</v>
      </c>
    </row>
    <row r="559" spans="1:10" hidden="1">
      <c r="A559" s="3282">
        <v>558</v>
      </c>
      <c r="B559" s="3283" t="s">
        <v>3262</v>
      </c>
      <c r="C559" s="3283">
        <v>8</v>
      </c>
      <c r="D559" s="3283">
        <v>304</v>
      </c>
      <c r="E559" s="3285" t="str">
        <f t="shared" si="8"/>
        <v>南-8-304</v>
      </c>
      <c r="F559" s="3283" t="s">
        <v>3706</v>
      </c>
      <c r="G559" s="3283" t="s">
        <v>3428</v>
      </c>
      <c r="H559" s="3286"/>
      <c r="I559" s="3287">
        <v>73.11</v>
      </c>
      <c r="J559" s="3286">
        <v>48.51</v>
      </c>
    </row>
    <row r="560" spans="1:10" hidden="1">
      <c r="A560" s="3282">
        <v>559</v>
      </c>
      <c r="B560" s="3283" t="s">
        <v>3262</v>
      </c>
      <c r="C560" s="3283">
        <v>8</v>
      </c>
      <c r="D560" s="3283">
        <v>305</v>
      </c>
      <c r="E560" s="3285" t="str">
        <f t="shared" si="8"/>
        <v>南-8-305</v>
      </c>
      <c r="F560" s="3283" t="s">
        <v>3707</v>
      </c>
      <c r="G560" s="3283" t="s">
        <v>3428</v>
      </c>
      <c r="H560" s="3286"/>
      <c r="I560" s="3287">
        <v>73.11</v>
      </c>
      <c r="J560" s="3286">
        <v>48.51</v>
      </c>
    </row>
    <row r="561" spans="1:10" hidden="1">
      <c r="A561" s="3282">
        <v>560</v>
      </c>
      <c r="B561" s="3283" t="s">
        <v>3262</v>
      </c>
      <c r="C561" s="3283">
        <v>8</v>
      </c>
      <c r="D561" s="3283">
        <v>306</v>
      </c>
      <c r="E561" s="3285" t="str">
        <f t="shared" si="8"/>
        <v>南-8-306</v>
      </c>
      <c r="F561" s="3283" t="s">
        <v>3708</v>
      </c>
      <c r="G561" s="3283" t="s">
        <v>3428</v>
      </c>
      <c r="H561" s="3286"/>
      <c r="I561" s="3287">
        <v>80.42</v>
      </c>
      <c r="J561" s="3286">
        <v>53.36</v>
      </c>
    </row>
    <row r="562" spans="1:10" hidden="1">
      <c r="A562" s="3282">
        <v>561</v>
      </c>
      <c r="B562" s="3283" t="s">
        <v>3262</v>
      </c>
      <c r="C562" s="3283">
        <v>8</v>
      </c>
      <c r="D562" s="3283">
        <v>307</v>
      </c>
      <c r="E562" s="3285" t="str">
        <f t="shared" si="8"/>
        <v>南-8-307</v>
      </c>
      <c r="F562" s="3283" t="s">
        <v>3709</v>
      </c>
      <c r="G562" s="3283" t="s">
        <v>3430</v>
      </c>
      <c r="H562" s="3286"/>
      <c r="I562" s="3287">
        <v>56.18</v>
      </c>
      <c r="J562" s="3286">
        <v>37.28</v>
      </c>
    </row>
    <row r="563" spans="1:10" hidden="1">
      <c r="A563" s="3282">
        <v>562</v>
      </c>
      <c r="B563" s="3283" t="s">
        <v>3270</v>
      </c>
      <c r="C563" s="3283">
        <v>8</v>
      </c>
      <c r="D563" s="3283">
        <v>308</v>
      </c>
      <c r="E563" s="3285" t="str">
        <f t="shared" si="8"/>
        <v>南-8-308</v>
      </c>
      <c r="F563" s="3283" t="s">
        <v>3710</v>
      </c>
      <c r="G563" s="3283" t="s">
        <v>3428</v>
      </c>
      <c r="H563" s="3286"/>
      <c r="I563" s="3287">
        <v>71.45</v>
      </c>
      <c r="J563" s="3286">
        <v>47.41</v>
      </c>
    </row>
    <row r="564" spans="1:10" hidden="1">
      <c r="A564" s="3282">
        <v>563</v>
      </c>
      <c r="B564" s="3283" t="s">
        <v>3262</v>
      </c>
      <c r="C564" s="3283">
        <v>8</v>
      </c>
      <c r="D564" s="3283">
        <v>309</v>
      </c>
      <c r="E564" s="3285" t="str">
        <f t="shared" si="8"/>
        <v>南-8-309</v>
      </c>
      <c r="F564" s="3283" t="s">
        <v>3711</v>
      </c>
      <c r="G564" s="3283" t="s">
        <v>3428</v>
      </c>
      <c r="H564" s="3286"/>
      <c r="I564" s="3287">
        <v>44.31</v>
      </c>
      <c r="J564" s="3286">
        <v>29.4</v>
      </c>
    </row>
    <row r="565" spans="1:10" hidden="1">
      <c r="A565" s="3282">
        <v>564</v>
      </c>
      <c r="B565" s="3283" t="s">
        <v>3262</v>
      </c>
      <c r="C565" s="3283">
        <v>8</v>
      </c>
      <c r="D565" s="3283">
        <v>310</v>
      </c>
      <c r="E565" s="3285" t="str">
        <f t="shared" si="8"/>
        <v>南-8-310</v>
      </c>
      <c r="F565" s="3283" t="s">
        <v>3712</v>
      </c>
      <c r="G565" s="3283" t="s">
        <v>3428</v>
      </c>
      <c r="H565" s="3286"/>
      <c r="I565" s="3287">
        <v>44.31</v>
      </c>
      <c r="J565" s="3286">
        <v>29.4</v>
      </c>
    </row>
    <row r="566" spans="1:10" hidden="1">
      <c r="A566" s="3282">
        <v>565</v>
      </c>
      <c r="B566" s="3283" t="s">
        <v>3262</v>
      </c>
      <c r="C566" s="3283">
        <v>8</v>
      </c>
      <c r="D566" s="3283">
        <v>311</v>
      </c>
      <c r="E566" s="3285" t="str">
        <f t="shared" si="8"/>
        <v>南-8-311</v>
      </c>
      <c r="F566" s="3283" t="s">
        <v>3713</v>
      </c>
      <c r="G566" s="3283" t="s">
        <v>3428</v>
      </c>
      <c r="H566" s="3286"/>
      <c r="I566" s="3287">
        <v>44.31</v>
      </c>
      <c r="J566" s="3286">
        <v>29.4</v>
      </c>
    </row>
    <row r="567" spans="1:10" hidden="1">
      <c r="A567" s="3282">
        <v>566</v>
      </c>
      <c r="B567" s="3283" t="s">
        <v>3262</v>
      </c>
      <c r="C567" s="3283">
        <v>8</v>
      </c>
      <c r="D567" s="3283">
        <v>312</v>
      </c>
      <c r="E567" s="3285" t="str">
        <f t="shared" si="8"/>
        <v>南-8-312</v>
      </c>
      <c r="F567" s="3283" t="s">
        <v>3714</v>
      </c>
      <c r="G567" s="3283" t="s">
        <v>3428</v>
      </c>
      <c r="H567" s="3286"/>
      <c r="I567" s="3287">
        <v>44.31</v>
      </c>
      <c r="J567" s="3286">
        <v>29.4</v>
      </c>
    </row>
    <row r="568" spans="1:10" hidden="1">
      <c r="A568" s="3282">
        <v>567</v>
      </c>
      <c r="B568" s="3283" t="s">
        <v>3262</v>
      </c>
      <c r="C568" s="3283">
        <v>8</v>
      </c>
      <c r="D568" s="3283">
        <v>313</v>
      </c>
      <c r="E568" s="3285" t="str">
        <f t="shared" si="8"/>
        <v>南-8-313</v>
      </c>
      <c r="F568" s="3283" t="s">
        <v>3715</v>
      </c>
      <c r="G568" s="3283" t="s">
        <v>3430</v>
      </c>
      <c r="H568" s="3286"/>
      <c r="I568" s="3287">
        <v>44.31</v>
      </c>
      <c r="J568" s="3286">
        <v>29.4</v>
      </c>
    </row>
    <row r="569" spans="1:10" hidden="1">
      <c r="A569" s="3282">
        <v>568</v>
      </c>
      <c r="B569" s="3283" t="s">
        <v>3270</v>
      </c>
      <c r="C569" s="3283">
        <v>8</v>
      </c>
      <c r="D569" s="3283">
        <v>314</v>
      </c>
      <c r="E569" s="3285" t="str">
        <f t="shared" si="8"/>
        <v>南-8-314</v>
      </c>
      <c r="F569" s="3283" t="s">
        <v>3716</v>
      </c>
      <c r="G569" s="3283" t="s">
        <v>3428</v>
      </c>
      <c r="H569" s="3286"/>
      <c r="I569" s="3287">
        <v>44.31</v>
      </c>
      <c r="J569" s="3286">
        <v>29.4</v>
      </c>
    </row>
    <row r="570" spans="1:10" hidden="1">
      <c r="A570" s="3282">
        <v>569</v>
      </c>
      <c r="B570" s="3283" t="s">
        <v>3262</v>
      </c>
      <c r="C570" s="3283">
        <v>8</v>
      </c>
      <c r="D570" s="3283">
        <v>315</v>
      </c>
      <c r="E570" s="3285" t="str">
        <f t="shared" si="8"/>
        <v>南-8-315</v>
      </c>
      <c r="F570" s="3283" t="s">
        <v>3717</v>
      </c>
      <c r="G570" s="3283" t="s">
        <v>3428</v>
      </c>
      <c r="H570" s="3286"/>
      <c r="I570" s="3287">
        <v>44.31</v>
      </c>
      <c r="J570" s="3286">
        <v>29.4</v>
      </c>
    </row>
    <row r="571" spans="1:10" hidden="1">
      <c r="A571" s="3282">
        <v>570</v>
      </c>
      <c r="B571" s="3283" t="s">
        <v>3262</v>
      </c>
      <c r="C571" s="3283">
        <v>8</v>
      </c>
      <c r="D571" s="3283">
        <v>316</v>
      </c>
      <c r="E571" s="3285" t="str">
        <f t="shared" si="8"/>
        <v>南-8-316</v>
      </c>
      <c r="F571" s="3283" t="s">
        <v>3718</v>
      </c>
      <c r="G571" s="3283" t="s">
        <v>3428</v>
      </c>
      <c r="H571" s="3286"/>
      <c r="I571" s="3287">
        <v>71.56</v>
      </c>
      <c r="J571" s="3286">
        <v>47.48</v>
      </c>
    </row>
    <row r="572" spans="1:10" hidden="1">
      <c r="A572" s="3282">
        <v>571</v>
      </c>
      <c r="B572" s="3283" t="s">
        <v>3262</v>
      </c>
      <c r="C572" s="3283">
        <v>8</v>
      </c>
      <c r="D572" s="3283">
        <v>317</v>
      </c>
      <c r="E572" s="3285" t="str">
        <f t="shared" si="8"/>
        <v>南-8-317</v>
      </c>
      <c r="F572" s="3283" t="s">
        <v>3719</v>
      </c>
      <c r="G572" s="3283" t="s">
        <v>3428</v>
      </c>
      <c r="H572" s="3286"/>
      <c r="I572" s="3287">
        <v>56.18</v>
      </c>
      <c r="J572" s="3286">
        <v>37.28</v>
      </c>
    </row>
    <row r="573" spans="1:10" hidden="1">
      <c r="A573" s="3282">
        <v>572</v>
      </c>
      <c r="B573" s="3283" t="s">
        <v>3262</v>
      </c>
      <c r="C573" s="3283">
        <v>8</v>
      </c>
      <c r="D573" s="3283">
        <v>401</v>
      </c>
      <c r="E573" s="3285" t="str">
        <f t="shared" si="8"/>
        <v>南-8-401</v>
      </c>
      <c r="F573" s="3283" t="s">
        <v>3720</v>
      </c>
      <c r="G573" s="3283" t="s">
        <v>3430</v>
      </c>
      <c r="H573" s="3286"/>
      <c r="I573" s="3287">
        <v>80.42</v>
      </c>
      <c r="J573" s="3286">
        <v>53.36</v>
      </c>
    </row>
    <row r="574" spans="1:10" hidden="1">
      <c r="A574" s="3282">
        <v>573</v>
      </c>
      <c r="B574" s="3283" t="s">
        <v>3270</v>
      </c>
      <c r="C574" s="3283">
        <v>8</v>
      </c>
      <c r="D574" s="3283">
        <v>402</v>
      </c>
      <c r="E574" s="3285" t="str">
        <f t="shared" si="8"/>
        <v>南-8-402</v>
      </c>
      <c r="F574" s="3283" t="s">
        <v>3721</v>
      </c>
      <c r="G574" s="3283" t="s">
        <v>3428</v>
      </c>
      <c r="H574" s="3286"/>
      <c r="I574" s="3287">
        <v>73.11</v>
      </c>
      <c r="J574" s="3286">
        <v>48.51</v>
      </c>
    </row>
    <row r="575" spans="1:10" hidden="1">
      <c r="A575" s="3282">
        <v>574</v>
      </c>
      <c r="B575" s="3283" t="s">
        <v>3262</v>
      </c>
      <c r="C575" s="3283">
        <v>8</v>
      </c>
      <c r="D575" s="3283">
        <v>403</v>
      </c>
      <c r="E575" s="3285" t="str">
        <f t="shared" si="8"/>
        <v>南-8-403</v>
      </c>
      <c r="F575" s="3283" t="s">
        <v>3722</v>
      </c>
      <c r="G575" s="3283" t="s">
        <v>3428</v>
      </c>
      <c r="H575" s="3286"/>
      <c r="I575" s="3287">
        <v>73.11</v>
      </c>
      <c r="J575" s="3286">
        <v>48.51</v>
      </c>
    </row>
    <row r="576" spans="1:10" hidden="1">
      <c r="A576" s="3282">
        <v>575</v>
      </c>
      <c r="B576" s="3283" t="s">
        <v>3262</v>
      </c>
      <c r="C576" s="3283">
        <v>8</v>
      </c>
      <c r="D576" s="3283">
        <v>404</v>
      </c>
      <c r="E576" s="3285" t="str">
        <f t="shared" si="8"/>
        <v>南-8-404</v>
      </c>
      <c r="F576" s="3283" t="s">
        <v>3723</v>
      </c>
      <c r="G576" s="3283" t="s">
        <v>3428</v>
      </c>
      <c r="H576" s="3286"/>
      <c r="I576" s="3287">
        <v>73.11</v>
      </c>
      <c r="J576" s="3286">
        <v>48.51</v>
      </c>
    </row>
    <row r="577" spans="1:10" hidden="1">
      <c r="A577" s="3282">
        <v>576</v>
      </c>
      <c r="B577" s="3283" t="s">
        <v>3262</v>
      </c>
      <c r="C577" s="3283">
        <v>8</v>
      </c>
      <c r="D577" s="3283">
        <v>405</v>
      </c>
      <c r="E577" s="3285" t="str">
        <f t="shared" si="8"/>
        <v>南-8-405</v>
      </c>
      <c r="F577" s="3283" t="s">
        <v>3724</v>
      </c>
      <c r="G577" s="3283" t="s">
        <v>3428</v>
      </c>
      <c r="H577" s="3286"/>
      <c r="I577" s="3287">
        <v>73.11</v>
      </c>
      <c r="J577" s="3286">
        <v>48.51</v>
      </c>
    </row>
    <row r="578" spans="1:10" hidden="1">
      <c r="A578" s="3282">
        <v>577</v>
      </c>
      <c r="B578" s="3283" t="s">
        <v>3262</v>
      </c>
      <c r="C578" s="3283">
        <v>8</v>
      </c>
      <c r="D578" s="3283">
        <v>406</v>
      </c>
      <c r="E578" s="3285" t="str">
        <f t="shared" si="8"/>
        <v>南-8-406</v>
      </c>
      <c r="F578" s="3283" t="s">
        <v>3725</v>
      </c>
      <c r="G578" s="3283" t="s">
        <v>3430</v>
      </c>
      <c r="H578" s="3286"/>
      <c r="I578" s="3287">
        <v>80.31</v>
      </c>
      <c r="J578" s="3286">
        <v>53.29</v>
      </c>
    </row>
    <row r="579" spans="1:10" hidden="1">
      <c r="A579" s="3282">
        <v>578</v>
      </c>
      <c r="B579" s="3283" t="s">
        <v>3270</v>
      </c>
      <c r="C579" s="3283">
        <v>8</v>
      </c>
      <c r="D579" s="3283">
        <v>407</v>
      </c>
      <c r="E579" s="3285" t="str">
        <f t="shared" ref="E579:E642" si="9">B579&amp;-C579&amp;"-"&amp;D579</f>
        <v>南-8-407</v>
      </c>
      <c r="F579" s="3283" t="s">
        <v>3726</v>
      </c>
      <c r="G579" s="3283" t="s">
        <v>3428</v>
      </c>
      <c r="H579" s="3286"/>
      <c r="I579" s="3287">
        <v>56.18</v>
      </c>
      <c r="J579" s="3286">
        <v>37.28</v>
      </c>
    </row>
    <row r="580" spans="1:10" hidden="1">
      <c r="A580" s="3282">
        <v>579</v>
      </c>
      <c r="B580" s="3283" t="s">
        <v>3262</v>
      </c>
      <c r="C580" s="3283">
        <v>8</v>
      </c>
      <c r="D580" s="3283">
        <v>408</v>
      </c>
      <c r="E580" s="3285" t="str">
        <f t="shared" si="9"/>
        <v>南-8-408</v>
      </c>
      <c r="F580" s="3283" t="s">
        <v>3727</v>
      </c>
      <c r="G580" s="3283" t="s">
        <v>3428</v>
      </c>
      <c r="H580" s="3286"/>
      <c r="I580" s="3287">
        <v>71.56</v>
      </c>
      <c r="J580" s="3286">
        <v>47.48</v>
      </c>
    </row>
    <row r="581" spans="1:10" hidden="1">
      <c r="A581" s="3282">
        <v>580</v>
      </c>
      <c r="B581" s="3283" t="s">
        <v>3262</v>
      </c>
      <c r="C581" s="3283">
        <v>8</v>
      </c>
      <c r="D581" s="3283">
        <v>409</v>
      </c>
      <c r="E581" s="3285" t="str">
        <f t="shared" si="9"/>
        <v>南-8-409</v>
      </c>
      <c r="F581" s="3283" t="s">
        <v>3728</v>
      </c>
      <c r="G581" s="3283" t="s">
        <v>3428</v>
      </c>
      <c r="H581" s="3286"/>
      <c r="I581" s="3287">
        <v>44.31</v>
      </c>
      <c r="J581" s="3286">
        <v>29.4</v>
      </c>
    </row>
    <row r="582" spans="1:10" hidden="1">
      <c r="A582" s="3282">
        <v>581</v>
      </c>
      <c r="B582" s="3283" t="s">
        <v>3262</v>
      </c>
      <c r="C582" s="3283">
        <v>8</v>
      </c>
      <c r="D582" s="3283">
        <v>410</v>
      </c>
      <c r="E582" s="3285" t="str">
        <f t="shared" si="9"/>
        <v>南-8-410</v>
      </c>
      <c r="F582" s="3283" t="s">
        <v>3729</v>
      </c>
      <c r="G582" s="3283" t="s">
        <v>3428</v>
      </c>
      <c r="H582" s="3286"/>
      <c r="I582" s="3287">
        <v>44.31</v>
      </c>
      <c r="J582" s="3286">
        <v>29.4</v>
      </c>
    </row>
    <row r="583" spans="1:10" hidden="1">
      <c r="A583" s="3282">
        <v>582</v>
      </c>
      <c r="B583" s="3283" t="s">
        <v>3262</v>
      </c>
      <c r="C583" s="3283">
        <v>8</v>
      </c>
      <c r="D583" s="3283">
        <v>411</v>
      </c>
      <c r="E583" s="3285" t="str">
        <f t="shared" si="9"/>
        <v>南-8-411</v>
      </c>
      <c r="F583" s="3283" t="s">
        <v>3730</v>
      </c>
      <c r="G583" s="3283" t="s">
        <v>3428</v>
      </c>
      <c r="H583" s="3286"/>
      <c r="I583" s="3287">
        <v>44.31</v>
      </c>
      <c r="J583" s="3286">
        <v>29.4</v>
      </c>
    </row>
    <row r="584" spans="1:10" hidden="1">
      <c r="A584" s="3282">
        <v>583</v>
      </c>
      <c r="B584" s="3283" t="s">
        <v>3262</v>
      </c>
      <c r="C584" s="3283">
        <v>8</v>
      </c>
      <c r="D584" s="3283">
        <v>412</v>
      </c>
      <c r="E584" s="3285" t="str">
        <f t="shared" si="9"/>
        <v>南-8-412</v>
      </c>
      <c r="F584" s="3283" t="s">
        <v>3731</v>
      </c>
      <c r="G584" s="3283" t="s">
        <v>3430</v>
      </c>
      <c r="H584" s="3286"/>
      <c r="I584" s="3287">
        <v>44.31</v>
      </c>
      <c r="J584" s="3286">
        <v>29.4</v>
      </c>
    </row>
    <row r="585" spans="1:10" hidden="1">
      <c r="A585" s="3282">
        <v>584</v>
      </c>
      <c r="B585" s="3283" t="s">
        <v>3270</v>
      </c>
      <c r="C585" s="3283">
        <v>8</v>
      </c>
      <c r="D585" s="3283">
        <v>413</v>
      </c>
      <c r="E585" s="3285" t="str">
        <f t="shared" si="9"/>
        <v>南-8-413</v>
      </c>
      <c r="F585" s="3283" t="s">
        <v>3732</v>
      </c>
      <c r="G585" s="3283" t="s">
        <v>3428</v>
      </c>
      <c r="H585" s="3286"/>
      <c r="I585" s="3287">
        <v>44.31</v>
      </c>
      <c r="J585" s="3286">
        <v>29.4</v>
      </c>
    </row>
    <row r="586" spans="1:10" hidden="1">
      <c r="A586" s="3282">
        <v>585</v>
      </c>
      <c r="B586" s="3283" t="s">
        <v>3262</v>
      </c>
      <c r="C586" s="3283">
        <v>8</v>
      </c>
      <c r="D586" s="3283">
        <v>414</v>
      </c>
      <c r="E586" s="3285" t="str">
        <f t="shared" si="9"/>
        <v>南-8-414</v>
      </c>
      <c r="F586" s="3283" t="s">
        <v>3733</v>
      </c>
      <c r="G586" s="3283" t="s">
        <v>3428</v>
      </c>
      <c r="H586" s="3286"/>
      <c r="I586" s="3287">
        <v>44.31</v>
      </c>
      <c r="J586" s="3286">
        <v>29.4</v>
      </c>
    </row>
    <row r="587" spans="1:10" hidden="1">
      <c r="A587" s="3282">
        <v>586</v>
      </c>
      <c r="B587" s="3283" t="s">
        <v>3262</v>
      </c>
      <c r="C587" s="3283">
        <v>8</v>
      </c>
      <c r="D587" s="3283">
        <v>415</v>
      </c>
      <c r="E587" s="3285" t="str">
        <f t="shared" si="9"/>
        <v>南-8-415</v>
      </c>
      <c r="F587" s="3283" t="s">
        <v>3734</v>
      </c>
      <c r="G587" s="3283" t="s">
        <v>3428</v>
      </c>
      <c r="H587" s="3286"/>
      <c r="I587" s="3287">
        <v>44.31</v>
      </c>
      <c r="J587" s="3286">
        <v>29.4</v>
      </c>
    </row>
    <row r="588" spans="1:10" hidden="1">
      <c r="A588" s="3282">
        <v>587</v>
      </c>
      <c r="B588" s="3283" t="s">
        <v>3262</v>
      </c>
      <c r="C588" s="3283">
        <v>8</v>
      </c>
      <c r="D588" s="3283">
        <v>416</v>
      </c>
      <c r="E588" s="3285" t="str">
        <f t="shared" si="9"/>
        <v>南-8-416</v>
      </c>
      <c r="F588" s="3283" t="s">
        <v>3735</v>
      </c>
      <c r="G588" s="3283" t="s">
        <v>3428</v>
      </c>
      <c r="H588" s="3286"/>
      <c r="I588" s="3287">
        <v>71.45</v>
      </c>
      <c r="J588" s="3286">
        <v>47.41</v>
      </c>
    </row>
    <row r="589" spans="1:10" hidden="1">
      <c r="A589" s="3282">
        <v>588</v>
      </c>
      <c r="B589" s="3283" t="s">
        <v>3262</v>
      </c>
      <c r="C589" s="3283">
        <v>8</v>
      </c>
      <c r="D589" s="3283">
        <v>417</v>
      </c>
      <c r="E589" s="3285" t="str">
        <f t="shared" si="9"/>
        <v>南-8-417</v>
      </c>
      <c r="F589" s="3283" t="s">
        <v>3736</v>
      </c>
      <c r="G589" s="3283" t="s">
        <v>3428</v>
      </c>
      <c r="H589" s="3286"/>
      <c r="I589" s="3287">
        <v>56.18</v>
      </c>
      <c r="J589" s="3286">
        <v>37.28</v>
      </c>
    </row>
    <row r="590" spans="1:10" hidden="1">
      <c r="A590" s="3282">
        <v>589</v>
      </c>
      <c r="B590" s="3283" t="s">
        <v>3262</v>
      </c>
      <c r="C590" s="3283">
        <v>8</v>
      </c>
      <c r="D590" s="3283">
        <v>501</v>
      </c>
      <c r="E590" s="3285" t="str">
        <f t="shared" si="9"/>
        <v>南-8-501</v>
      </c>
      <c r="F590" s="3283" t="s">
        <v>3737</v>
      </c>
      <c r="G590" s="3283" t="s">
        <v>3430</v>
      </c>
      <c r="H590" s="3286"/>
      <c r="I590" s="3287">
        <v>80.31</v>
      </c>
      <c r="J590" s="3286">
        <v>53.29</v>
      </c>
    </row>
    <row r="591" spans="1:10" hidden="1">
      <c r="A591" s="3282">
        <v>590</v>
      </c>
      <c r="B591" s="3283" t="s">
        <v>3270</v>
      </c>
      <c r="C591" s="3283">
        <v>8</v>
      </c>
      <c r="D591" s="3283">
        <v>502</v>
      </c>
      <c r="E591" s="3285" t="str">
        <f t="shared" si="9"/>
        <v>南-8-502</v>
      </c>
      <c r="F591" s="3283" t="s">
        <v>3738</v>
      </c>
      <c r="G591" s="3283" t="s">
        <v>3428</v>
      </c>
      <c r="H591" s="3286"/>
      <c r="I591" s="3287">
        <v>73.11</v>
      </c>
      <c r="J591" s="3286">
        <v>48.51</v>
      </c>
    </row>
    <row r="592" spans="1:10" hidden="1">
      <c r="A592" s="3282">
        <v>591</v>
      </c>
      <c r="B592" s="3283" t="s">
        <v>3262</v>
      </c>
      <c r="C592" s="3283">
        <v>8</v>
      </c>
      <c r="D592" s="3283">
        <v>503</v>
      </c>
      <c r="E592" s="3285" t="str">
        <f t="shared" si="9"/>
        <v>南-8-503</v>
      </c>
      <c r="F592" s="3283" t="s">
        <v>3739</v>
      </c>
      <c r="G592" s="3283" t="s">
        <v>3428</v>
      </c>
      <c r="H592" s="3286"/>
      <c r="I592" s="3287">
        <v>73.11</v>
      </c>
      <c r="J592" s="3286">
        <v>48.51</v>
      </c>
    </row>
    <row r="593" spans="1:10" hidden="1">
      <c r="A593" s="3282">
        <v>592</v>
      </c>
      <c r="B593" s="3283" t="s">
        <v>3262</v>
      </c>
      <c r="C593" s="3283">
        <v>8</v>
      </c>
      <c r="D593" s="3283">
        <v>504</v>
      </c>
      <c r="E593" s="3285" t="str">
        <f t="shared" si="9"/>
        <v>南-8-504</v>
      </c>
      <c r="F593" s="3283" t="s">
        <v>3740</v>
      </c>
      <c r="G593" s="3283" t="s">
        <v>3428</v>
      </c>
      <c r="H593" s="3286"/>
      <c r="I593" s="3287">
        <v>73.11</v>
      </c>
      <c r="J593" s="3286">
        <v>48.51</v>
      </c>
    </row>
    <row r="594" spans="1:10" hidden="1">
      <c r="A594" s="3282">
        <v>593</v>
      </c>
      <c r="B594" s="3283" t="s">
        <v>3262</v>
      </c>
      <c r="C594" s="3283">
        <v>8</v>
      </c>
      <c r="D594" s="3283">
        <v>505</v>
      </c>
      <c r="E594" s="3285" t="str">
        <f t="shared" si="9"/>
        <v>南-8-505</v>
      </c>
      <c r="F594" s="3283" t="s">
        <v>3741</v>
      </c>
      <c r="G594" s="3283" t="s">
        <v>3428</v>
      </c>
      <c r="H594" s="3286"/>
      <c r="I594" s="3287">
        <v>73.11</v>
      </c>
      <c r="J594" s="3286">
        <v>48.51</v>
      </c>
    </row>
    <row r="595" spans="1:10" hidden="1">
      <c r="A595" s="3282">
        <v>594</v>
      </c>
      <c r="B595" s="3283" t="s">
        <v>3262</v>
      </c>
      <c r="C595" s="3283">
        <v>8</v>
      </c>
      <c r="D595" s="3283">
        <v>506</v>
      </c>
      <c r="E595" s="3285" t="str">
        <f t="shared" si="9"/>
        <v>南-8-506</v>
      </c>
      <c r="F595" s="3283" t="s">
        <v>3742</v>
      </c>
      <c r="G595" s="3283" t="s">
        <v>3430</v>
      </c>
      <c r="H595" s="3286"/>
      <c r="I595" s="3287">
        <v>80.42</v>
      </c>
      <c r="J595" s="3286">
        <v>53.36</v>
      </c>
    </row>
    <row r="596" spans="1:10" hidden="1">
      <c r="A596" s="3282">
        <v>595</v>
      </c>
      <c r="B596" s="3283" t="s">
        <v>3270</v>
      </c>
      <c r="C596" s="3283">
        <v>8</v>
      </c>
      <c r="D596" s="3283">
        <v>507</v>
      </c>
      <c r="E596" s="3285" t="str">
        <f t="shared" si="9"/>
        <v>南-8-507</v>
      </c>
      <c r="F596" s="3283" t="s">
        <v>3743</v>
      </c>
      <c r="G596" s="3283" t="s">
        <v>3456</v>
      </c>
      <c r="H596" s="3286"/>
      <c r="I596" s="3287">
        <v>56.18</v>
      </c>
      <c r="J596" s="3286">
        <v>37.28</v>
      </c>
    </row>
    <row r="597" spans="1:10" hidden="1">
      <c r="A597" s="3282">
        <v>596</v>
      </c>
      <c r="B597" s="3283" t="s">
        <v>3457</v>
      </c>
      <c r="C597" s="3283">
        <v>8</v>
      </c>
      <c r="D597" s="3283">
        <v>508</v>
      </c>
      <c r="E597" s="3285" t="str">
        <f t="shared" si="9"/>
        <v>南-8-508</v>
      </c>
      <c r="F597" s="3283" t="s">
        <v>3744</v>
      </c>
      <c r="G597" s="3283" t="s">
        <v>3428</v>
      </c>
      <c r="H597" s="3286"/>
      <c r="I597" s="3287">
        <v>71.45</v>
      </c>
      <c r="J597" s="3286">
        <v>47.41</v>
      </c>
    </row>
    <row r="598" spans="1:10" hidden="1">
      <c r="A598" s="3282">
        <v>597</v>
      </c>
      <c r="B598" s="3283" t="s">
        <v>3262</v>
      </c>
      <c r="C598" s="3283">
        <v>8</v>
      </c>
      <c r="D598" s="3283">
        <v>509</v>
      </c>
      <c r="E598" s="3285" t="str">
        <f t="shared" si="9"/>
        <v>南-8-509</v>
      </c>
      <c r="F598" s="3283" t="s">
        <v>3745</v>
      </c>
      <c r="G598" s="3283" t="s">
        <v>3428</v>
      </c>
      <c r="H598" s="3286"/>
      <c r="I598" s="3287">
        <v>44.31</v>
      </c>
      <c r="J598" s="3286">
        <v>29.4</v>
      </c>
    </row>
    <row r="599" spans="1:10" hidden="1">
      <c r="A599" s="3282">
        <v>598</v>
      </c>
      <c r="B599" s="3283" t="s">
        <v>3262</v>
      </c>
      <c r="C599" s="3283">
        <v>8</v>
      </c>
      <c r="D599" s="3283">
        <v>510</v>
      </c>
      <c r="E599" s="3285" t="str">
        <f t="shared" si="9"/>
        <v>南-8-510</v>
      </c>
      <c r="F599" s="3283" t="s">
        <v>3746</v>
      </c>
      <c r="G599" s="3283" t="s">
        <v>3428</v>
      </c>
      <c r="H599" s="3286"/>
      <c r="I599" s="3287">
        <v>44.31</v>
      </c>
      <c r="J599" s="3286">
        <v>29.4</v>
      </c>
    </row>
    <row r="600" spans="1:10" hidden="1">
      <c r="A600" s="3282">
        <v>599</v>
      </c>
      <c r="B600" s="3283" t="s">
        <v>3262</v>
      </c>
      <c r="C600" s="3283">
        <v>8</v>
      </c>
      <c r="D600" s="3283">
        <v>511</v>
      </c>
      <c r="E600" s="3285" t="str">
        <f t="shared" si="9"/>
        <v>南-8-511</v>
      </c>
      <c r="F600" s="3283" t="s">
        <v>3747</v>
      </c>
      <c r="G600" s="3283" t="s">
        <v>3430</v>
      </c>
      <c r="H600" s="3286"/>
      <c r="I600" s="3287">
        <v>44.31</v>
      </c>
      <c r="J600" s="3286">
        <v>29.4</v>
      </c>
    </row>
    <row r="601" spans="1:10" hidden="1">
      <c r="A601" s="3282">
        <v>600</v>
      </c>
      <c r="B601" s="3283" t="s">
        <v>3270</v>
      </c>
      <c r="C601" s="3283">
        <v>8</v>
      </c>
      <c r="D601" s="3283">
        <v>512</v>
      </c>
      <c r="E601" s="3285" t="str">
        <f t="shared" si="9"/>
        <v>南-8-512</v>
      </c>
      <c r="F601" s="3283" t="s">
        <v>3748</v>
      </c>
      <c r="G601" s="3283" t="s">
        <v>3428</v>
      </c>
      <c r="H601" s="3286"/>
      <c r="I601" s="3287">
        <v>44.31</v>
      </c>
      <c r="J601" s="3286">
        <v>29.4</v>
      </c>
    </row>
    <row r="602" spans="1:10" hidden="1">
      <c r="A602" s="3282">
        <v>601</v>
      </c>
      <c r="B602" s="3283" t="s">
        <v>3262</v>
      </c>
      <c r="C602" s="3283">
        <v>8</v>
      </c>
      <c r="D602" s="3283">
        <v>513</v>
      </c>
      <c r="E602" s="3285" t="str">
        <f t="shared" si="9"/>
        <v>南-8-513</v>
      </c>
      <c r="F602" s="3283" t="s">
        <v>3749</v>
      </c>
      <c r="G602" s="3283" t="s">
        <v>3428</v>
      </c>
      <c r="H602" s="3286"/>
      <c r="I602" s="3287">
        <v>44.31</v>
      </c>
      <c r="J602" s="3286">
        <v>29.4</v>
      </c>
    </row>
    <row r="603" spans="1:10" hidden="1">
      <c r="A603" s="3282">
        <v>602</v>
      </c>
      <c r="B603" s="3283" t="s">
        <v>3262</v>
      </c>
      <c r="C603" s="3283">
        <v>8</v>
      </c>
      <c r="D603" s="3283">
        <v>514</v>
      </c>
      <c r="E603" s="3285" t="str">
        <f t="shared" si="9"/>
        <v>南-8-514</v>
      </c>
      <c r="F603" s="3283" t="s">
        <v>3750</v>
      </c>
      <c r="G603" s="3283" t="s">
        <v>3428</v>
      </c>
      <c r="H603" s="3286"/>
      <c r="I603" s="3287">
        <v>44.31</v>
      </c>
      <c r="J603" s="3286">
        <v>29.4</v>
      </c>
    </row>
    <row r="604" spans="1:10" hidden="1">
      <c r="A604" s="3282">
        <v>603</v>
      </c>
      <c r="B604" s="3283" t="s">
        <v>3262</v>
      </c>
      <c r="C604" s="3283">
        <v>8</v>
      </c>
      <c r="D604" s="3283">
        <v>515</v>
      </c>
      <c r="E604" s="3285" t="str">
        <f t="shared" si="9"/>
        <v>南-8-515</v>
      </c>
      <c r="F604" s="3283" t="s">
        <v>3751</v>
      </c>
      <c r="G604" s="3283" t="s">
        <v>3428</v>
      </c>
      <c r="H604" s="3286"/>
      <c r="I604" s="3287">
        <v>44.31</v>
      </c>
      <c r="J604" s="3286">
        <v>29.4</v>
      </c>
    </row>
    <row r="605" spans="1:10" hidden="1">
      <c r="A605" s="3282">
        <v>604</v>
      </c>
      <c r="B605" s="3283" t="s">
        <v>3262</v>
      </c>
      <c r="C605" s="3283">
        <v>8</v>
      </c>
      <c r="D605" s="3283">
        <v>516</v>
      </c>
      <c r="E605" s="3285" t="str">
        <f t="shared" si="9"/>
        <v>南-8-516</v>
      </c>
      <c r="F605" s="3283" t="s">
        <v>3752</v>
      </c>
      <c r="G605" s="3283" t="s">
        <v>3430</v>
      </c>
      <c r="H605" s="3286"/>
      <c r="I605" s="3287">
        <v>71.56</v>
      </c>
      <c r="J605" s="3286">
        <v>47.48</v>
      </c>
    </row>
    <row r="606" spans="1:10" hidden="1">
      <c r="A606" s="3282">
        <v>605</v>
      </c>
      <c r="B606" s="3283" t="s">
        <v>3270</v>
      </c>
      <c r="C606" s="3283">
        <v>8</v>
      </c>
      <c r="D606" s="3283">
        <v>517</v>
      </c>
      <c r="E606" s="3285" t="str">
        <f t="shared" si="9"/>
        <v>南-8-517</v>
      </c>
      <c r="F606" s="3283" t="s">
        <v>3753</v>
      </c>
      <c r="G606" s="3283" t="s">
        <v>3428</v>
      </c>
      <c r="H606" s="3286"/>
      <c r="I606" s="3287">
        <v>56.18</v>
      </c>
      <c r="J606" s="3286">
        <v>37.28</v>
      </c>
    </row>
    <row r="607" spans="1:10" hidden="1">
      <c r="A607" s="3282">
        <v>606</v>
      </c>
      <c r="B607" s="3283" t="s">
        <v>3262</v>
      </c>
      <c r="C607" s="3283">
        <v>8</v>
      </c>
      <c r="D607" s="3283">
        <v>601</v>
      </c>
      <c r="E607" s="3285" t="str">
        <f t="shared" si="9"/>
        <v>南-8-601</v>
      </c>
      <c r="F607" s="3283" t="s">
        <v>3754</v>
      </c>
      <c r="G607" s="3283" t="s">
        <v>3428</v>
      </c>
      <c r="H607" s="3286"/>
      <c r="I607" s="3287">
        <v>80.42</v>
      </c>
      <c r="J607" s="3286">
        <v>53.36</v>
      </c>
    </row>
    <row r="608" spans="1:10" hidden="1">
      <c r="A608" s="3282">
        <v>607</v>
      </c>
      <c r="B608" s="3283" t="s">
        <v>3262</v>
      </c>
      <c r="C608" s="3283">
        <v>8</v>
      </c>
      <c r="D608" s="3283">
        <v>602</v>
      </c>
      <c r="E608" s="3285" t="str">
        <f t="shared" si="9"/>
        <v>南-8-602</v>
      </c>
      <c r="F608" s="3283" t="s">
        <v>3755</v>
      </c>
      <c r="G608" s="3283" t="s">
        <v>3428</v>
      </c>
      <c r="H608" s="3286"/>
      <c r="I608" s="3287">
        <v>73.11</v>
      </c>
      <c r="J608" s="3286">
        <v>48.51</v>
      </c>
    </row>
    <row r="609" spans="1:10" hidden="1">
      <c r="A609" s="3282">
        <v>608</v>
      </c>
      <c r="B609" s="3283" t="s">
        <v>3262</v>
      </c>
      <c r="C609" s="3283">
        <v>8</v>
      </c>
      <c r="D609" s="3283">
        <v>603</v>
      </c>
      <c r="E609" s="3285" t="str">
        <f t="shared" si="9"/>
        <v>南-8-603</v>
      </c>
      <c r="F609" s="3283" t="s">
        <v>3756</v>
      </c>
      <c r="G609" s="3283" t="s">
        <v>3428</v>
      </c>
      <c r="H609" s="3286"/>
      <c r="I609" s="3287">
        <v>73.11</v>
      </c>
      <c r="J609" s="3286">
        <v>48.51</v>
      </c>
    </row>
    <row r="610" spans="1:10" hidden="1">
      <c r="A610" s="3282">
        <v>609</v>
      </c>
      <c r="B610" s="3283" t="s">
        <v>3262</v>
      </c>
      <c r="C610" s="3283">
        <v>8</v>
      </c>
      <c r="D610" s="3283">
        <v>604</v>
      </c>
      <c r="E610" s="3285" t="str">
        <f t="shared" si="9"/>
        <v>南-8-604</v>
      </c>
      <c r="F610" s="3283" t="s">
        <v>3757</v>
      </c>
      <c r="G610" s="3283" t="s">
        <v>3430</v>
      </c>
      <c r="H610" s="3286"/>
      <c r="I610" s="3287">
        <v>73.11</v>
      </c>
      <c r="J610" s="3286">
        <v>48.51</v>
      </c>
    </row>
    <row r="611" spans="1:10" hidden="1">
      <c r="A611" s="3282">
        <v>610</v>
      </c>
      <c r="B611" s="3283" t="s">
        <v>3270</v>
      </c>
      <c r="C611" s="3283">
        <v>8</v>
      </c>
      <c r="D611" s="3283">
        <v>605</v>
      </c>
      <c r="E611" s="3285" t="str">
        <f t="shared" si="9"/>
        <v>南-8-605</v>
      </c>
      <c r="F611" s="3283" t="s">
        <v>3758</v>
      </c>
      <c r="G611" s="3283" t="s">
        <v>3463</v>
      </c>
      <c r="H611" s="3286"/>
      <c r="I611" s="3287">
        <v>73.11</v>
      </c>
      <c r="J611" s="3286">
        <v>48.51</v>
      </c>
    </row>
    <row r="612" spans="1:10" hidden="1">
      <c r="A612" s="3282">
        <v>611</v>
      </c>
      <c r="B612" s="3283" t="s">
        <v>3464</v>
      </c>
      <c r="C612" s="3283">
        <v>8</v>
      </c>
      <c r="D612" s="3283">
        <v>606</v>
      </c>
      <c r="E612" s="3285" t="str">
        <f t="shared" si="9"/>
        <v>南-8-606</v>
      </c>
      <c r="F612" s="3283" t="s">
        <v>3759</v>
      </c>
      <c r="G612" s="3283" t="s">
        <v>3428</v>
      </c>
      <c r="H612" s="3286"/>
      <c r="I612" s="3287">
        <v>80.31</v>
      </c>
      <c r="J612" s="3286">
        <v>53.29</v>
      </c>
    </row>
    <row r="613" spans="1:10" hidden="1">
      <c r="A613" s="3282">
        <v>612</v>
      </c>
      <c r="B613" s="3283" t="s">
        <v>3262</v>
      </c>
      <c r="C613" s="3283">
        <v>8</v>
      </c>
      <c r="D613" s="3283">
        <v>607</v>
      </c>
      <c r="E613" s="3285" t="str">
        <f t="shared" si="9"/>
        <v>南-8-607</v>
      </c>
      <c r="F613" s="3283" t="s">
        <v>3760</v>
      </c>
      <c r="G613" s="3283" t="s">
        <v>3428</v>
      </c>
      <c r="H613" s="3286"/>
      <c r="I613" s="3287">
        <v>56.18</v>
      </c>
      <c r="J613" s="3286">
        <v>37.28</v>
      </c>
    </row>
    <row r="614" spans="1:10" hidden="1">
      <c r="A614" s="3282">
        <v>613</v>
      </c>
      <c r="B614" s="3283" t="s">
        <v>3262</v>
      </c>
      <c r="C614" s="3283">
        <v>8</v>
      </c>
      <c r="D614" s="3283">
        <v>608</v>
      </c>
      <c r="E614" s="3285" t="str">
        <f t="shared" si="9"/>
        <v>南-8-608</v>
      </c>
      <c r="F614" s="3283" t="s">
        <v>3761</v>
      </c>
      <c r="G614" s="3283" t="s">
        <v>3428</v>
      </c>
      <c r="H614" s="3286"/>
      <c r="I614" s="3287">
        <v>71.56</v>
      </c>
      <c r="J614" s="3286">
        <v>47.48</v>
      </c>
    </row>
    <row r="615" spans="1:10" hidden="1">
      <c r="A615" s="3282">
        <v>614</v>
      </c>
      <c r="B615" s="3283" t="s">
        <v>3262</v>
      </c>
      <c r="C615" s="3283">
        <v>8</v>
      </c>
      <c r="D615" s="3283">
        <v>609</v>
      </c>
      <c r="E615" s="3285" t="str">
        <f t="shared" si="9"/>
        <v>南-8-609</v>
      </c>
      <c r="F615" s="3283" t="s">
        <v>3762</v>
      </c>
      <c r="G615" s="3283" t="s">
        <v>3430</v>
      </c>
      <c r="H615" s="3286"/>
      <c r="I615" s="3287">
        <v>44.31</v>
      </c>
      <c r="J615" s="3286">
        <v>29.4</v>
      </c>
    </row>
    <row r="616" spans="1:10" hidden="1">
      <c r="A616" s="3282">
        <v>615</v>
      </c>
      <c r="B616" s="3283" t="s">
        <v>3270</v>
      </c>
      <c r="C616" s="3283">
        <v>8</v>
      </c>
      <c r="D616" s="3283">
        <v>610</v>
      </c>
      <c r="E616" s="3285" t="str">
        <f t="shared" si="9"/>
        <v>南-8-610</v>
      </c>
      <c r="F616" s="3283" t="s">
        <v>3763</v>
      </c>
      <c r="G616" s="3283" t="s">
        <v>3428</v>
      </c>
      <c r="H616" s="3286"/>
      <c r="I616" s="3287">
        <v>44.31</v>
      </c>
      <c r="J616" s="3286">
        <v>29.4</v>
      </c>
    </row>
    <row r="617" spans="1:10" hidden="1">
      <c r="A617" s="3282">
        <v>616</v>
      </c>
      <c r="B617" s="3283" t="s">
        <v>3262</v>
      </c>
      <c r="C617" s="3283">
        <v>8</v>
      </c>
      <c r="D617" s="3283">
        <v>611</v>
      </c>
      <c r="E617" s="3285" t="str">
        <f t="shared" si="9"/>
        <v>南-8-611</v>
      </c>
      <c r="F617" s="3283" t="s">
        <v>3764</v>
      </c>
      <c r="G617" s="3283" t="s">
        <v>3428</v>
      </c>
      <c r="H617" s="3286"/>
      <c r="I617" s="3287">
        <v>44.31</v>
      </c>
      <c r="J617" s="3286">
        <v>29.4</v>
      </c>
    </row>
    <row r="618" spans="1:10" hidden="1">
      <c r="A618" s="3282">
        <v>617</v>
      </c>
      <c r="B618" s="3283" t="s">
        <v>3262</v>
      </c>
      <c r="C618" s="3283">
        <v>8</v>
      </c>
      <c r="D618" s="3283">
        <v>612</v>
      </c>
      <c r="E618" s="3285" t="str">
        <f t="shared" si="9"/>
        <v>南-8-612</v>
      </c>
      <c r="F618" s="3283" t="s">
        <v>3765</v>
      </c>
      <c r="G618" s="3283" t="s">
        <v>3428</v>
      </c>
      <c r="H618" s="3286"/>
      <c r="I618" s="3287">
        <v>44.31</v>
      </c>
      <c r="J618" s="3286">
        <v>29.4</v>
      </c>
    </row>
    <row r="619" spans="1:10" hidden="1">
      <c r="A619" s="3282">
        <v>618</v>
      </c>
      <c r="B619" s="3283" t="s">
        <v>3262</v>
      </c>
      <c r="C619" s="3283">
        <v>8</v>
      </c>
      <c r="D619" s="3283">
        <v>613</v>
      </c>
      <c r="E619" s="3285" t="str">
        <f t="shared" si="9"/>
        <v>南-8-613</v>
      </c>
      <c r="F619" s="3283" t="s">
        <v>3766</v>
      </c>
      <c r="G619" s="3283" t="s">
        <v>3428</v>
      </c>
      <c r="H619" s="3286"/>
      <c r="I619" s="3287">
        <v>44.31</v>
      </c>
      <c r="J619" s="3286">
        <v>29.4</v>
      </c>
    </row>
    <row r="620" spans="1:10" hidden="1">
      <c r="A620" s="3282">
        <v>619</v>
      </c>
      <c r="B620" s="3283" t="s">
        <v>3262</v>
      </c>
      <c r="C620" s="3283">
        <v>8</v>
      </c>
      <c r="D620" s="3283">
        <v>614</v>
      </c>
      <c r="E620" s="3285" t="str">
        <f t="shared" si="9"/>
        <v>南-8-614</v>
      </c>
      <c r="F620" s="3283" t="s">
        <v>3767</v>
      </c>
      <c r="G620" s="3283" t="s">
        <v>3430</v>
      </c>
      <c r="H620" s="3286"/>
      <c r="I620" s="3287">
        <v>44.31</v>
      </c>
      <c r="J620" s="3286">
        <v>29.4</v>
      </c>
    </row>
    <row r="621" spans="1:10" hidden="1">
      <c r="A621" s="3282">
        <v>620</v>
      </c>
      <c r="B621" s="3283" t="s">
        <v>3270</v>
      </c>
      <c r="C621" s="3283">
        <v>8</v>
      </c>
      <c r="D621" s="3283">
        <v>615</v>
      </c>
      <c r="E621" s="3285" t="str">
        <f t="shared" si="9"/>
        <v>南-8-615</v>
      </c>
      <c r="F621" s="3283" t="s">
        <v>3768</v>
      </c>
      <c r="G621" s="3283" t="s">
        <v>3428</v>
      </c>
      <c r="H621" s="3286"/>
      <c r="I621" s="3287">
        <v>44.31</v>
      </c>
      <c r="J621" s="3286">
        <v>29.4</v>
      </c>
    </row>
    <row r="622" spans="1:10" hidden="1">
      <c r="A622" s="3282">
        <v>621</v>
      </c>
      <c r="B622" s="3283" t="s">
        <v>3262</v>
      </c>
      <c r="C622" s="3283">
        <v>8</v>
      </c>
      <c r="D622" s="3283">
        <v>616</v>
      </c>
      <c r="E622" s="3285" t="str">
        <f t="shared" si="9"/>
        <v>南-8-616</v>
      </c>
      <c r="F622" s="3283" t="s">
        <v>3769</v>
      </c>
      <c r="G622" s="3283" t="s">
        <v>3428</v>
      </c>
      <c r="H622" s="3286"/>
      <c r="I622" s="3287">
        <v>71.45</v>
      </c>
      <c r="J622" s="3286">
        <v>47.41</v>
      </c>
    </row>
    <row r="623" spans="1:10" hidden="1">
      <c r="A623" s="3282">
        <v>622</v>
      </c>
      <c r="B623" s="3283" t="s">
        <v>3262</v>
      </c>
      <c r="C623" s="3283">
        <v>8</v>
      </c>
      <c r="D623" s="3283">
        <v>617</v>
      </c>
      <c r="E623" s="3285" t="str">
        <f t="shared" si="9"/>
        <v>南-8-617</v>
      </c>
      <c r="F623" s="3283" t="s">
        <v>3770</v>
      </c>
      <c r="G623" s="3283" t="s">
        <v>3428</v>
      </c>
      <c r="H623" s="3286"/>
      <c r="I623" s="3287">
        <v>56.18</v>
      </c>
      <c r="J623" s="3286">
        <v>37.28</v>
      </c>
    </row>
    <row r="624" spans="1:10" hidden="1">
      <c r="A624" s="3282">
        <v>623</v>
      </c>
      <c r="B624" s="3283" t="s">
        <v>3262</v>
      </c>
      <c r="C624" s="3283">
        <v>8</v>
      </c>
      <c r="D624" s="3283">
        <v>701</v>
      </c>
      <c r="E624" s="3285" t="str">
        <f t="shared" si="9"/>
        <v>南-8-701</v>
      </c>
      <c r="F624" s="3283" t="s">
        <v>3771</v>
      </c>
      <c r="G624" s="3283" t="s">
        <v>3428</v>
      </c>
      <c r="H624" s="3286"/>
      <c r="I624" s="3287">
        <v>80.31</v>
      </c>
      <c r="J624" s="3286">
        <v>53.29</v>
      </c>
    </row>
    <row r="625" spans="1:10" hidden="1">
      <c r="A625" s="3282">
        <v>624</v>
      </c>
      <c r="B625" s="3283" t="s">
        <v>3262</v>
      </c>
      <c r="C625" s="3283">
        <v>8</v>
      </c>
      <c r="D625" s="3283">
        <v>702</v>
      </c>
      <c r="E625" s="3285" t="str">
        <f t="shared" si="9"/>
        <v>南-8-702</v>
      </c>
      <c r="F625" s="3283" t="s">
        <v>3772</v>
      </c>
      <c r="G625" s="3283" t="s">
        <v>3430</v>
      </c>
      <c r="H625" s="3286"/>
      <c r="I625" s="3287">
        <v>73.11</v>
      </c>
      <c r="J625" s="3286">
        <v>48.51</v>
      </c>
    </row>
    <row r="626" spans="1:10" hidden="1">
      <c r="A626" s="3282">
        <v>625</v>
      </c>
      <c r="B626" s="3283" t="s">
        <v>3270</v>
      </c>
      <c r="C626" s="3283">
        <v>8</v>
      </c>
      <c r="D626" s="3283">
        <v>703</v>
      </c>
      <c r="E626" s="3285" t="str">
        <f t="shared" si="9"/>
        <v>南-8-703</v>
      </c>
      <c r="F626" s="3283" t="s">
        <v>3773</v>
      </c>
      <c r="G626" s="3283" t="s">
        <v>3428</v>
      </c>
      <c r="H626" s="3286"/>
      <c r="I626" s="3287">
        <v>73.11</v>
      </c>
      <c r="J626" s="3286">
        <v>48.51</v>
      </c>
    </row>
    <row r="627" spans="1:10" hidden="1">
      <c r="A627" s="3282">
        <v>626</v>
      </c>
      <c r="B627" s="3283" t="s">
        <v>3262</v>
      </c>
      <c r="C627" s="3283">
        <v>8</v>
      </c>
      <c r="D627" s="3283">
        <v>704</v>
      </c>
      <c r="E627" s="3285" t="str">
        <f t="shared" si="9"/>
        <v>南-8-704</v>
      </c>
      <c r="F627" s="3283" t="s">
        <v>3774</v>
      </c>
      <c r="G627" s="3283" t="s">
        <v>3428</v>
      </c>
      <c r="H627" s="3286"/>
      <c r="I627" s="3287">
        <v>73.11</v>
      </c>
      <c r="J627" s="3286">
        <v>48.51</v>
      </c>
    </row>
    <row r="628" spans="1:10" hidden="1">
      <c r="A628" s="3282">
        <v>627</v>
      </c>
      <c r="B628" s="3283" t="s">
        <v>3262</v>
      </c>
      <c r="C628" s="3283">
        <v>8</v>
      </c>
      <c r="D628" s="3283">
        <v>705</v>
      </c>
      <c r="E628" s="3285" t="str">
        <f t="shared" si="9"/>
        <v>南-8-705</v>
      </c>
      <c r="F628" s="3283" t="s">
        <v>3775</v>
      </c>
      <c r="G628" s="3283" t="s">
        <v>3428</v>
      </c>
      <c r="H628" s="3286"/>
      <c r="I628" s="3287">
        <v>73.11</v>
      </c>
      <c r="J628" s="3286">
        <v>48.51</v>
      </c>
    </row>
    <row r="629" spans="1:10" hidden="1">
      <c r="A629" s="3282">
        <v>628</v>
      </c>
      <c r="B629" s="3283" t="s">
        <v>3262</v>
      </c>
      <c r="C629" s="3283">
        <v>8</v>
      </c>
      <c r="D629" s="3283">
        <v>706</v>
      </c>
      <c r="E629" s="3285" t="str">
        <f t="shared" si="9"/>
        <v>南-8-706</v>
      </c>
      <c r="F629" s="3283" t="s">
        <v>3776</v>
      </c>
      <c r="G629" s="3283" t="s">
        <v>3428</v>
      </c>
      <c r="H629" s="3286"/>
      <c r="I629" s="3287">
        <v>80.42</v>
      </c>
      <c r="J629" s="3286">
        <v>53.36</v>
      </c>
    </row>
    <row r="630" spans="1:10" hidden="1">
      <c r="A630" s="3282">
        <v>629</v>
      </c>
      <c r="B630" s="3283" t="s">
        <v>3262</v>
      </c>
      <c r="C630" s="3283">
        <v>8</v>
      </c>
      <c r="D630" s="3283">
        <v>707</v>
      </c>
      <c r="E630" s="3285" t="str">
        <f t="shared" si="9"/>
        <v>南-8-707</v>
      </c>
      <c r="F630" s="3283" t="s">
        <v>3777</v>
      </c>
      <c r="G630" s="3283" t="s">
        <v>3430</v>
      </c>
      <c r="H630" s="3286"/>
      <c r="I630" s="3287">
        <v>56.18</v>
      </c>
      <c r="J630" s="3286">
        <v>37.28</v>
      </c>
    </row>
    <row r="631" spans="1:10" hidden="1">
      <c r="A631" s="3282">
        <v>630</v>
      </c>
      <c r="B631" s="3283" t="s">
        <v>3270</v>
      </c>
      <c r="C631" s="3283">
        <v>8</v>
      </c>
      <c r="D631" s="3283">
        <v>708</v>
      </c>
      <c r="E631" s="3285" t="str">
        <f t="shared" si="9"/>
        <v>南-8-708</v>
      </c>
      <c r="F631" s="3283" t="s">
        <v>3778</v>
      </c>
      <c r="G631" s="3283" t="s">
        <v>3428</v>
      </c>
      <c r="H631" s="3286"/>
      <c r="I631" s="3287">
        <v>71.45</v>
      </c>
      <c r="J631" s="3286">
        <v>47.41</v>
      </c>
    </row>
    <row r="632" spans="1:10" hidden="1">
      <c r="A632" s="3282">
        <v>631</v>
      </c>
      <c r="B632" s="3283" t="s">
        <v>3262</v>
      </c>
      <c r="C632" s="3283">
        <v>8</v>
      </c>
      <c r="D632" s="3283">
        <v>709</v>
      </c>
      <c r="E632" s="3285" t="str">
        <f t="shared" si="9"/>
        <v>南-8-709</v>
      </c>
      <c r="F632" s="3283" t="s">
        <v>3779</v>
      </c>
      <c r="G632" s="3283" t="s">
        <v>3428</v>
      </c>
      <c r="H632" s="3286"/>
      <c r="I632" s="3287">
        <v>44.31</v>
      </c>
      <c r="J632" s="3286">
        <v>29.4</v>
      </c>
    </row>
    <row r="633" spans="1:10" hidden="1">
      <c r="A633" s="3282">
        <v>632</v>
      </c>
      <c r="B633" s="3283" t="s">
        <v>3262</v>
      </c>
      <c r="C633" s="3283">
        <v>8</v>
      </c>
      <c r="D633" s="3283">
        <v>710</v>
      </c>
      <c r="E633" s="3285" t="str">
        <f t="shared" si="9"/>
        <v>南-8-710</v>
      </c>
      <c r="F633" s="3283" t="s">
        <v>3780</v>
      </c>
      <c r="G633" s="3283" t="s">
        <v>3428</v>
      </c>
      <c r="H633" s="3286"/>
      <c r="I633" s="3287">
        <v>44.31</v>
      </c>
      <c r="J633" s="3286">
        <v>29.4</v>
      </c>
    </row>
    <row r="634" spans="1:10" hidden="1">
      <c r="A634" s="3282">
        <v>633</v>
      </c>
      <c r="B634" s="3283" t="s">
        <v>3262</v>
      </c>
      <c r="C634" s="3283">
        <v>8</v>
      </c>
      <c r="D634" s="3283">
        <v>711</v>
      </c>
      <c r="E634" s="3285" t="str">
        <f t="shared" si="9"/>
        <v>南-8-711</v>
      </c>
      <c r="F634" s="3283" t="s">
        <v>3781</v>
      </c>
      <c r="G634" s="3283" t="s">
        <v>3428</v>
      </c>
      <c r="H634" s="3286"/>
      <c r="I634" s="3287">
        <v>44.31</v>
      </c>
      <c r="J634" s="3286">
        <v>29.4</v>
      </c>
    </row>
    <row r="635" spans="1:10" hidden="1">
      <c r="A635" s="3282">
        <v>634</v>
      </c>
      <c r="B635" s="3283" t="s">
        <v>3262</v>
      </c>
      <c r="C635" s="3283">
        <v>8</v>
      </c>
      <c r="D635" s="3283">
        <v>712</v>
      </c>
      <c r="E635" s="3285" t="str">
        <f t="shared" si="9"/>
        <v>南-8-712</v>
      </c>
      <c r="F635" s="3283" t="s">
        <v>3782</v>
      </c>
      <c r="G635" s="3283" t="s">
        <v>3430</v>
      </c>
      <c r="H635" s="3286"/>
      <c r="I635" s="3287">
        <v>44.31</v>
      </c>
      <c r="J635" s="3286">
        <v>29.4</v>
      </c>
    </row>
    <row r="636" spans="1:10" hidden="1">
      <c r="A636" s="3282">
        <v>635</v>
      </c>
      <c r="B636" s="3283" t="s">
        <v>3270</v>
      </c>
      <c r="C636" s="3283">
        <v>8</v>
      </c>
      <c r="D636" s="3283">
        <v>713</v>
      </c>
      <c r="E636" s="3285" t="str">
        <f t="shared" si="9"/>
        <v>南-8-713</v>
      </c>
      <c r="F636" s="3283" t="s">
        <v>3783</v>
      </c>
      <c r="G636" s="3283" t="s">
        <v>3428</v>
      </c>
      <c r="H636" s="3286"/>
      <c r="I636" s="3287">
        <v>44.31</v>
      </c>
      <c r="J636" s="3286">
        <v>29.4</v>
      </c>
    </row>
    <row r="637" spans="1:10" hidden="1">
      <c r="A637" s="3282">
        <v>636</v>
      </c>
      <c r="B637" s="3283" t="s">
        <v>3262</v>
      </c>
      <c r="C637" s="3283">
        <v>8</v>
      </c>
      <c r="D637" s="3283">
        <v>714</v>
      </c>
      <c r="E637" s="3285" t="str">
        <f t="shared" si="9"/>
        <v>南-8-714</v>
      </c>
      <c r="F637" s="3283" t="s">
        <v>3784</v>
      </c>
      <c r="G637" s="3283" t="s">
        <v>3428</v>
      </c>
      <c r="H637" s="3286"/>
      <c r="I637" s="3287">
        <v>44.31</v>
      </c>
      <c r="J637" s="3286">
        <v>29.4</v>
      </c>
    </row>
    <row r="638" spans="1:10" hidden="1">
      <c r="A638" s="3282">
        <v>637</v>
      </c>
      <c r="B638" s="3283" t="s">
        <v>3262</v>
      </c>
      <c r="C638" s="3283">
        <v>8</v>
      </c>
      <c r="D638" s="3283">
        <v>715</v>
      </c>
      <c r="E638" s="3285" t="str">
        <f t="shared" si="9"/>
        <v>南-8-715</v>
      </c>
      <c r="F638" s="3283" t="s">
        <v>3785</v>
      </c>
      <c r="G638" s="3283" t="s">
        <v>3428</v>
      </c>
      <c r="H638" s="3286"/>
      <c r="I638" s="3287">
        <v>44.31</v>
      </c>
      <c r="J638" s="3286">
        <v>29.4</v>
      </c>
    </row>
    <row r="639" spans="1:10" hidden="1">
      <c r="A639" s="3282">
        <v>638</v>
      </c>
      <c r="B639" s="3283" t="s">
        <v>3262</v>
      </c>
      <c r="C639" s="3283">
        <v>8</v>
      </c>
      <c r="D639" s="3283">
        <v>716</v>
      </c>
      <c r="E639" s="3285" t="str">
        <f t="shared" si="9"/>
        <v>南-8-716</v>
      </c>
      <c r="F639" s="3283" t="s">
        <v>3786</v>
      </c>
      <c r="G639" s="3283" t="s">
        <v>3428</v>
      </c>
      <c r="H639" s="3286"/>
      <c r="I639" s="3287">
        <v>71.56</v>
      </c>
      <c r="J639" s="3286">
        <v>47.48</v>
      </c>
    </row>
    <row r="640" spans="1:10" hidden="1">
      <c r="A640" s="3282">
        <v>639</v>
      </c>
      <c r="B640" s="3283" t="s">
        <v>3262</v>
      </c>
      <c r="C640" s="3283">
        <v>8</v>
      </c>
      <c r="D640" s="3283">
        <v>717</v>
      </c>
      <c r="E640" s="3285" t="str">
        <f t="shared" si="9"/>
        <v>南-8-717</v>
      </c>
      <c r="F640" s="3283" t="s">
        <v>3787</v>
      </c>
      <c r="G640" s="3283" t="s">
        <v>3428</v>
      </c>
      <c r="H640" s="3286"/>
      <c r="I640" s="3287">
        <v>56.18</v>
      </c>
      <c r="J640" s="3286">
        <v>37.28</v>
      </c>
    </row>
    <row r="641" spans="1:10" hidden="1">
      <c r="A641" s="3282">
        <v>640</v>
      </c>
      <c r="B641" s="3283" t="s">
        <v>3262</v>
      </c>
      <c r="C641" s="3283">
        <v>8</v>
      </c>
      <c r="D641" s="3283">
        <v>801</v>
      </c>
      <c r="E641" s="3285" t="str">
        <f t="shared" si="9"/>
        <v>南-8-801</v>
      </c>
      <c r="F641" s="3283" t="s">
        <v>3788</v>
      </c>
      <c r="G641" s="3283" t="s">
        <v>3430</v>
      </c>
      <c r="H641" s="3286"/>
      <c r="I641" s="3287">
        <v>80.42</v>
      </c>
      <c r="J641" s="3286">
        <v>53.36</v>
      </c>
    </row>
    <row r="642" spans="1:10" hidden="1">
      <c r="A642" s="3282">
        <v>641</v>
      </c>
      <c r="B642" s="3283" t="s">
        <v>3270</v>
      </c>
      <c r="C642" s="3283">
        <v>8</v>
      </c>
      <c r="D642" s="3283">
        <v>802</v>
      </c>
      <c r="E642" s="3285" t="str">
        <f t="shared" si="9"/>
        <v>南-8-802</v>
      </c>
      <c r="F642" s="3283" t="s">
        <v>3789</v>
      </c>
      <c r="G642" s="3283" t="s">
        <v>3428</v>
      </c>
      <c r="H642" s="3286"/>
      <c r="I642" s="3287">
        <v>73.11</v>
      </c>
      <c r="J642" s="3286">
        <v>48.51</v>
      </c>
    </row>
    <row r="643" spans="1:10" hidden="1">
      <c r="A643" s="3282">
        <v>642</v>
      </c>
      <c r="B643" s="3283" t="s">
        <v>3262</v>
      </c>
      <c r="C643" s="3283">
        <v>8</v>
      </c>
      <c r="D643" s="3283">
        <v>803</v>
      </c>
      <c r="E643" s="3285" t="str">
        <f t="shared" ref="E643:E706" si="10">B643&amp;-C643&amp;"-"&amp;D643</f>
        <v>南-8-803</v>
      </c>
      <c r="F643" s="3283" t="s">
        <v>3790</v>
      </c>
      <c r="G643" s="3283" t="s">
        <v>3428</v>
      </c>
      <c r="H643" s="3286"/>
      <c r="I643" s="3287">
        <v>73.11</v>
      </c>
      <c r="J643" s="3286">
        <v>48.51</v>
      </c>
    </row>
    <row r="644" spans="1:10" hidden="1">
      <c r="A644" s="3282">
        <v>643</v>
      </c>
      <c r="B644" s="3283" t="s">
        <v>3262</v>
      </c>
      <c r="C644" s="3283">
        <v>8</v>
      </c>
      <c r="D644" s="3283">
        <v>804</v>
      </c>
      <c r="E644" s="3285" t="str">
        <f t="shared" si="10"/>
        <v>南-8-804</v>
      </c>
      <c r="F644" s="3283" t="s">
        <v>3791</v>
      </c>
      <c r="G644" s="3283" t="s">
        <v>3428</v>
      </c>
      <c r="H644" s="3286"/>
      <c r="I644" s="3287">
        <v>73.11</v>
      </c>
      <c r="J644" s="3286">
        <v>48.51</v>
      </c>
    </row>
    <row r="645" spans="1:10" hidden="1">
      <c r="A645" s="3282">
        <v>644</v>
      </c>
      <c r="B645" s="3283" t="s">
        <v>3262</v>
      </c>
      <c r="C645" s="3283">
        <v>8</v>
      </c>
      <c r="D645" s="3283">
        <v>805</v>
      </c>
      <c r="E645" s="3285" t="str">
        <f t="shared" si="10"/>
        <v>南-8-805</v>
      </c>
      <c r="F645" s="3283" t="s">
        <v>3792</v>
      </c>
      <c r="G645" s="3283" t="s">
        <v>3428</v>
      </c>
      <c r="H645" s="3286"/>
      <c r="I645" s="3287">
        <v>73.11</v>
      </c>
      <c r="J645" s="3286">
        <v>48.51</v>
      </c>
    </row>
    <row r="646" spans="1:10" hidden="1">
      <c r="A646" s="3282">
        <v>645</v>
      </c>
      <c r="B646" s="3283" t="s">
        <v>3262</v>
      </c>
      <c r="C646" s="3283">
        <v>8</v>
      </c>
      <c r="D646" s="3283">
        <v>806</v>
      </c>
      <c r="E646" s="3285" t="str">
        <f t="shared" si="10"/>
        <v>南-8-806</v>
      </c>
      <c r="F646" s="3283" t="s">
        <v>3793</v>
      </c>
      <c r="G646" s="3283" t="s">
        <v>3430</v>
      </c>
      <c r="H646" s="3286"/>
      <c r="I646" s="3287">
        <v>80.31</v>
      </c>
      <c r="J646" s="3286">
        <v>53.29</v>
      </c>
    </row>
    <row r="647" spans="1:10" hidden="1">
      <c r="A647" s="3282">
        <v>646</v>
      </c>
      <c r="B647" s="3283" t="s">
        <v>3270</v>
      </c>
      <c r="C647" s="3283">
        <v>8</v>
      </c>
      <c r="D647" s="3283">
        <v>807</v>
      </c>
      <c r="E647" s="3285" t="str">
        <f t="shared" si="10"/>
        <v>南-8-807</v>
      </c>
      <c r="F647" s="3283" t="s">
        <v>3794</v>
      </c>
      <c r="G647" s="3283" t="s">
        <v>3428</v>
      </c>
      <c r="H647" s="3286"/>
      <c r="I647" s="3287">
        <v>56.18</v>
      </c>
      <c r="J647" s="3286">
        <v>37.28</v>
      </c>
    </row>
    <row r="648" spans="1:10" hidden="1">
      <c r="A648" s="3282">
        <v>647</v>
      </c>
      <c r="B648" s="3283" t="s">
        <v>3262</v>
      </c>
      <c r="C648" s="3283">
        <v>8</v>
      </c>
      <c r="D648" s="3283">
        <v>808</v>
      </c>
      <c r="E648" s="3285" t="str">
        <f t="shared" si="10"/>
        <v>南-8-808</v>
      </c>
      <c r="F648" s="3283" t="s">
        <v>3795</v>
      </c>
      <c r="G648" s="3283" t="s">
        <v>3428</v>
      </c>
      <c r="H648" s="3286"/>
      <c r="I648" s="3287">
        <v>71.56</v>
      </c>
      <c r="J648" s="3286">
        <v>47.48</v>
      </c>
    </row>
    <row r="649" spans="1:10" hidden="1">
      <c r="A649" s="3282">
        <v>648</v>
      </c>
      <c r="B649" s="3283" t="s">
        <v>3262</v>
      </c>
      <c r="C649" s="3283">
        <v>8</v>
      </c>
      <c r="D649" s="3283">
        <v>809</v>
      </c>
      <c r="E649" s="3285" t="str">
        <f t="shared" si="10"/>
        <v>南-8-809</v>
      </c>
      <c r="F649" s="3283" t="s">
        <v>3796</v>
      </c>
      <c r="G649" s="3283" t="s">
        <v>3428</v>
      </c>
      <c r="H649" s="3286"/>
      <c r="I649" s="3287">
        <v>44.31</v>
      </c>
      <c r="J649" s="3286">
        <v>29.4</v>
      </c>
    </row>
    <row r="650" spans="1:10" hidden="1">
      <c r="A650" s="3282">
        <v>649</v>
      </c>
      <c r="B650" s="3283" t="s">
        <v>3262</v>
      </c>
      <c r="C650" s="3283">
        <v>8</v>
      </c>
      <c r="D650" s="3283">
        <v>810</v>
      </c>
      <c r="E650" s="3285" t="str">
        <f t="shared" si="10"/>
        <v>南-8-810</v>
      </c>
      <c r="F650" s="3283" t="s">
        <v>3797</v>
      </c>
      <c r="G650" s="3283" t="s">
        <v>3428</v>
      </c>
      <c r="H650" s="3286"/>
      <c r="I650" s="3287">
        <v>44.31</v>
      </c>
      <c r="J650" s="3286">
        <v>29.4</v>
      </c>
    </row>
    <row r="651" spans="1:10" hidden="1">
      <c r="A651" s="3282">
        <v>650</v>
      </c>
      <c r="B651" s="3283" t="s">
        <v>3262</v>
      </c>
      <c r="C651" s="3283">
        <v>8</v>
      </c>
      <c r="D651" s="3283">
        <v>811</v>
      </c>
      <c r="E651" s="3285" t="str">
        <f t="shared" si="10"/>
        <v>南-8-811</v>
      </c>
      <c r="F651" s="3283" t="s">
        <v>3798</v>
      </c>
      <c r="G651" s="3283" t="s">
        <v>3428</v>
      </c>
      <c r="H651" s="3286"/>
      <c r="I651" s="3287">
        <v>44.31</v>
      </c>
      <c r="J651" s="3286">
        <v>29.4</v>
      </c>
    </row>
    <row r="652" spans="1:10" hidden="1">
      <c r="A652" s="3282">
        <v>651</v>
      </c>
      <c r="B652" s="3283" t="s">
        <v>3262</v>
      </c>
      <c r="C652" s="3283">
        <v>8</v>
      </c>
      <c r="D652" s="3283">
        <v>812</v>
      </c>
      <c r="E652" s="3285" t="str">
        <f t="shared" si="10"/>
        <v>南-8-812</v>
      </c>
      <c r="F652" s="3283" t="s">
        <v>3799</v>
      </c>
      <c r="G652" s="3283" t="s">
        <v>3552</v>
      </c>
      <c r="H652" s="3286"/>
      <c r="I652" s="3287">
        <v>44.31</v>
      </c>
      <c r="J652" s="3286">
        <v>29.4</v>
      </c>
    </row>
    <row r="653" spans="1:10" hidden="1">
      <c r="A653" s="3282">
        <v>652</v>
      </c>
      <c r="B653" s="3283" t="s">
        <v>3057</v>
      </c>
      <c r="C653" s="3283">
        <v>8</v>
      </c>
      <c r="D653" s="3283">
        <v>813</v>
      </c>
      <c r="E653" s="3285" t="str">
        <f t="shared" si="10"/>
        <v>南-8-813</v>
      </c>
      <c r="F653" s="3283" t="s">
        <v>3800</v>
      </c>
      <c r="G653" s="3283" t="s">
        <v>3428</v>
      </c>
      <c r="H653" s="3286"/>
      <c r="I653" s="3287">
        <v>44.31</v>
      </c>
      <c r="J653" s="3286">
        <v>29.4</v>
      </c>
    </row>
    <row r="654" spans="1:10" hidden="1">
      <c r="A654" s="3282">
        <v>653</v>
      </c>
      <c r="B654" s="3283" t="s">
        <v>3262</v>
      </c>
      <c r="C654" s="3283">
        <v>8</v>
      </c>
      <c r="D654" s="3283">
        <v>814</v>
      </c>
      <c r="E654" s="3285" t="str">
        <f t="shared" si="10"/>
        <v>南-8-814</v>
      </c>
      <c r="F654" s="3283" t="s">
        <v>3801</v>
      </c>
      <c r="G654" s="3283" t="s">
        <v>3428</v>
      </c>
      <c r="H654" s="3286"/>
      <c r="I654" s="3287">
        <v>44.31</v>
      </c>
      <c r="J654" s="3286">
        <v>29.4</v>
      </c>
    </row>
    <row r="655" spans="1:10" hidden="1">
      <c r="A655" s="3282">
        <v>654</v>
      </c>
      <c r="B655" s="3283" t="s">
        <v>3262</v>
      </c>
      <c r="C655" s="3283">
        <v>8</v>
      </c>
      <c r="D655" s="3283">
        <v>815</v>
      </c>
      <c r="E655" s="3285" t="str">
        <f t="shared" si="10"/>
        <v>南-8-815</v>
      </c>
      <c r="F655" s="3283" t="s">
        <v>3802</v>
      </c>
      <c r="G655" s="3283" t="s">
        <v>3428</v>
      </c>
      <c r="H655" s="3286"/>
      <c r="I655" s="3287">
        <v>44.31</v>
      </c>
      <c r="J655" s="3286">
        <v>29.4</v>
      </c>
    </row>
    <row r="656" spans="1:10" hidden="1">
      <c r="A656" s="3282">
        <v>655</v>
      </c>
      <c r="B656" s="3283" t="s">
        <v>3262</v>
      </c>
      <c r="C656" s="3283">
        <v>8</v>
      </c>
      <c r="D656" s="3283">
        <v>816</v>
      </c>
      <c r="E656" s="3285" t="str">
        <f t="shared" si="10"/>
        <v>南-8-816</v>
      </c>
      <c r="F656" s="3283" t="s">
        <v>3803</v>
      </c>
      <c r="G656" s="3283" t="s">
        <v>3428</v>
      </c>
      <c r="H656" s="3286"/>
      <c r="I656" s="3287">
        <v>71.45</v>
      </c>
      <c r="J656" s="3286">
        <v>47.41</v>
      </c>
    </row>
    <row r="657" spans="1:10" hidden="1">
      <c r="A657" s="3282">
        <v>656</v>
      </c>
      <c r="B657" s="3283" t="s">
        <v>3262</v>
      </c>
      <c r="C657" s="3283">
        <v>8</v>
      </c>
      <c r="D657" s="3283">
        <v>817</v>
      </c>
      <c r="E657" s="3285" t="str">
        <f t="shared" si="10"/>
        <v>南-8-817</v>
      </c>
      <c r="F657" s="3283" t="s">
        <v>3804</v>
      </c>
      <c r="G657" s="3283" t="s">
        <v>3428</v>
      </c>
      <c r="H657" s="3286"/>
      <c r="I657" s="3287">
        <v>56.18</v>
      </c>
      <c r="J657" s="3286">
        <v>37.28</v>
      </c>
    </row>
    <row r="658" spans="1:10" hidden="1">
      <c r="A658" s="3282">
        <v>657</v>
      </c>
      <c r="B658" s="3283" t="s">
        <v>3262</v>
      </c>
      <c r="C658" s="3283">
        <v>8</v>
      </c>
      <c r="D658" s="3283">
        <v>901</v>
      </c>
      <c r="E658" s="3285" t="str">
        <f t="shared" si="10"/>
        <v>南-8-901</v>
      </c>
      <c r="F658" s="3283" t="s">
        <v>3805</v>
      </c>
      <c r="G658" s="3283" t="s">
        <v>3428</v>
      </c>
      <c r="H658" s="3286"/>
      <c r="I658" s="3287">
        <v>80.31</v>
      </c>
      <c r="J658" s="3286">
        <v>53.29</v>
      </c>
    </row>
    <row r="659" spans="1:10" hidden="1">
      <c r="A659" s="3282">
        <v>658</v>
      </c>
      <c r="B659" s="3283" t="s">
        <v>3262</v>
      </c>
      <c r="C659" s="3283">
        <v>8</v>
      </c>
      <c r="D659" s="3283">
        <v>902</v>
      </c>
      <c r="E659" s="3285" t="str">
        <f t="shared" si="10"/>
        <v>南-8-902</v>
      </c>
      <c r="F659" s="3283" t="s">
        <v>3806</v>
      </c>
      <c r="G659" s="3283" t="s">
        <v>3428</v>
      </c>
      <c r="H659" s="3286"/>
      <c r="I659" s="3287">
        <v>73.11</v>
      </c>
      <c r="J659" s="3286">
        <v>48.51</v>
      </c>
    </row>
    <row r="660" spans="1:10" hidden="1">
      <c r="A660" s="3282">
        <v>659</v>
      </c>
      <c r="B660" s="3283" t="s">
        <v>3262</v>
      </c>
      <c r="C660" s="3283">
        <v>8</v>
      </c>
      <c r="D660" s="3283">
        <v>903</v>
      </c>
      <c r="E660" s="3285" t="str">
        <f t="shared" si="10"/>
        <v>南-8-903</v>
      </c>
      <c r="F660" s="3283" t="s">
        <v>3807</v>
      </c>
      <c r="G660" s="3283" t="s">
        <v>3428</v>
      </c>
      <c r="H660" s="3286"/>
      <c r="I660" s="3287">
        <v>73.11</v>
      </c>
      <c r="J660" s="3286">
        <v>48.51</v>
      </c>
    </row>
    <row r="661" spans="1:10" hidden="1">
      <c r="A661" s="3282">
        <v>660</v>
      </c>
      <c r="B661" s="3283" t="s">
        <v>3262</v>
      </c>
      <c r="C661" s="3283">
        <v>8</v>
      </c>
      <c r="D661" s="3283">
        <v>904</v>
      </c>
      <c r="E661" s="3285" t="str">
        <f t="shared" si="10"/>
        <v>南-8-904</v>
      </c>
      <c r="F661" s="3283" t="s">
        <v>3808</v>
      </c>
      <c r="G661" s="3283" t="s">
        <v>3428</v>
      </c>
      <c r="H661" s="3286"/>
      <c r="I661" s="3287">
        <v>73.11</v>
      </c>
      <c r="J661" s="3286">
        <v>48.51</v>
      </c>
    </row>
    <row r="662" spans="1:10" hidden="1">
      <c r="A662" s="3282">
        <v>661</v>
      </c>
      <c r="B662" s="3283" t="s">
        <v>3262</v>
      </c>
      <c r="C662" s="3283">
        <v>8</v>
      </c>
      <c r="D662" s="3283">
        <v>905</v>
      </c>
      <c r="E662" s="3285" t="str">
        <f t="shared" si="10"/>
        <v>南-8-905</v>
      </c>
      <c r="F662" s="3283" t="s">
        <v>3809</v>
      </c>
      <c r="G662" s="3283" t="s">
        <v>3428</v>
      </c>
      <c r="H662" s="3286"/>
      <c r="I662" s="3287">
        <v>73.11</v>
      </c>
      <c r="J662" s="3286">
        <v>48.51</v>
      </c>
    </row>
    <row r="663" spans="1:10" hidden="1">
      <c r="A663" s="3282">
        <v>662</v>
      </c>
      <c r="B663" s="3283" t="s">
        <v>3262</v>
      </c>
      <c r="C663" s="3283">
        <v>8</v>
      </c>
      <c r="D663" s="3283">
        <v>906</v>
      </c>
      <c r="E663" s="3285" t="str">
        <f t="shared" si="10"/>
        <v>南-8-906</v>
      </c>
      <c r="F663" s="3283" t="s">
        <v>3810</v>
      </c>
      <c r="G663" s="3283" t="s">
        <v>3428</v>
      </c>
      <c r="H663" s="3286"/>
      <c r="I663" s="3287">
        <v>80.42</v>
      </c>
      <c r="J663" s="3286">
        <v>53.36</v>
      </c>
    </row>
    <row r="664" spans="1:10" hidden="1">
      <c r="A664" s="3282">
        <v>663</v>
      </c>
      <c r="B664" s="3283" t="s">
        <v>3262</v>
      </c>
      <c r="C664" s="3283">
        <v>8</v>
      </c>
      <c r="D664" s="3283">
        <v>907</v>
      </c>
      <c r="E664" s="3285" t="str">
        <f t="shared" si="10"/>
        <v>南-8-907</v>
      </c>
      <c r="F664" s="3283" t="s">
        <v>3811</v>
      </c>
      <c r="G664" s="3283" t="s">
        <v>3428</v>
      </c>
      <c r="H664" s="3286"/>
      <c r="I664" s="3287">
        <v>56.18</v>
      </c>
      <c r="J664" s="3286">
        <v>37.28</v>
      </c>
    </row>
    <row r="665" spans="1:10" hidden="1">
      <c r="A665" s="3282">
        <v>664</v>
      </c>
      <c r="B665" s="3283" t="s">
        <v>3262</v>
      </c>
      <c r="C665" s="3283">
        <v>8</v>
      </c>
      <c r="D665" s="3283">
        <v>908</v>
      </c>
      <c r="E665" s="3285" t="str">
        <f t="shared" si="10"/>
        <v>南-8-908</v>
      </c>
      <c r="F665" s="3283" t="s">
        <v>3812</v>
      </c>
      <c r="G665" s="3283" t="s">
        <v>3428</v>
      </c>
      <c r="H665" s="3286"/>
      <c r="I665" s="3287">
        <v>71.45</v>
      </c>
      <c r="J665" s="3286">
        <v>47.41</v>
      </c>
    </row>
    <row r="666" spans="1:10" hidden="1">
      <c r="A666" s="3282">
        <v>665</v>
      </c>
      <c r="B666" s="3283" t="s">
        <v>3262</v>
      </c>
      <c r="C666" s="3283">
        <v>8</v>
      </c>
      <c r="D666" s="3283">
        <v>909</v>
      </c>
      <c r="E666" s="3285" t="str">
        <f t="shared" si="10"/>
        <v>南-8-909</v>
      </c>
      <c r="F666" s="3283" t="s">
        <v>3813</v>
      </c>
      <c r="G666" s="3283" t="s">
        <v>3428</v>
      </c>
      <c r="H666" s="3286"/>
      <c r="I666" s="3287">
        <v>44.31</v>
      </c>
      <c r="J666" s="3286">
        <v>29.4</v>
      </c>
    </row>
    <row r="667" spans="1:10" hidden="1">
      <c r="A667" s="3282">
        <v>666</v>
      </c>
      <c r="B667" s="3283" t="s">
        <v>3262</v>
      </c>
      <c r="C667" s="3283">
        <v>8</v>
      </c>
      <c r="D667" s="3283">
        <v>910</v>
      </c>
      <c r="E667" s="3285" t="str">
        <f t="shared" si="10"/>
        <v>南-8-910</v>
      </c>
      <c r="F667" s="3283" t="s">
        <v>3814</v>
      </c>
      <c r="G667" s="3283" t="s">
        <v>3428</v>
      </c>
      <c r="H667" s="3286"/>
      <c r="I667" s="3287">
        <v>44.31</v>
      </c>
      <c r="J667" s="3286">
        <v>29.4</v>
      </c>
    </row>
    <row r="668" spans="1:10" hidden="1">
      <c r="A668" s="3282">
        <v>667</v>
      </c>
      <c r="B668" s="3283" t="s">
        <v>3262</v>
      </c>
      <c r="C668" s="3283">
        <v>8</v>
      </c>
      <c r="D668" s="3283">
        <v>911</v>
      </c>
      <c r="E668" s="3285" t="str">
        <f t="shared" si="10"/>
        <v>南-8-911</v>
      </c>
      <c r="F668" s="3283" t="s">
        <v>3815</v>
      </c>
      <c r="G668" s="3283" t="s">
        <v>3428</v>
      </c>
      <c r="H668" s="3286"/>
      <c r="I668" s="3287">
        <v>44.31</v>
      </c>
      <c r="J668" s="3286">
        <v>29.4</v>
      </c>
    </row>
    <row r="669" spans="1:10" hidden="1">
      <c r="A669" s="3282">
        <v>668</v>
      </c>
      <c r="B669" s="3283" t="s">
        <v>3262</v>
      </c>
      <c r="C669" s="3283">
        <v>8</v>
      </c>
      <c r="D669" s="3283">
        <v>912</v>
      </c>
      <c r="E669" s="3285" t="str">
        <f t="shared" si="10"/>
        <v>南-8-912</v>
      </c>
      <c r="F669" s="3283" t="s">
        <v>3816</v>
      </c>
      <c r="G669" s="3283" t="s">
        <v>3428</v>
      </c>
      <c r="H669" s="3286"/>
      <c r="I669" s="3287">
        <v>44.31</v>
      </c>
      <c r="J669" s="3286">
        <v>29.4</v>
      </c>
    </row>
    <row r="670" spans="1:10" hidden="1">
      <c r="A670" s="3282">
        <v>669</v>
      </c>
      <c r="B670" s="3283" t="s">
        <v>3262</v>
      </c>
      <c r="C670" s="3283">
        <v>8</v>
      </c>
      <c r="D670" s="3283">
        <v>913</v>
      </c>
      <c r="E670" s="3285" t="str">
        <f t="shared" si="10"/>
        <v>南-8-913</v>
      </c>
      <c r="F670" s="3283" t="s">
        <v>3817</v>
      </c>
      <c r="G670" s="3283" t="s">
        <v>3428</v>
      </c>
      <c r="H670" s="3286"/>
      <c r="I670" s="3287">
        <v>44.31</v>
      </c>
      <c r="J670" s="3286">
        <v>29.4</v>
      </c>
    </row>
    <row r="671" spans="1:10" hidden="1">
      <c r="A671" s="3282">
        <v>670</v>
      </c>
      <c r="B671" s="3283" t="s">
        <v>3262</v>
      </c>
      <c r="C671" s="3283">
        <v>8</v>
      </c>
      <c r="D671" s="3283">
        <v>914</v>
      </c>
      <c r="E671" s="3285" t="str">
        <f t="shared" si="10"/>
        <v>南-8-914</v>
      </c>
      <c r="F671" s="3283" t="s">
        <v>3818</v>
      </c>
      <c r="G671" s="3283" t="s">
        <v>3428</v>
      </c>
      <c r="H671" s="3286"/>
      <c r="I671" s="3287">
        <v>44.31</v>
      </c>
      <c r="J671" s="3286">
        <v>29.4</v>
      </c>
    </row>
    <row r="672" spans="1:10" hidden="1">
      <c r="A672" s="3282">
        <v>671</v>
      </c>
      <c r="B672" s="3283" t="s">
        <v>3262</v>
      </c>
      <c r="C672" s="3283">
        <v>8</v>
      </c>
      <c r="D672" s="3283">
        <v>915</v>
      </c>
      <c r="E672" s="3285" t="str">
        <f t="shared" si="10"/>
        <v>南-8-915</v>
      </c>
      <c r="F672" s="3283" t="s">
        <v>3819</v>
      </c>
      <c r="G672" s="3283" t="s">
        <v>3428</v>
      </c>
      <c r="H672" s="3286"/>
      <c r="I672" s="3287">
        <v>44.31</v>
      </c>
      <c r="J672" s="3286">
        <v>29.4</v>
      </c>
    </row>
    <row r="673" spans="1:10" hidden="1">
      <c r="A673" s="3282">
        <v>672</v>
      </c>
      <c r="B673" s="3283" t="s">
        <v>3262</v>
      </c>
      <c r="C673" s="3283">
        <v>8</v>
      </c>
      <c r="D673" s="3283">
        <v>916</v>
      </c>
      <c r="E673" s="3285" t="str">
        <f t="shared" si="10"/>
        <v>南-8-916</v>
      </c>
      <c r="F673" s="3283" t="s">
        <v>3820</v>
      </c>
      <c r="G673" s="3283" t="s">
        <v>3428</v>
      </c>
      <c r="H673" s="3286"/>
      <c r="I673" s="3287">
        <v>71.56</v>
      </c>
      <c r="J673" s="3286">
        <v>47.48</v>
      </c>
    </row>
    <row r="674" spans="1:10" hidden="1">
      <c r="A674" s="3282">
        <v>673</v>
      </c>
      <c r="B674" s="3283" t="s">
        <v>3262</v>
      </c>
      <c r="C674" s="3283">
        <v>8</v>
      </c>
      <c r="D674" s="3283">
        <v>917</v>
      </c>
      <c r="E674" s="3285" t="str">
        <f t="shared" si="10"/>
        <v>南-8-917</v>
      </c>
      <c r="F674" s="3283" t="s">
        <v>3821</v>
      </c>
      <c r="G674" s="3283" t="s">
        <v>3428</v>
      </c>
      <c r="H674" s="3286"/>
      <c r="I674" s="3287">
        <v>56.18</v>
      </c>
      <c r="J674" s="3286">
        <v>37.28</v>
      </c>
    </row>
    <row r="675" spans="1:10" hidden="1">
      <c r="A675" s="3282">
        <v>674</v>
      </c>
      <c r="B675" s="3283" t="s">
        <v>3262</v>
      </c>
      <c r="C675" s="3283">
        <v>8</v>
      </c>
      <c r="D675" s="3283">
        <v>1001</v>
      </c>
      <c r="E675" s="3285" t="str">
        <f t="shared" si="10"/>
        <v>南-8-1001</v>
      </c>
      <c r="F675" s="3283" t="s">
        <v>3822</v>
      </c>
      <c r="G675" s="3283" t="s">
        <v>3428</v>
      </c>
      <c r="H675" s="3286"/>
      <c r="I675" s="3287">
        <v>80.42</v>
      </c>
      <c r="J675" s="3286">
        <v>53.36</v>
      </c>
    </row>
    <row r="676" spans="1:10" hidden="1">
      <c r="A676" s="3282">
        <v>675</v>
      </c>
      <c r="B676" s="3283" t="s">
        <v>3262</v>
      </c>
      <c r="C676" s="3283">
        <v>8</v>
      </c>
      <c r="D676" s="3283">
        <v>1002</v>
      </c>
      <c r="E676" s="3285" t="str">
        <f t="shared" si="10"/>
        <v>南-8-1002</v>
      </c>
      <c r="F676" s="3283" t="s">
        <v>3823</v>
      </c>
      <c r="G676" s="3283" t="s">
        <v>3428</v>
      </c>
      <c r="H676" s="3286"/>
      <c r="I676" s="3287">
        <v>73.11</v>
      </c>
      <c r="J676" s="3286">
        <v>48.51</v>
      </c>
    </row>
    <row r="677" spans="1:10" hidden="1">
      <c r="A677" s="3282">
        <v>676</v>
      </c>
      <c r="B677" s="3283" t="s">
        <v>3262</v>
      </c>
      <c r="C677" s="3283">
        <v>8</v>
      </c>
      <c r="D677" s="3283">
        <v>1003</v>
      </c>
      <c r="E677" s="3285" t="str">
        <f t="shared" si="10"/>
        <v>南-8-1003</v>
      </c>
      <c r="F677" s="3283" t="s">
        <v>3824</v>
      </c>
      <c r="G677" s="3283" t="s">
        <v>3428</v>
      </c>
      <c r="H677" s="3286"/>
      <c r="I677" s="3287">
        <v>73.11</v>
      </c>
      <c r="J677" s="3286">
        <v>48.51</v>
      </c>
    </row>
    <row r="678" spans="1:10" hidden="1">
      <c r="A678" s="3282">
        <v>677</v>
      </c>
      <c r="B678" s="3283" t="s">
        <v>3262</v>
      </c>
      <c r="C678" s="3283">
        <v>8</v>
      </c>
      <c r="D678" s="3283">
        <v>1004</v>
      </c>
      <c r="E678" s="3285" t="str">
        <f t="shared" si="10"/>
        <v>南-8-1004</v>
      </c>
      <c r="F678" s="3283" t="s">
        <v>3825</v>
      </c>
      <c r="G678" s="3283" t="s">
        <v>3428</v>
      </c>
      <c r="H678" s="3286"/>
      <c r="I678" s="3287">
        <v>73.11</v>
      </c>
      <c r="J678" s="3286">
        <v>48.51</v>
      </c>
    </row>
    <row r="679" spans="1:10" hidden="1">
      <c r="A679" s="3282">
        <v>678</v>
      </c>
      <c r="B679" s="3283" t="s">
        <v>3262</v>
      </c>
      <c r="C679" s="3283">
        <v>8</v>
      </c>
      <c r="D679" s="3283">
        <v>1005</v>
      </c>
      <c r="E679" s="3285" t="str">
        <f t="shared" si="10"/>
        <v>南-8-1005</v>
      </c>
      <c r="F679" s="3283" t="s">
        <v>3826</v>
      </c>
      <c r="G679" s="3283" t="s">
        <v>3428</v>
      </c>
      <c r="H679" s="3286"/>
      <c r="I679" s="3287">
        <v>73.11</v>
      </c>
      <c r="J679" s="3286">
        <v>48.51</v>
      </c>
    </row>
    <row r="680" spans="1:10" hidden="1">
      <c r="A680" s="3282">
        <v>679</v>
      </c>
      <c r="B680" s="3283" t="s">
        <v>3262</v>
      </c>
      <c r="C680" s="3283">
        <v>8</v>
      </c>
      <c r="D680" s="3283">
        <v>1006</v>
      </c>
      <c r="E680" s="3285" t="str">
        <f t="shared" si="10"/>
        <v>南-8-1006</v>
      </c>
      <c r="F680" s="3283" t="s">
        <v>3827</v>
      </c>
      <c r="G680" s="3283" t="s">
        <v>3428</v>
      </c>
      <c r="H680" s="3286"/>
      <c r="I680" s="3287">
        <v>80.31</v>
      </c>
      <c r="J680" s="3286">
        <v>53.29</v>
      </c>
    </row>
    <row r="681" spans="1:10" hidden="1">
      <c r="A681" s="3282">
        <v>680</v>
      </c>
      <c r="B681" s="3283" t="s">
        <v>3262</v>
      </c>
      <c r="C681" s="3283">
        <v>8</v>
      </c>
      <c r="D681" s="3283">
        <v>1007</v>
      </c>
      <c r="E681" s="3285" t="str">
        <f t="shared" si="10"/>
        <v>南-8-1007</v>
      </c>
      <c r="F681" s="3283" t="s">
        <v>3828</v>
      </c>
      <c r="G681" s="3283" t="s">
        <v>3428</v>
      </c>
      <c r="H681" s="3286"/>
      <c r="I681" s="3287">
        <v>56.18</v>
      </c>
      <c r="J681" s="3286">
        <v>37.28</v>
      </c>
    </row>
    <row r="682" spans="1:10" hidden="1">
      <c r="A682" s="3282">
        <v>681</v>
      </c>
      <c r="B682" s="3283" t="s">
        <v>3262</v>
      </c>
      <c r="C682" s="3283">
        <v>8</v>
      </c>
      <c r="D682" s="3283">
        <v>1008</v>
      </c>
      <c r="E682" s="3285" t="str">
        <f t="shared" si="10"/>
        <v>南-8-1008</v>
      </c>
      <c r="F682" s="3283" t="s">
        <v>3829</v>
      </c>
      <c r="G682" s="3283" t="s">
        <v>3428</v>
      </c>
      <c r="H682" s="3286"/>
      <c r="I682" s="3287">
        <v>71.56</v>
      </c>
      <c r="J682" s="3286">
        <v>47.48</v>
      </c>
    </row>
    <row r="683" spans="1:10" hidden="1">
      <c r="A683" s="3282">
        <v>682</v>
      </c>
      <c r="B683" s="3283" t="s">
        <v>3262</v>
      </c>
      <c r="C683" s="3283">
        <v>8</v>
      </c>
      <c r="D683" s="3283">
        <v>1009</v>
      </c>
      <c r="E683" s="3285" t="str">
        <f t="shared" si="10"/>
        <v>南-8-1009</v>
      </c>
      <c r="F683" s="3283" t="s">
        <v>3830</v>
      </c>
      <c r="G683" s="3283" t="s">
        <v>3428</v>
      </c>
      <c r="H683" s="3286"/>
      <c r="I683" s="3287">
        <v>44.31</v>
      </c>
      <c r="J683" s="3286">
        <v>29.4</v>
      </c>
    </row>
    <row r="684" spans="1:10" hidden="1">
      <c r="A684" s="3282">
        <v>683</v>
      </c>
      <c r="B684" s="3283" t="s">
        <v>3262</v>
      </c>
      <c r="C684" s="3283">
        <v>8</v>
      </c>
      <c r="D684" s="3283">
        <v>1010</v>
      </c>
      <c r="E684" s="3285" t="str">
        <f t="shared" si="10"/>
        <v>南-8-1010</v>
      </c>
      <c r="F684" s="3283" t="s">
        <v>3831</v>
      </c>
      <c r="G684" s="3283" t="s">
        <v>3428</v>
      </c>
      <c r="H684" s="3286"/>
      <c r="I684" s="3287">
        <v>44.31</v>
      </c>
      <c r="J684" s="3286">
        <v>29.4</v>
      </c>
    </row>
    <row r="685" spans="1:10" hidden="1">
      <c r="A685" s="3282">
        <v>684</v>
      </c>
      <c r="B685" s="3283" t="s">
        <v>3262</v>
      </c>
      <c r="C685" s="3283">
        <v>8</v>
      </c>
      <c r="D685" s="3283">
        <v>1011</v>
      </c>
      <c r="E685" s="3285" t="str">
        <f t="shared" si="10"/>
        <v>南-8-1011</v>
      </c>
      <c r="F685" s="3283" t="s">
        <v>3832</v>
      </c>
      <c r="G685" s="3283" t="s">
        <v>3428</v>
      </c>
      <c r="H685" s="3286"/>
      <c r="I685" s="3287">
        <v>44.31</v>
      </c>
      <c r="J685" s="3286">
        <v>29.4</v>
      </c>
    </row>
    <row r="686" spans="1:10" hidden="1">
      <c r="A686" s="3282">
        <v>685</v>
      </c>
      <c r="B686" s="3283" t="s">
        <v>3262</v>
      </c>
      <c r="C686" s="3283">
        <v>8</v>
      </c>
      <c r="D686" s="3283">
        <v>1012</v>
      </c>
      <c r="E686" s="3285" t="str">
        <f t="shared" si="10"/>
        <v>南-8-1012</v>
      </c>
      <c r="F686" s="3283" t="s">
        <v>3833</v>
      </c>
      <c r="G686" s="3283" t="s">
        <v>3428</v>
      </c>
      <c r="H686" s="3286"/>
      <c r="I686" s="3287">
        <v>44.31</v>
      </c>
      <c r="J686" s="3286">
        <v>29.4</v>
      </c>
    </row>
    <row r="687" spans="1:10" hidden="1">
      <c r="A687" s="3282">
        <v>686</v>
      </c>
      <c r="B687" s="3283" t="s">
        <v>3262</v>
      </c>
      <c r="C687" s="3283">
        <v>8</v>
      </c>
      <c r="D687" s="3283">
        <v>1013</v>
      </c>
      <c r="E687" s="3285" t="str">
        <f t="shared" si="10"/>
        <v>南-8-1013</v>
      </c>
      <c r="F687" s="3283" t="s">
        <v>3834</v>
      </c>
      <c r="G687" s="3283" t="s">
        <v>3428</v>
      </c>
      <c r="H687" s="3286"/>
      <c r="I687" s="3287">
        <v>44.31</v>
      </c>
      <c r="J687" s="3286">
        <v>29.4</v>
      </c>
    </row>
    <row r="688" spans="1:10" hidden="1">
      <c r="A688" s="3282">
        <v>687</v>
      </c>
      <c r="B688" s="3283" t="s">
        <v>3262</v>
      </c>
      <c r="C688" s="3283">
        <v>8</v>
      </c>
      <c r="D688" s="3283">
        <v>1014</v>
      </c>
      <c r="E688" s="3285" t="str">
        <f t="shared" si="10"/>
        <v>南-8-1014</v>
      </c>
      <c r="F688" s="3283" t="s">
        <v>3835</v>
      </c>
      <c r="G688" s="3283" t="s">
        <v>3428</v>
      </c>
      <c r="H688" s="3286"/>
      <c r="I688" s="3287">
        <v>44.31</v>
      </c>
      <c r="J688" s="3286">
        <v>29.4</v>
      </c>
    </row>
    <row r="689" spans="1:10" hidden="1">
      <c r="A689" s="3282">
        <v>688</v>
      </c>
      <c r="B689" s="3283" t="s">
        <v>3262</v>
      </c>
      <c r="C689" s="3283">
        <v>8</v>
      </c>
      <c r="D689" s="3283">
        <v>1015</v>
      </c>
      <c r="E689" s="3285" t="str">
        <f t="shared" si="10"/>
        <v>南-8-1015</v>
      </c>
      <c r="F689" s="3283" t="s">
        <v>3836</v>
      </c>
      <c r="G689" s="3283" t="s">
        <v>3428</v>
      </c>
      <c r="H689" s="3286"/>
      <c r="I689" s="3287">
        <v>44.31</v>
      </c>
      <c r="J689" s="3286">
        <v>29.4</v>
      </c>
    </row>
    <row r="690" spans="1:10" hidden="1">
      <c r="A690" s="3282">
        <v>689</v>
      </c>
      <c r="B690" s="3283" t="s">
        <v>3262</v>
      </c>
      <c r="C690" s="3283">
        <v>8</v>
      </c>
      <c r="D690" s="3283">
        <v>1016</v>
      </c>
      <c r="E690" s="3285" t="str">
        <f t="shared" si="10"/>
        <v>南-8-1016</v>
      </c>
      <c r="F690" s="3283" t="s">
        <v>3837</v>
      </c>
      <c r="G690" s="3283" t="s">
        <v>3428</v>
      </c>
      <c r="H690" s="3286"/>
      <c r="I690" s="3287">
        <v>71.45</v>
      </c>
      <c r="J690" s="3286">
        <v>47.41</v>
      </c>
    </row>
    <row r="691" spans="1:10" hidden="1">
      <c r="A691" s="3282">
        <v>690</v>
      </c>
      <c r="B691" s="3283" t="s">
        <v>3262</v>
      </c>
      <c r="C691" s="3283">
        <v>8</v>
      </c>
      <c r="D691" s="3283">
        <v>1017</v>
      </c>
      <c r="E691" s="3285" t="str">
        <f t="shared" si="10"/>
        <v>南-8-1017</v>
      </c>
      <c r="F691" s="3283" t="s">
        <v>3838</v>
      </c>
      <c r="G691" s="3283" t="s">
        <v>3428</v>
      </c>
      <c r="H691" s="3286"/>
      <c r="I691" s="3287">
        <v>56.18</v>
      </c>
      <c r="J691" s="3286">
        <v>37.28</v>
      </c>
    </row>
    <row r="692" spans="1:10" hidden="1">
      <c r="A692" s="3282">
        <v>691</v>
      </c>
      <c r="B692" s="3283" t="s">
        <v>3262</v>
      </c>
      <c r="C692" s="3283">
        <v>8</v>
      </c>
      <c r="D692" s="3283">
        <v>1101</v>
      </c>
      <c r="E692" s="3285" t="str">
        <f t="shared" si="10"/>
        <v>南-8-1101</v>
      </c>
      <c r="F692" s="3283" t="s">
        <v>3839</v>
      </c>
      <c r="G692" s="3283" t="s">
        <v>3428</v>
      </c>
      <c r="H692" s="3286"/>
      <c r="I692" s="3287">
        <v>80.31</v>
      </c>
      <c r="J692" s="3286">
        <v>53.29</v>
      </c>
    </row>
    <row r="693" spans="1:10" hidden="1">
      <c r="A693" s="3282">
        <v>692</v>
      </c>
      <c r="B693" s="3283" t="s">
        <v>3262</v>
      </c>
      <c r="C693" s="3283">
        <v>8</v>
      </c>
      <c r="D693" s="3283">
        <v>1102</v>
      </c>
      <c r="E693" s="3285" t="str">
        <f t="shared" si="10"/>
        <v>南-8-1102</v>
      </c>
      <c r="F693" s="3283" t="s">
        <v>3840</v>
      </c>
      <c r="G693" s="3283" t="s">
        <v>3425</v>
      </c>
      <c r="H693" s="3286"/>
      <c r="I693" s="3287">
        <v>73.11</v>
      </c>
      <c r="J693" s="3286">
        <v>48.51</v>
      </c>
    </row>
    <row r="694" spans="1:10" hidden="1">
      <c r="A694" s="3282">
        <v>693</v>
      </c>
      <c r="B694" s="3283" t="s">
        <v>3154</v>
      </c>
      <c r="C694" s="3283">
        <v>8</v>
      </c>
      <c r="D694" s="3283">
        <v>1103</v>
      </c>
      <c r="E694" s="3285" t="str">
        <f t="shared" si="10"/>
        <v>南-8-1103</v>
      </c>
      <c r="F694" s="3283" t="s">
        <v>3841</v>
      </c>
      <c r="G694" s="3283" t="s">
        <v>3425</v>
      </c>
      <c r="H694" s="3286"/>
      <c r="I694" s="3287">
        <v>73.11</v>
      </c>
      <c r="J694" s="3286">
        <v>48.51</v>
      </c>
    </row>
    <row r="695" spans="1:10" hidden="1">
      <c r="A695" s="3282">
        <v>694</v>
      </c>
      <c r="B695" s="3283" t="s">
        <v>3154</v>
      </c>
      <c r="C695" s="3283">
        <v>8</v>
      </c>
      <c r="D695" s="3283">
        <v>1104</v>
      </c>
      <c r="E695" s="3285" t="str">
        <f t="shared" si="10"/>
        <v>南-8-1104</v>
      </c>
      <c r="F695" s="3283" t="s">
        <v>3842</v>
      </c>
      <c r="G695" s="3283" t="s">
        <v>3425</v>
      </c>
      <c r="H695" s="3286"/>
      <c r="I695" s="3287">
        <v>73.11</v>
      </c>
      <c r="J695" s="3286">
        <v>48.51</v>
      </c>
    </row>
    <row r="696" spans="1:10" hidden="1">
      <c r="A696" s="3282">
        <v>695</v>
      </c>
      <c r="B696" s="3283" t="s">
        <v>3154</v>
      </c>
      <c r="C696" s="3283">
        <v>8</v>
      </c>
      <c r="D696" s="3283">
        <v>1105</v>
      </c>
      <c r="E696" s="3285" t="str">
        <f t="shared" si="10"/>
        <v>南-8-1105</v>
      </c>
      <c r="F696" s="3283" t="s">
        <v>3843</v>
      </c>
      <c r="G696" s="3283" t="s">
        <v>3425</v>
      </c>
      <c r="H696" s="3286"/>
      <c r="I696" s="3287">
        <v>73.11</v>
      </c>
      <c r="J696" s="3286">
        <v>48.51</v>
      </c>
    </row>
    <row r="697" spans="1:10" hidden="1">
      <c r="A697" s="3282">
        <v>696</v>
      </c>
      <c r="B697" s="3283" t="s">
        <v>3154</v>
      </c>
      <c r="C697" s="3283">
        <v>8</v>
      </c>
      <c r="D697" s="3283">
        <v>1106</v>
      </c>
      <c r="E697" s="3285" t="str">
        <f t="shared" si="10"/>
        <v>南-8-1106</v>
      </c>
      <c r="F697" s="3283" t="s">
        <v>3844</v>
      </c>
      <c r="G697" s="3283" t="s">
        <v>3425</v>
      </c>
      <c r="H697" s="3286"/>
      <c r="I697" s="3287">
        <v>80.42</v>
      </c>
      <c r="J697" s="3286">
        <v>53.36</v>
      </c>
    </row>
    <row r="698" spans="1:10" hidden="1">
      <c r="A698" s="3282">
        <v>697</v>
      </c>
      <c r="B698" s="3283" t="s">
        <v>3154</v>
      </c>
      <c r="C698" s="3283">
        <v>8</v>
      </c>
      <c r="D698" s="3283">
        <v>1107</v>
      </c>
      <c r="E698" s="3285" t="str">
        <f t="shared" si="10"/>
        <v>南-8-1107</v>
      </c>
      <c r="F698" s="3283" t="s">
        <v>3845</v>
      </c>
      <c r="G698" s="3283" t="s">
        <v>3425</v>
      </c>
      <c r="H698" s="3286"/>
      <c r="I698" s="3287">
        <v>56.18</v>
      </c>
      <c r="J698" s="3286">
        <v>37.28</v>
      </c>
    </row>
    <row r="699" spans="1:10" hidden="1">
      <c r="A699" s="3282">
        <v>698</v>
      </c>
      <c r="B699" s="3283" t="s">
        <v>3154</v>
      </c>
      <c r="C699" s="3283">
        <v>8</v>
      </c>
      <c r="D699" s="3283">
        <v>1108</v>
      </c>
      <c r="E699" s="3285" t="str">
        <f t="shared" si="10"/>
        <v>南-8-1108</v>
      </c>
      <c r="F699" s="3283" t="s">
        <v>3846</v>
      </c>
      <c r="G699" s="3283" t="s">
        <v>3425</v>
      </c>
      <c r="H699" s="3286"/>
      <c r="I699" s="3287">
        <v>71.45</v>
      </c>
      <c r="J699" s="3286">
        <v>47.41</v>
      </c>
    </row>
    <row r="700" spans="1:10" hidden="1">
      <c r="A700" s="3282">
        <v>699</v>
      </c>
      <c r="B700" s="3283" t="s">
        <v>3154</v>
      </c>
      <c r="C700" s="3283">
        <v>8</v>
      </c>
      <c r="D700" s="3283">
        <v>1109</v>
      </c>
      <c r="E700" s="3285" t="str">
        <f t="shared" si="10"/>
        <v>南-8-1109</v>
      </c>
      <c r="F700" s="3283" t="s">
        <v>3847</v>
      </c>
      <c r="G700" s="3283" t="s">
        <v>3425</v>
      </c>
      <c r="H700" s="3286"/>
      <c r="I700" s="3287">
        <v>44.31</v>
      </c>
      <c r="J700" s="3286">
        <v>29.4</v>
      </c>
    </row>
    <row r="701" spans="1:10" hidden="1">
      <c r="A701" s="3282">
        <v>700</v>
      </c>
      <c r="B701" s="3283" t="s">
        <v>3154</v>
      </c>
      <c r="C701" s="3283">
        <v>8</v>
      </c>
      <c r="D701" s="3283">
        <v>1110</v>
      </c>
      <c r="E701" s="3285" t="str">
        <f t="shared" si="10"/>
        <v>南-8-1110</v>
      </c>
      <c r="F701" s="3283" t="s">
        <v>3848</v>
      </c>
      <c r="G701" s="3283" t="s">
        <v>3425</v>
      </c>
      <c r="H701" s="3286"/>
      <c r="I701" s="3287">
        <v>44.31</v>
      </c>
      <c r="J701" s="3286">
        <v>29.4</v>
      </c>
    </row>
    <row r="702" spans="1:10" hidden="1">
      <c r="A702" s="3282">
        <v>701</v>
      </c>
      <c r="B702" s="3283" t="s">
        <v>3154</v>
      </c>
      <c r="C702" s="3283">
        <v>8</v>
      </c>
      <c r="D702" s="3283">
        <v>1111</v>
      </c>
      <c r="E702" s="3285" t="str">
        <f t="shared" si="10"/>
        <v>南-8-1111</v>
      </c>
      <c r="F702" s="3283" t="s">
        <v>3849</v>
      </c>
      <c r="G702" s="3283" t="s">
        <v>3425</v>
      </c>
      <c r="H702" s="3286"/>
      <c r="I702" s="3287">
        <v>44.31</v>
      </c>
      <c r="J702" s="3286">
        <v>29.4</v>
      </c>
    </row>
    <row r="703" spans="1:10" hidden="1">
      <c r="A703" s="3282">
        <v>702</v>
      </c>
      <c r="B703" s="3283" t="s">
        <v>3154</v>
      </c>
      <c r="C703" s="3283">
        <v>8</v>
      </c>
      <c r="D703" s="3283">
        <v>1112</v>
      </c>
      <c r="E703" s="3285" t="str">
        <f t="shared" si="10"/>
        <v>南-8-1112</v>
      </c>
      <c r="F703" s="3283" t="s">
        <v>3850</v>
      </c>
      <c r="G703" s="3283" t="s">
        <v>3425</v>
      </c>
      <c r="H703" s="3286"/>
      <c r="I703" s="3287">
        <v>44.31</v>
      </c>
      <c r="J703" s="3286">
        <v>29.4</v>
      </c>
    </row>
    <row r="704" spans="1:10" hidden="1">
      <c r="A704" s="3282">
        <v>703</v>
      </c>
      <c r="B704" s="3283" t="s">
        <v>3154</v>
      </c>
      <c r="C704" s="3283">
        <v>8</v>
      </c>
      <c r="D704" s="3283">
        <v>1113</v>
      </c>
      <c r="E704" s="3285" t="str">
        <f t="shared" si="10"/>
        <v>南-8-1113</v>
      </c>
      <c r="F704" s="3283" t="s">
        <v>3851</v>
      </c>
      <c r="G704" s="3283" t="s">
        <v>3425</v>
      </c>
      <c r="H704" s="3286"/>
      <c r="I704" s="3287">
        <v>44.31</v>
      </c>
      <c r="J704" s="3286">
        <v>29.4</v>
      </c>
    </row>
    <row r="705" spans="1:10" hidden="1">
      <c r="A705" s="3282">
        <v>704</v>
      </c>
      <c r="B705" s="3283" t="s">
        <v>3154</v>
      </c>
      <c r="C705" s="3283">
        <v>8</v>
      </c>
      <c r="D705" s="3283">
        <v>1114</v>
      </c>
      <c r="E705" s="3285" t="str">
        <f t="shared" si="10"/>
        <v>南-8-1114</v>
      </c>
      <c r="F705" s="3283" t="s">
        <v>3852</v>
      </c>
      <c r="G705" s="3283" t="s">
        <v>3425</v>
      </c>
      <c r="H705" s="3286"/>
      <c r="I705" s="3287">
        <v>44.31</v>
      </c>
      <c r="J705" s="3286">
        <v>29.4</v>
      </c>
    </row>
    <row r="706" spans="1:10" hidden="1">
      <c r="A706" s="3282">
        <v>705</v>
      </c>
      <c r="B706" s="3283" t="s">
        <v>3154</v>
      </c>
      <c r="C706" s="3283">
        <v>8</v>
      </c>
      <c r="D706" s="3283">
        <v>1115</v>
      </c>
      <c r="E706" s="3285" t="str">
        <f t="shared" si="10"/>
        <v>南-8-1115</v>
      </c>
      <c r="F706" s="3283" t="s">
        <v>3853</v>
      </c>
      <c r="G706" s="3283" t="s">
        <v>3425</v>
      </c>
      <c r="H706" s="3286"/>
      <c r="I706" s="3287">
        <v>44.31</v>
      </c>
      <c r="J706" s="3286">
        <v>29.4</v>
      </c>
    </row>
    <row r="707" spans="1:10" hidden="1">
      <c r="A707" s="3282">
        <v>706</v>
      </c>
      <c r="B707" s="3283" t="s">
        <v>3154</v>
      </c>
      <c r="C707" s="3283">
        <v>8</v>
      </c>
      <c r="D707" s="3283">
        <v>1116</v>
      </c>
      <c r="E707" s="3285" t="str">
        <f t="shared" ref="E707:E770" si="11">B707&amp;-C707&amp;"-"&amp;D707</f>
        <v>南-8-1116</v>
      </c>
      <c r="F707" s="3283" t="s">
        <v>3854</v>
      </c>
      <c r="G707" s="3283" t="s">
        <v>3425</v>
      </c>
      <c r="H707" s="3286"/>
      <c r="I707" s="3287">
        <v>71.56</v>
      </c>
      <c r="J707" s="3286">
        <v>47.48</v>
      </c>
    </row>
    <row r="708" spans="1:10" hidden="1">
      <c r="A708" s="3282">
        <v>707</v>
      </c>
      <c r="B708" s="3283" t="s">
        <v>3154</v>
      </c>
      <c r="C708" s="3283">
        <v>8</v>
      </c>
      <c r="D708" s="3283">
        <v>1117</v>
      </c>
      <c r="E708" s="3285" t="str">
        <f t="shared" si="11"/>
        <v>南-8-1117</v>
      </c>
      <c r="F708" s="3283" t="s">
        <v>3855</v>
      </c>
      <c r="G708" s="3283" t="s">
        <v>3425</v>
      </c>
      <c r="H708" s="3286"/>
      <c r="I708" s="3287">
        <v>56.18</v>
      </c>
      <c r="J708" s="3286">
        <v>37.28</v>
      </c>
    </row>
    <row r="709" spans="1:10" hidden="1">
      <c r="A709" s="3282">
        <v>708</v>
      </c>
      <c r="B709" s="3283" t="s">
        <v>3154</v>
      </c>
      <c r="C709" s="3283">
        <v>8</v>
      </c>
      <c r="D709" s="3283">
        <v>1201</v>
      </c>
      <c r="E709" s="3285" t="str">
        <f t="shared" si="11"/>
        <v>南-8-1201</v>
      </c>
      <c r="F709" s="3283" t="s">
        <v>3856</v>
      </c>
      <c r="G709" s="3283" t="s">
        <v>3425</v>
      </c>
      <c r="H709" s="3286"/>
      <c r="I709" s="3287">
        <v>80.42</v>
      </c>
      <c r="J709" s="3286">
        <v>53.36</v>
      </c>
    </row>
    <row r="710" spans="1:10" hidden="1">
      <c r="A710" s="3282">
        <v>709</v>
      </c>
      <c r="B710" s="3283" t="s">
        <v>3154</v>
      </c>
      <c r="C710" s="3283">
        <v>8</v>
      </c>
      <c r="D710" s="3283">
        <v>1202</v>
      </c>
      <c r="E710" s="3285" t="str">
        <f t="shared" si="11"/>
        <v>南-8-1202</v>
      </c>
      <c r="F710" s="3283" t="s">
        <v>3857</v>
      </c>
      <c r="G710" s="3283" t="s">
        <v>3425</v>
      </c>
      <c r="H710" s="3286"/>
      <c r="I710" s="3287">
        <v>73.11</v>
      </c>
      <c r="J710" s="3286">
        <v>48.51</v>
      </c>
    </row>
    <row r="711" spans="1:10" hidden="1">
      <c r="A711" s="3282">
        <v>710</v>
      </c>
      <c r="B711" s="3283" t="s">
        <v>3154</v>
      </c>
      <c r="C711" s="3283">
        <v>8</v>
      </c>
      <c r="D711" s="3283">
        <v>1203</v>
      </c>
      <c r="E711" s="3285" t="str">
        <f t="shared" si="11"/>
        <v>南-8-1203</v>
      </c>
      <c r="F711" s="3283" t="s">
        <v>3858</v>
      </c>
      <c r="G711" s="3283" t="s">
        <v>3425</v>
      </c>
      <c r="H711" s="3286"/>
      <c r="I711" s="3287">
        <v>73.11</v>
      </c>
      <c r="J711" s="3286">
        <v>48.51</v>
      </c>
    </row>
    <row r="712" spans="1:10" hidden="1">
      <c r="A712" s="3282">
        <v>711</v>
      </c>
      <c r="B712" s="3283" t="s">
        <v>3154</v>
      </c>
      <c r="C712" s="3283">
        <v>8</v>
      </c>
      <c r="D712" s="3283">
        <v>1204</v>
      </c>
      <c r="E712" s="3285" t="str">
        <f t="shared" si="11"/>
        <v>南-8-1204</v>
      </c>
      <c r="F712" s="3283" t="s">
        <v>3859</v>
      </c>
      <c r="G712" s="3283" t="s">
        <v>3425</v>
      </c>
      <c r="H712" s="3286"/>
      <c r="I712" s="3287">
        <v>73.11</v>
      </c>
      <c r="J712" s="3286">
        <v>48.51</v>
      </c>
    </row>
    <row r="713" spans="1:10" hidden="1">
      <c r="A713" s="3282">
        <v>712</v>
      </c>
      <c r="B713" s="3283" t="s">
        <v>3154</v>
      </c>
      <c r="C713" s="3283">
        <v>8</v>
      </c>
      <c r="D713" s="3283">
        <v>1205</v>
      </c>
      <c r="E713" s="3285" t="str">
        <f t="shared" si="11"/>
        <v>南-8-1205</v>
      </c>
      <c r="F713" s="3283" t="s">
        <v>3860</v>
      </c>
      <c r="G713" s="3283" t="s">
        <v>3425</v>
      </c>
      <c r="H713" s="3286"/>
      <c r="I713" s="3287">
        <v>73.11</v>
      </c>
      <c r="J713" s="3286">
        <v>48.51</v>
      </c>
    </row>
    <row r="714" spans="1:10" hidden="1">
      <c r="A714" s="3282">
        <v>713</v>
      </c>
      <c r="B714" s="3283" t="s">
        <v>3154</v>
      </c>
      <c r="C714" s="3283">
        <v>8</v>
      </c>
      <c r="D714" s="3283">
        <v>1206</v>
      </c>
      <c r="E714" s="3285" t="str">
        <f t="shared" si="11"/>
        <v>南-8-1206</v>
      </c>
      <c r="F714" s="3283" t="s">
        <v>3861</v>
      </c>
      <c r="G714" s="3283" t="s">
        <v>3425</v>
      </c>
      <c r="H714" s="3286"/>
      <c r="I714" s="3287">
        <v>80.31</v>
      </c>
      <c r="J714" s="3286">
        <v>53.29</v>
      </c>
    </row>
    <row r="715" spans="1:10" hidden="1">
      <c r="A715" s="3282">
        <v>714</v>
      </c>
      <c r="B715" s="3283" t="s">
        <v>3154</v>
      </c>
      <c r="C715" s="3283">
        <v>8</v>
      </c>
      <c r="D715" s="3283">
        <v>1207</v>
      </c>
      <c r="E715" s="3285" t="str">
        <f t="shared" si="11"/>
        <v>南-8-1207</v>
      </c>
      <c r="F715" s="3283" t="s">
        <v>3862</v>
      </c>
      <c r="G715" s="3283" t="s">
        <v>3425</v>
      </c>
      <c r="H715" s="3286"/>
      <c r="I715" s="3287">
        <v>56.18</v>
      </c>
      <c r="J715" s="3286">
        <v>37.28</v>
      </c>
    </row>
    <row r="716" spans="1:10" hidden="1">
      <c r="A716" s="3282">
        <v>715</v>
      </c>
      <c r="B716" s="3283" t="s">
        <v>3154</v>
      </c>
      <c r="C716" s="3283">
        <v>8</v>
      </c>
      <c r="D716" s="3283">
        <v>1208</v>
      </c>
      <c r="E716" s="3285" t="str">
        <f t="shared" si="11"/>
        <v>南-8-1208</v>
      </c>
      <c r="F716" s="3283" t="s">
        <v>3863</v>
      </c>
      <c r="G716" s="3283" t="s">
        <v>3425</v>
      </c>
      <c r="H716" s="3286"/>
      <c r="I716" s="3287">
        <v>71.56</v>
      </c>
      <c r="J716" s="3286">
        <v>47.48</v>
      </c>
    </row>
    <row r="717" spans="1:10" hidden="1">
      <c r="A717" s="3282">
        <v>716</v>
      </c>
      <c r="B717" s="3283" t="s">
        <v>3154</v>
      </c>
      <c r="C717" s="3283">
        <v>8</v>
      </c>
      <c r="D717" s="3283">
        <v>1209</v>
      </c>
      <c r="E717" s="3285" t="str">
        <f t="shared" si="11"/>
        <v>南-8-1209</v>
      </c>
      <c r="F717" s="3283" t="s">
        <v>3864</v>
      </c>
      <c r="G717" s="3283" t="s">
        <v>3425</v>
      </c>
      <c r="H717" s="3286"/>
      <c r="I717" s="3287">
        <v>44.31</v>
      </c>
      <c r="J717" s="3286">
        <v>29.4</v>
      </c>
    </row>
    <row r="718" spans="1:10" hidden="1">
      <c r="A718" s="3282">
        <v>717</v>
      </c>
      <c r="B718" s="3283" t="s">
        <v>3154</v>
      </c>
      <c r="C718" s="3283">
        <v>8</v>
      </c>
      <c r="D718" s="3283">
        <v>1210</v>
      </c>
      <c r="E718" s="3285" t="str">
        <f t="shared" si="11"/>
        <v>南-8-1210</v>
      </c>
      <c r="F718" s="3283" t="s">
        <v>3865</v>
      </c>
      <c r="G718" s="3283" t="s">
        <v>3425</v>
      </c>
      <c r="H718" s="3286"/>
      <c r="I718" s="3287">
        <v>44.31</v>
      </c>
      <c r="J718" s="3286">
        <v>29.4</v>
      </c>
    </row>
    <row r="719" spans="1:10" hidden="1">
      <c r="A719" s="3282">
        <v>718</v>
      </c>
      <c r="B719" s="3283" t="s">
        <v>3154</v>
      </c>
      <c r="C719" s="3283">
        <v>8</v>
      </c>
      <c r="D719" s="3283">
        <v>1211</v>
      </c>
      <c r="E719" s="3285" t="str">
        <f t="shared" si="11"/>
        <v>南-8-1211</v>
      </c>
      <c r="F719" s="3283" t="s">
        <v>3866</v>
      </c>
      <c r="G719" s="3283" t="s">
        <v>3425</v>
      </c>
      <c r="H719" s="3286"/>
      <c r="I719" s="3287">
        <v>44.31</v>
      </c>
      <c r="J719" s="3286">
        <v>29.4</v>
      </c>
    </row>
    <row r="720" spans="1:10" hidden="1">
      <c r="A720" s="3282">
        <v>719</v>
      </c>
      <c r="B720" s="3283" t="s">
        <v>3154</v>
      </c>
      <c r="C720" s="3283">
        <v>8</v>
      </c>
      <c r="D720" s="3283">
        <v>1212</v>
      </c>
      <c r="E720" s="3285" t="str">
        <f t="shared" si="11"/>
        <v>南-8-1212</v>
      </c>
      <c r="F720" s="3283" t="s">
        <v>3867</v>
      </c>
      <c r="G720" s="3283" t="s">
        <v>3425</v>
      </c>
      <c r="H720" s="3286"/>
      <c r="I720" s="3287">
        <v>44.31</v>
      </c>
      <c r="J720" s="3286">
        <v>29.4</v>
      </c>
    </row>
    <row r="721" spans="1:10" hidden="1">
      <c r="A721" s="3282">
        <v>720</v>
      </c>
      <c r="B721" s="3283" t="s">
        <v>3154</v>
      </c>
      <c r="C721" s="3283">
        <v>8</v>
      </c>
      <c r="D721" s="3283">
        <v>1213</v>
      </c>
      <c r="E721" s="3285" t="str">
        <f t="shared" si="11"/>
        <v>南-8-1213</v>
      </c>
      <c r="F721" s="3283" t="s">
        <v>3868</v>
      </c>
      <c r="G721" s="3283" t="s">
        <v>3425</v>
      </c>
      <c r="H721" s="3286"/>
      <c r="I721" s="3287">
        <v>44.31</v>
      </c>
      <c r="J721" s="3286">
        <v>29.4</v>
      </c>
    </row>
    <row r="722" spans="1:10" hidden="1">
      <c r="A722" s="3282">
        <v>721</v>
      </c>
      <c r="B722" s="3283" t="s">
        <v>3154</v>
      </c>
      <c r="C722" s="3283">
        <v>8</v>
      </c>
      <c r="D722" s="3283">
        <v>1214</v>
      </c>
      <c r="E722" s="3285" t="str">
        <f t="shared" si="11"/>
        <v>南-8-1214</v>
      </c>
      <c r="F722" s="3283" t="s">
        <v>3869</v>
      </c>
      <c r="G722" s="3283" t="s">
        <v>3425</v>
      </c>
      <c r="H722" s="3286"/>
      <c r="I722" s="3287">
        <v>44.31</v>
      </c>
      <c r="J722" s="3286">
        <v>29.4</v>
      </c>
    </row>
    <row r="723" spans="1:10" hidden="1">
      <c r="A723" s="3282">
        <v>722</v>
      </c>
      <c r="B723" s="3283" t="s">
        <v>3154</v>
      </c>
      <c r="C723" s="3283">
        <v>8</v>
      </c>
      <c r="D723" s="3283">
        <v>1215</v>
      </c>
      <c r="E723" s="3285" t="str">
        <f t="shared" si="11"/>
        <v>南-8-1215</v>
      </c>
      <c r="F723" s="3283" t="s">
        <v>3870</v>
      </c>
      <c r="G723" s="3283" t="s">
        <v>3425</v>
      </c>
      <c r="H723" s="3286"/>
      <c r="I723" s="3287">
        <v>44.31</v>
      </c>
      <c r="J723" s="3286">
        <v>29.4</v>
      </c>
    </row>
    <row r="724" spans="1:10" hidden="1">
      <c r="A724" s="3282">
        <v>723</v>
      </c>
      <c r="B724" s="3283" t="s">
        <v>3154</v>
      </c>
      <c r="C724" s="3283">
        <v>8</v>
      </c>
      <c r="D724" s="3283">
        <v>1216</v>
      </c>
      <c r="E724" s="3285" t="str">
        <f t="shared" si="11"/>
        <v>南-8-1216</v>
      </c>
      <c r="F724" s="3283" t="s">
        <v>3871</v>
      </c>
      <c r="G724" s="3283" t="s">
        <v>3425</v>
      </c>
      <c r="H724" s="3286"/>
      <c r="I724" s="3287">
        <v>71.45</v>
      </c>
      <c r="J724" s="3286">
        <v>47.41</v>
      </c>
    </row>
    <row r="725" spans="1:10" hidden="1">
      <c r="A725" s="3282">
        <v>724</v>
      </c>
      <c r="B725" s="3283" t="s">
        <v>3154</v>
      </c>
      <c r="C725" s="3283">
        <v>8</v>
      </c>
      <c r="D725" s="3283">
        <v>1217</v>
      </c>
      <c r="E725" s="3285" t="str">
        <f t="shared" si="11"/>
        <v>南-8-1217</v>
      </c>
      <c r="F725" s="3283" t="s">
        <v>3872</v>
      </c>
      <c r="G725" s="3283" t="s">
        <v>3425</v>
      </c>
      <c r="H725" s="3286"/>
      <c r="I725" s="3287">
        <v>56.18</v>
      </c>
      <c r="J725" s="3286">
        <v>37.28</v>
      </c>
    </row>
    <row r="726" spans="1:10" hidden="1">
      <c r="A726" s="3282">
        <v>725</v>
      </c>
      <c r="B726" s="3283" t="s">
        <v>3154</v>
      </c>
      <c r="C726" s="3283">
        <v>8</v>
      </c>
      <c r="D726" s="3283">
        <v>1301</v>
      </c>
      <c r="E726" s="3285" t="str">
        <f t="shared" si="11"/>
        <v>南-8-1301</v>
      </c>
      <c r="F726" s="3283" t="s">
        <v>3873</v>
      </c>
      <c r="G726" s="3283" t="s">
        <v>3425</v>
      </c>
      <c r="H726" s="3286"/>
      <c r="I726" s="3287">
        <v>80.31</v>
      </c>
      <c r="J726" s="3286">
        <v>53.29</v>
      </c>
    </row>
    <row r="727" spans="1:10" hidden="1">
      <c r="A727" s="3282">
        <v>726</v>
      </c>
      <c r="B727" s="3283" t="s">
        <v>3154</v>
      </c>
      <c r="C727" s="3283">
        <v>8</v>
      </c>
      <c r="D727" s="3283">
        <v>1302</v>
      </c>
      <c r="E727" s="3285" t="str">
        <f t="shared" si="11"/>
        <v>南-8-1302</v>
      </c>
      <c r="F727" s="3283" t="s">
        <v>3874</v>
      </c>
      <c r="G727" s="3283" t="s">
        <v>3425</v>
      </c>
      <c r="H727" s="3286"/>
      <c r="I727" s="3287">
        <v>73.11</v>
      </c>
      <c r="J727" s="3286">
        <v>48.51</v>
      </c>
    </row>
    <row r="728" spans="1:10" hidden="1">
      <c r="A728" s="3282">
        <v>727</v>
      </c>
      <c r="B728" s="3283" t="s">
        <v>3154</v>
      </c>
      <c r="C728" s="3283">
        <v>8</v>
      </c>
      <c r="D728" s="3283">
        <v>1303</v>
      </c>
      <c r="E728" s="3285" t="str">
        <f t="shared" si="11"/>
        <v>南-8-1303</v>
      </c>
      <c r="F728" s="3283" t="s">
        <v>3875</v>
      </c>
      <c r="G728" s="3283" t="s">
        <v>3425</v>
      </c>
      <c r="H728" s="3286"/>
      <c r="I728" s="3287">
        <v>73.11</v>
      </c>
      <c r="J728" s="3286">
        <v>48.51</v>
      </c>
    </row>
    <row r="729" spans="1:10" hidden="1">
      <c r="A729" s="3282">
        <v>728</v>
      </c>
      <c r="B729" s="3283" t="s">
        <v>3154</v>
      </c>
      <c r="C729" s="3283">
        <v>8</v>
      </c>
      <c r="D729" s="3283">
        <v>1304</v>
      </c>
      <c r="E729" s="3285" t="str">
        <f t="shared" si="11"/>
        <v>南-8-1304</v>
      </c>
      <c r="F729" s="3283" t="s">
        <v>3876</v>
      </c>
      <c r="G729" s="3283" t="s">
        <v>3425</v>
      </c>
      <c r="H729" s="3286"/>
      <c r="I729" s="3287">
        <v>73.11</v>
      </c>
      <c r="J729" s="3286">
        <v>48.51</v>
      </c>
    </row>
    <row r="730" spans="1:10" hidden="1">
      <c r="A730" s="3282">
        <v>729</v>
      </c>
      <c r="B730" s="3283" t="s">
        <v>3154</v>
      </c>
      <c r="C730" s="3283">
        <v>8</v>
      </c>
      <c r="D730" s="3283">
        <v>1305</v>
      </c>
      <c r="E730" s="3285" t="str">
        <f t="shared" si="11"/>
        <v>南-8-1305</v>
      </c>
      <c r="F730" s="3283" t="s">
        <v>3877</v>
      </c>
      <c r="G730" s="3283" t="s">
        <v>3425</v>
      </c>
      <c r="H730" s="3286"/>
      <c r="I730" s="3287">
        <v>73.11</v>
      </c>
      <c r="J730" s="3286">
        <v>48.51</v>
      </c>
    </row>
    <row r="731" spans="1:10" hidden="1">
      <c r="A731" s="3282">
        <v>730</v>
      </c>
      <c r="B731" s="3283" t="s">
        <v>3154</v>
      </c>
      <c r="C731" s="3283">
        <v>8</v>
      </c>
      <c r="D731" s="3283">
        <v>1306</v>
      </c>
      <c r="E731" s="3285" t="str">
        <f t="shared" si="11"/>
        <v>南-8-1306</v>
      </c>
      <c r="F731" s="3283" t="s">
        <v>3878</v>
      </c>
      <c r="G731" s="3283" t="s">
        <v>3425</v>
      </c>
      <c r="H731" s="3286"/>
      <c r="I731" s="3287">
        <v>80.42</v>
      </c>
      <c r="J731" s="3286">
        <v>53.36</v>
      </c>
    </row>
    <row r="732" spans="1:10" hidden="1">
      <c r="A732" s="3282">
        <v>731</v>
      </c>
      <c r="B732" s="3283" t="s">
        <v>3154</v>
      </c>
      <c r="C732" s="3283">
        <v>8</v>
      </c>
      <c r="D732" s="3283">
        <v>1307</v>
      </c>
      <c r="E732" s="3285" t="str">
        <f t="shared" si="11"/>
        <v>南-8-1307</v>
      </c>
      <c r="F732" s="3283" t="s">
        <v>3879</v>
      </c>
      <c r="G732" s="3283" t="s">
        <v>3425</v>
      </c>
      <c r="H732" s="3286"/>
      <c r="I732" s="3287">
        <v>56.18</v>
      </c>
      <c r="J732" s="3286">
        <v>37.28</v>
      </c>
    </row>
    <row r="733" spans="1:10" hidden="1">
      <c r="A733" s="3282">
        <v>732</v>
      </c>
      <c r="B733" s="3283" t="s">
        <v>3154</v>
      </c>
      <c r="C733" s="3283">
        <v>8</v>
      </c>
      <c r="D733" s="3283">
        <v>1308</v>
      </c>
      <c r="E733" s="3285" t="str">
        <f t="shared" si="11"/>
        <v>南-8-1308</v>
      </c>
      <c r="F733" s="3283" t="s">
        <v>3880</v>
      </c>
      <c r="G733" s="3283" t="s">
        <v>3425</v>
      </c>
      <c r="H733" s="3286"/>
      <c r="I733" s="3287">
        <v>71.45</v>
      </c>
      <c r="J733" s="3286">
        <v>47.41</v>
      </c>
    </row>
    <row r="734" spans="1:10" hidden="1">
      <c r="A734" s="3282">
        <v>733</v>
      </c>
      <c r="B734" s="3283" t="s">
        <v>3154</v>
      </c>
      <c r="C734" s="3283">
        <v>8</v>
      </c>
      <c r="D734" s="3283">
        <v>1309</v>
      </c>
      <c r="E734" s="3285" t="str">
        <f t="shared" si="11"/>
        <v>南-8-1309</v>
      </c>
      <c r="F734" s="3283" t="s">
        <v>3881</v>
      </c>
      <c r="G734" s="3283" t="s">
        <v>3425</v>
      </c>
      <c r="H734" s="3286"/>
      <c r="I734" s="3287">
        <v>44.31</v>
      </c>
      <c r="J734" s="3286">
        <v>29.4</v>
      </c>
    </row>
    <row r="735" spans="1:10" hidden="1">
      <c r="A735" s="3282">
        <v>734</v>
      </c>
      <c r="B735" s="3283" t="s">
        <v>3154</v>
      </c>
      <c r="C735" s="3283">
        <v>8</v>
      </c>
      <c r="D735" s="3283">
        <v>1310</v>
      </c>
      <c r="E735" s="3285" t="str">
        <f t="shared" si="11"/>
        <v>南-8-1310</v>
      </c>
      <c r="F735" s="3283" t="s">
        <v>3882</v>
      </c>
      <c r="G735" s="3283" t="s">
        <v>3425</v>
      </c>
      <c r="H735" s="3286"/>
      <c r="I735" s="3287">
        <v>44.31</v>
      </c>
      <c r="J735" s="3286">
        <v>29.4</v>
      </c>
    </row>
    <row r="736" spans="1:10" hidden="1">
      <c r="A736" s="3282">
        <v>735</v>
      </c>
      <c r="B736" s="3283" t="s">
        <v>3154</v>
      </c>
      <c r="C736" s="3283">
        <v>8</v>
      </c>
      <c r="D736" s="3283">
        <v>1311</v>
      </c>
      <c r="E736" s="3285" t="str">
        <f t="shared" si="11"/>
        <v>南-8-1311</v>
      </c>
      <c r="F736" s="3283" t="s">
        <v>3883</v>
      </c>
      <c r="G736" s="3283" t="s">
        <v>3425</v>
      </c>
      <c r="H736" s="3286"/>
      <c r="I736" s="3287">
        <v>44.31</v>
      </c>
      <c r="J736" s="3286">
        <v>29.4</v>
      </c>
    </row>
    <row r="737" spans="1:10" hidden="1">
      <c r="A737" s="3282">
        <v>736</v>
      </c>
      <c r="B737" s="3283" t="s">
        <v>3154</v>
      </c>
      <c r="C737" s="3283">
        <v>8</v>
      </c>
      <c r="D737" s="3283">
        <v>1312</v>
      </c>
      <c r="E737" s="3285" t="str">
        <f t="shared" si="11"/>
        <v>南-8-1312</v>
      </c>
      <c r="F737" s="3283" t="s">
        <v>3884</v>
      </c>
      <c r="G737" s="3283" t="s">
        <v>3425</v>
      </c>
      <c r="H737" s="3286"/>
      <c r="I737" s="3287">
        <v>44.31</v>
      </c>
      <c r="J737" s="3286">
        <v>29.4</v>
      </c>
    </row>
    <row r="738" spans="1:10" hidden="1">
      <c r="A738" s="3282">
        <v>737</v>
      </c>
      <c r="B738" s="3283" t="s">
        <v>3154</v>
      </c>
      <c r="C738" s="3283">
        <v>8</v>
      </c>
      <c r="D738" s="3283">
        <v>1313</v>
      </c>
      <c r="E738" s="3285" t="str">
        <f t="shared" si="11"/>
        <v>南-8-1313</v>
      </c>
      <c r="F738" s="3283" t="s">
        <v>3885</v>
      </c>
      <c r="G738" s="3283" t="s">
        <v>3425</v>
      </c>
      <c r="H738" s="3286"/>
      <c r="I738" s="3287">
        <v>44.31</v>
      </c>
      <c r="J738" s="3286">
        <v>29.4</v>
      </c>
    </row>
    <row r="739" spans="1:10" hidden="1">
      <c r="A739" s="3282">
        <v>738</v>
      </c>
      <c r="B739" s="3283" t="s">
        <v>3154</v>
      </c>
      <c r="C739" s="3283">
        <v>8</v>
      </c>
      <c r="D739" s="3283">
        <v>1314</v>
      </c>
      <c r="E739" s="3285" t="str">
        <f t="shared" si="11"/>
        <v>南-8-1314</v>
      </c>
      <c r="F739" s="3283" t="s">
        <v>3886</v>
      </c>
      <c r="G739" s="3283" t="s">
        <v>3425</v>
      </c>
      <c r="H739" s="3286"/>
      <c r="I739" s="3287">
        <v>44.31</v>
      </c>
      <c r="J739" s="3286">
        <v>29.4</v>
      </c>
    </row>
    <row r="740" spans="1:10" hidden="1">
      <c r="A740" s="3282">
        <v>739</v>
      </c>
      <c r="B740" s="3283" t="s">
        <v>3154</v>
      </c>
      <c r="C740" s="3283">
        <v>8</v>
      </c>
      <c r="D740" s="3283">
        <v>1315</v>
      </c>
      <c r="E740" s="3285" t="str">
        <f t="shared" si="11"/>
        <v>南-8-1315</v>
      </c>
      <c r="F740" s="3283" t="s">
        <v>3887</v>
      </c>
      <c r="G740" s="3283" t="s">
        <v>3425</v>
      </c>
      <c r="H740" s="3286"/>
      <c r="I740" s="3287">
        <v>44.31</v>
      </c>
      <c r="J740" s="3286">
        <v>29.4</v>
      </c>
    </row>
    <row r="741" spans="1:10" hidden="1">
      <c r="A741" s="3282">
        <v>740</v>
      </c>
      <c r="B741" s="3283" t="s">
        <v>3154</v>
      </c>
      <c r="C741" s="3283">
        <v>8</v>
      </c>
      <c r="D741" s="3283">
        <v>1316</v>
      </c>
      <c r="E741" s="3285" t="str">
        <f t="shared" si="11"/>
        <v>南-8-1316</v>
      </c>
      <c r="F741" s="3283" t="s">
        <v>3888</v>
      </c>
      <c r="G741" s="3283" t="s">
        <v>3425</v>
      </c>
      <c r="H741" s="3286"/>
      <c r="I741" s="3287">
        <v>71.56</v>
      </c>
      <c r="J741" s="3286">
        <v>47.48</v>
      </c>
    </row>
    <row r="742" spans="1:10" hidden="1">
      <c r="A742" s="3282">
        <v>741</v>
      </c>
      <c r="B742" s="3283" t="s">
        <v>3154</v>
      </c>
      <c r="C742" s="3283">
        <v>8</v>
      </c>
      <c r="D742" s="3283">
        <v>1317</v>
      </c>
      <c r="E742" s="3285" t="str">
        <f t="shared" si="11"/>
        <v>南-8-1317</v>
      </c>
      <c r="F742" s="3283" t="s">
        <v>3889</v>
      </c>
      <c r="G742" s="3283" t="s">
        <v>3425</v>
      </c>
      <c r="H742" s="3286"/>
      <c r="I742" s="3287">
        <v>56.18</v>
      </c>
      <c r="J742" s="3286">
        <v>37.28</v>
      </c>
    </row>
    <row r="743" spans="1:10" hidden="1">
      <c r="A743" s="3282">
        <v>742</v>
      </c>
      <c r="B743" s="3283" t="s">
        <v>3154</v>
      </c>
      <c r="C743" s="3283">
        <v>8</v>
      </c>
      <c r="D743" s="3283">
        <v>1401</v>
      </c>
      <c r="E743" s="3285" t="str">
        <f t="shared" si="11"/>
        <v>南-8-1401</v>
      </c>
      <c r="F743" s="3283" t="s">
        <v>3890</v>
      </c>
      <c r="G743" s="3283" t="s">
        <v>3425</v>
      </c>
      <c r="H743" s="3286"/>
      <c r="I743" s="3287">
        <v>80.42</v>
      </c>
      <c r="J743" s="3286">
        <v>53.36</v>
      </c>
    </row>
    <row r="744" spans="1:10" hidden="1">
      <c r="A744" s="3282">
        <v>743</v>
      </c>
      <c r="B744" s="3283" t="s">
        <v>3154</v>
      </c>
      <c r="C744" s="3283">
        <v>8</v>
      </c>
      <c r="D744" s="3283">
        <v>1402</v>
      </c>
      <c r="E744" s="3285" t="str">
        <f t="shared" si="11"/>
        <v>南-8-1402</v>
      </c>
      <c r="F744" s="3283" t="s">
        <v>3891</v>
      </c>
      <c r="G744" s="3283" t="s">
        <v>3425</v>
      </c>
      <c r="H744" s="3286"/>
      <c r="I744" s="3287">
        <v>73.11</v>
      </c>
      <c r="J744" s="3286">
        <v>48.51</v>
      </c>
    </row>
    <row r="745" spans="1:10" hidden="1">
      <c r="A745" s="3282">
        <v>744</v>
      </c>
      <c r="B745" s="3283" t="s">
        <v>3154</v>
      </c>
      <c r="C745" s="3283">
        <v>8</v>
      </c>
      <c r="D745" s="3283">
        <v>1403</v>
      </c>
      <c r="E745" s="3285" t="str">
        <f t="shared" si="11"/>
        <v>南-8-1403</v>
      </c>
      <c r="F745" s="3283" t="s">
        <v>3892</v>
      </c>
      <c r="G745" s="3283" t="s">
        <v>3425</v>
      </c>
      <c r="H745" s="3286"/>
      <c r="I745" s="3287">
        <v>73.11</v>
      </c>
      <c r="J745" s="3286">
        <v>48.51</v>
      </c>
    </row>
    <row r="746" spans="1:10" hidden="1">
      <c r="A746" s="3282">
        <v>745</v>
      </c>
      <c r="B746" s="3283" t="s">
        <v>3154</v>
      </c>
      <c r="C746" s="3283">
        <v>8</v>
      </c>
      <c r="D746" s="3283">
        <v>1404</v>
      </c>
      <c r="E746" s="3285" t="str">
        <f t="shared" si="11"/>
        <v>南-8-1404</v>
      </c>
      <c r="F746" s="3283" t="s">
        <v>3893</v>
      </c>
      <c r="G746" s="3283" t="s">
        <v>3425</v>
      </c>
      <c r="H746" s="3286"/>
      <c r="I746" s="3287">
        <v>73.11</v>
      </c>
      <c r="J746" s="3286">
        <v>48.51</v>
      </c>
    </row>
    <row r="747" spans="1:10" hidden="1">
      <c r="A747" s="3282">
        <v>746</v>
      </c>
      <c r="B747" s="3283" t="s">
        <v>3154</v>
      </c>
      <c r="C747" s="3283">
        <v>8</v>
      </c>
      <c r="D747" s="3283">
        <v>1405</v>
      </c>
      <c r="E747" s="3285" t="str">
        <f t="shared" si="11"/>
        <v>南-8-1405</v>
      </c>
      <c r="F747" s="3283" t="s">
        <v>3894</v>
      </c>
      <c r="G747" s="3283" t="s">
        <v>3425</v>
      </c>
      <c r="H747" s="3286"/>
      <c r="I747" s="3287">
        <v>73.11</v>
      </c>
      <c r="J747" s="3286">
        <v>48.51</v>
      </c>
    </row>
    <row r="748" spans="1:10" hidden="1">
      <c r="A748" s="3282">
        <v>747</v>
      </c>
      <c r="B748" s="3283" t="s">
        <v>3154</v>
      </c>
      <c r="C748" s="3283">
        <v>8</v>
      </c>
      <c r="D748" s="3283">
        <v>1406</v>
      </c>
      <c r="E748" s="3285" t="str">
        <f t="shared" si="11"/>
        <v>南-8-1406</v>
      </c>
      <c r="F748" s="3283" t="s">
        <v>3895</v>
      </c>
      <c r="G748" s="3283" t="s">
        <v>3425</v>
      </c>
      <c r="H748" s="3286"/>
      <c r="I748" s="3287">
        <v>80.31</v>
      </c>
      <c r="J748" s="3286">
        <v>53.29</v>
      </c>
    </row>
    <row r="749" spans="1:10" hidden="1">
      <c r="A749" s="3282">
        <v>748</v>
      </c>
      <c r="B749" s="3283" t="s">
        <v>3154</v>
      </c>
      <c r="C749" s="3283">
        <v>8</v>
      </c>
      <c r="D749" s="3283">
        <v>1407</v>
      </c>
      <c r="E749" s="3285" t="str">
        <f t="shared" si="11"/>
        <v>南-8-1407</v>
      </c>
      <c r="F749" s="3283" t="s">
        <v>3896</v>
      </c>
      <c r="G749" s="3283" t="s">
        <v>3425</v>
      </c>
      <c r="H749" s="3286"/>
      <c r="I749" s="3287">
        <v>56.18</v>
      </c>
      <c r="J749" s="3286">
        <v>37.28</v>
      </c>
    </row>
    <row r="750" spans="1:10" hidden="1">
      <c r="A750" s="3282">
        <v>749</v>
      </c>
      <c r="B750" s="3283" t="s">
        <v>3154</v>
      </c>
      <c r="C750" s="3283">
        <v>8</v>
      </c>
      <c r="D750" s="3283">
        <v>1408</v>
      </c>
      <c r="E750" s="3285" t="str">
        <f t="shared" si="11"/>
        <v>南-8-1408</v>
      </c>
      <c r="F750" s="3283" t="s">
        <v>3897</v>
      </c>
      <c r="G750" s="3283" t="s">
        <v>3425</v>
      </c>
      <c r="H750" s="3286"/>
      <c r="I750" s="3287">
        <v>71.56</v>
      </c>
      <c r="J750" s="3286">
        <v>47.48</v>
      </c>
    </row>
    <row r="751" spans="1:10" hidden="1">
      <c r="A751" s="3282">
        <v>750</v>
      </c>
      <c r="B751" s="3283" t="s">
        <v>3154</v>
      </c>
      <c r="C751" s="3283">
        <v>8</v>
      </c>
      <c r="D751" s="3283">
        <v>1409</v>
      </c>
      <c r="E751" s="3285" t="str">
        <f t="shared" si="11"/>
        <v>南-8-1409</v>
      </c>
      <c r="F751" s="3283" t="s">
        <v>3898</v>
      </c>
      <c r="G751" s="3283" t="s">
        <v>3425</v>
      </c>
      <c r="H751" s="3286"/>
      <c r="I751" s="3287">
        <v>44.31</v>
      </c>
      <c r="J751" s="3286">
        <v>29.4</v>
      </c>
    </row>
    <row r="752" spans="1:10" hidden="1">
      <c r="A752" s="3282">
        <v>751</v>
      </c>
      <c r="B752" s="3283" t="s">
        <v>3154</v>
      </c>
      <c r="C752" s="3283">
        <v>8</v>
      </c>
      <c r="D752" s="3283">
        <v>1410</v>
      </c>
      <c r="E752" s="3285" t="str">
        <f t="shared" si="11"/>
        <v>南-8-1410</v>
      </c>
      <c r="F752" s="3283" t="s">
        <v>3899</v>
      </c>
      <c r="G752" s="3283" t="s">
        <v>3425</v>
      </c>
      <c r="H752" s="3286"/>
      <c r="I752" s="3287">
        <v>44.31</v>
      </c>
      <c r="J752" s="3286">
        <v>29.4</v>
      </c>
    </row>
    <row r="753" spans="1:10" hidden="1">
      <c r="A753" s="3282">
        <v>752</v>
      </c>
      <c r="B753" s="3283" t="s">
        <v>3154</v>
      </c>
      <c r="C753" s="3283">
        <v>8</v>
      </c>
      <c r="D753" s="3283">
        <v>1411</v>
      </c>
      <c r="E753" s="3285" t="str">
        <f t="shared" si="11"/>
        <v>南-8-1411</v>
      </c>
      <c r="F753" s="3283" t="s">
        <v>3900</v>
      </c>
      <c r="G753" s="3283" t="s">
        <v>3425</v>
      </c>
      <c r="H753" s="3286"/>
      <c r="I753" s="3287">
        <v>44.31</v>
      </c>
      <c r="J753" s="3286">
        <v>29.4</v>
      </c>
    </row>
    <row r="754" spans="1:10" hidden="1">
      <c r="A754" s="3282">
        <v>753</v>
      </c>
      <c r="B754" s="3283" t="s">
        <v>3154</v>
      </c>
      <c r="C754" s="3283">
        <v>8</v>
      </c>
      <c r="D754" s="3283">
        <v>1412</v>
      </c>
      <c r="E754" s="3285" t="str">
        <f t="shared" si="11"/>
        <v>南-8-1412</v>
      </c>
      <c r="F754" s="3283" t="s">
        <v>3901</v>
      </c>
      <c r="G754" s="3283" t="s">
        <v>3425</v>
      </c>
      <c r="H754" s="3286"/>
      <c r="I754" s="3287">
        <v>44.31</v>
      </c>
      <c r="J754" s="3286">
        <v>29.4</v>
      </c>
    </row>
    <row r="755" spans="1:10" hidden="1">
      <c r="A755" s="3282">
        <v>754</v>
      </c>
      <c r="B755" s="3283" t="s">
        <v>3154</v>
      </c>
      <c r="C755" s="3283">
        <v>8</v>
      </c>
      <c r="D755" s="3283">
        <v>1413</v>
      </c>
      <c r="E755" s="3285" t="str">
        <f t="shared" si="11"/>
        <v>南-8-1413</v>
      </c>
      <c r="F755" s="3283" t="s">
        <v>3902</v>
      </c>
      <c r="G755" s="3283" t="s">
        <v>3425</v>
      </c>
      <c r="H755" s="3286"/>
      <c r="I755" s="3287">
        <v>44.31</v>
      </c>
      <c r="J755" s="3286">
        <v>29.4</v>
      </c>
    </row>
    <row r="756" spans="1:10" hidden="1">
      <c r="A756" s="3282">
        <v>755</v>
      </c>
      <c r="B756" s="3283" t="s">
        <v>3154</v>
      </c>
      <c r="C756" s="3283">
        <v>8</v>
      </c>
      <c r="D756" s="3283">
        <v>1414</v>
      </c>
      <c r="E756" s="3285" t="str">
        <f t="shared" si="11"/>
        <v>南-8-1414</v>
      </c>
      <c r="F756" s="3283" t="s">
        <v>3903</v>
      </c>
      <c r="G756" s="3283" t="s">
        <v>3425</v>
      </c>
      <c r="H756" s="3286"/>
      <c r="I756" s="3287">
        <v>44.31</v>
      </c>
      <c r="J756" s="3286">
        <v>29.4</v>
      </c>
    </row>
    <row r="757" spans="1:10" hidden="1">
      <c r="A757" s="3282">
        <v>756</v>
      </c>
      <c r="B757" s="3283" t="s">
        <v>3154</v>
      </c>
      <c r="C757" s="3283">
        <v>8</v>
      </c>
      <c r="D757" s="3283">
        <v>1415</v>
      </c>
      <c r="E757" s="3285" t="str">
        <f t="shared" si="11"/>
        <v>南-8-1415</v>
      </c>
      <c r="F757" s="3283" t="s">
        <v>3904</v>
      </c>
      <c r="G757" s="3283" t="s">
        <v>3905</v>
      </c>
      <c r="H757" s="3286"/>
      <c r="I757" s="3287">
        <v>44.31</v>
      </c>
      <c r="J757" s="3286">
        <v>29.4</v>
      </c>
    </row>
    <row r="758" spans="1:10" hidden="1">
      <c r="A758" s="3282">
        <v>757</v>
      </c>
      <c r="B758" s="3283" t="s">
        <v>3906</v>
      </c>
      <c r="C758" s="3283">
        <v>8</v>
      </c>
      <c r="D758" s="3283">
        <v>1416</v>
      </c>
      <c r="E758" s="3285" t="str">
        <f t="shared" si="11"/>
        <v>南-8-1416</v>
      </c>
      <c r="F758" s="3283" t="s">
        <v>3907</v>
      </c>
      <c r="G758" s="3283" t="s">
        <v>3905</v>
      </c>
      <c r="H758" s="3286"/>
      <c r="I758" s="3287">
        <v>71.45</v>
      </c>
      <c r="J758" s="3286">
        <v>47.41</v>
      </c>
    </row>
    <row r="759" spans="1:10" hidden="1">
      <c r="A759" s="3282">
        <v>758</v>
      </c>
      <c r="B759" s="3283" t="s">
        <v>3906</v>
      </c>
      <c r="C759" s="3283">
        <v>8</v>
      </c>
      <c r="D759" s="3283">
        <v>1417</v>
      </c>
      <c r="E759" s="3285" t="str">
        <f t="shared" si="11"/>
        <v>南-8-1417</v>
      </c>
      <c r="F759" s="3283" t="s">
        <v>3908</v>
      </c>
      <c r="G759" s="3283" t="s">
        <v>3905</v>
      </c>
      <c r="H759" s="3286"/>
      <c r="I759" s="3287">
        <v>56.18</v>
      </c>
      <c r="J759" s="3286">
        <v>37.28</v>
      </c>
    </row>
    <row r="760" spans="1:10" hidden="1">
      <c r="A760" s="3282">
        <v>759</v>
      </c>
      <c r="B760" s="3283" t="s">
        <v>3906</v>
      </c>
      <c r="C760" s="3283">
        <v>8</v>
      </c>
      <c r="D760" s="3283">
        <v>1501</v>
      </c>
      <c r="E760" s="3285" t="str">
        <f t="shared" si="11"/>
        <v>南-8-1501</v>
      </c>
      <c r="F760" s="3283" t="s">
        <v>3909</v>
      </c>
      <c r="G760" s="3283" t="s">
        <v>3905</v>
      </c>
      <c r="H760" s="3286"/>
      <c r="I760" s="3287">
        <v>80.31</v>
      </c>
      <c r="J760" s="3286">
        <v>53.29</v>
      </c>
    </row>
    <row r="761" spans="1:10" hidden="1">
      <c r="A761" s="3282">
        <v>760</v>
      </c>
      <c r="B761" s="3283" t="s">
        <v>3906</v>
      </c>
      <c r="C761" s="3283">
        <v>8</v>
      </c>
      <c r="D761" s="3283">
        <v>1502</v>
      </c>
      <c r="E761" s="3285" t="str">
        <f t="shared" si="11"/>
        <v>南-8-1502</v>
      </c>
      <c r="F761" s="3283" t="s">
        <v>3910</v>
      </c>
      <c r="G761" s="3283" t="s">
        <v>3905</v>
      </c>
      <c r="H761" s="3286"/>
      <c r="I761" s="3287">
        <v>73.11</v>
      </c>
      <c r="J761" s="3286">
        <v>48.51</v>
      </c>
    </row>
    <row r="762" spans="1:10" hidden="1">
      <c r="A762" s="3282">
        <v>761</v>
      </c>
      <c r="B762" s="3283" t="s">
        <v>3906</v>
      </c>
      <c r="C762" s="3283">
        <v>8</v>
      </c>
      <c r="D762" s="3283">
        <v>1503</v>
      </c>
      <c r="E762" s="3285" t="str">
        <f t="shared" si="11"/>
        <v>南-8-1503</v>
      </c>
      <c r="F762" s="3283" t="s">
        <v>3911</v>
      </c>
      <c r="G762" s="3283" t="s">
        <v>3905</v>
      </c>
      <c r="H762" s="3286"/>
      <c r="I762" s="3287">
        <v>73.11</v>
      </c>
      <c r="J762" s="3286">
        <v>48.51</v>
      </c>
    </row>
    <row r="763" spans="1:10" hidden="1">
      <c r="A763" s="3282">
        <v>762</v>
      </c>
      <c r="B763" s="3283" t="s">
        <v>3906</v>
      </c>
      <c r="C763" s="3283">
        <v>8</v>
      </c>
      <c r="D763" s="3283">
        <v>1504</v>
      </c>
      <c r="E763" s="3285" t="str">
        <f t="shared" si="11"/>
        <v>南-8-1504</v>
      </c>
      <c r="F763" s="3283" t="s">
        <v>3912</v>
      </c>
      <c r="G763" s="3283" t="s">
        <v>3905</v>
      </c>
      <c r="H763" s="3286"/>
      <c r="I763" s="3287">
        <v>73.11</v>
      </c>
      <c r="J763" s="3286">
        <v>48.51</v>
      </c>
    </row>
    <row r="764" spans="1:10" hidden="1">
      <c r="A764" s="3282">
        <v>763</v>
      </c>
      <c r="B764" s="3283" t="s">
        <v>3906</v>
      </c>
      <c r="C764" s="3283">
        <v>8</v>
      </c>
      <c r="D764" s="3283">
        <v>1505</v>
      </c>
      <c r="E764" s="3285" t="str">
        <f t="shared" si="11"/>
        <v>南-8-1505</v>
      </c>
      <c r="F764" s="3283" t="s">
        <v>3913</v>
      </c>
      <c r="G764" s="3283" t="s">
        <v>3905</v>
      </c>
      <c r="H764" s="3286"/>
      <c r="I764" s="3287">
        <v>73.11</v>
      </c>
      <c r="J764" s="3286">
        <v>48.51</v>
      </c>
    </row>
    <row r="765" spans="1:10" hidden="1">
      <c r="A765" s="3282">
        <v>764</v>
      </c>
      <c r="B765" s="3283" t="s">
        <v>3906</v>
      </c>
      <c r="C765" s="3283">
        <v>8</v>
      </c>
      <c r="D765" s="3283">
        <v>1506</v>
      </c>
      <c r="E765" s="3285" t="str">
        <f t="shared" si="11"/>
        <v>南-8-1506</v>
      </c>
      <c r="F765" s="3283" t="s">
        <v>3914</v>
      </c>
      <c r="G765" s="3283" t="s">
        <v>3905</v>
      </c>
      <c r="H765" s="3286"/>
      <c r="I765" s="3287">
        <v>80.42</v>
      </c>
      <c r="J765" s="3286">
        <v>53.36</v>
      </c>
    </row>
    <row r="766" spans="1:10" hidden="1">
      <c r="A766" s="3282">
        <v>765</v>
      </c>
      <c r="B766" s="3283" t="s">
        <v>3906</v>
      </c>
      <c r="C766" s="3283">
        <v>8</v>
      </c>
      <c r="D766" s="3283">
        <v>1507</v>
      </c>
      <c r="E766" s="3285" t="str">
        <f t="shared" si="11"/>
        <v>南-8-1507</v>
      </c>
      <c r="F766" s="3283" t="s">
        <v>3915</v>
      </c>
      <c r="G766" s="3283" t="s">
        <v>3905</v>
      </c>
      <c r="H766" s="3286"/>
      <c r="I766" s="3287">
        <v>56.18</v>
      </c>
      <c r="J766" s="3286">
        <v>37.28</v>
      </c>
    </row>
    <row r="767" spans="1:10" hidden="1">
      <c r="A767" s="3282">
        <v>766</v>
      </c>
      <c r="B767" s="3283" t="s">
        <v>3906</v>
      </c>
      <c r="C767" s="3283">
        <v>8</v>
      </c>
      <c r="D767" s="3283">
        <v>1508</v>
      </c>
      <c r="E767" s="3285" t="str">
        <f t="shared" si="11"/>
        <v>南-8-1508</v>
      </c>
      <c r="F767" s="3283" t="s">
        <v>3916</v>
      </c>
      <c r="G767" s="3283" t="s">
        <v>3905</v>
      </c>
      <c r="H767" s="3286"/>
      <c r="I767" s="3287">
        <v>71.45</v>
      </c>
      <c r="J767" s="3286">
        <v>47.41</v>
      </c>
    </row>
    <row r="768" spans="1:10" hidden="1">
      <c r="A768" s="3282">
        <v>767</v>
      </c>
      <c r="B768" s="3283" t="s">
        <v>3906</v>
      </c>
      <c r="C768" s="3283">
        <v>8</v>
      </c>
      <c r="D768" s="3283">
        <v>1509</v>
      </c>
      <c r="E768" s="3285" t="str">
        <f t="shared" si="11"/>
        <v>南-8-1509</v>
      </c>
      <c r="F768" s="3283" t="s">
        <v>3917</v>
      </c>
      <c r="G768" s="3283" t="s">
        <v>3905</v>
      </c>
      <c r="H768" s="3286"/>
      <c r="I768" s="3287">
        <v>44.31</v>
      </c>
      <c r="J768" s="3286">
        <v>29.4</v>
      </c>
    </row>
    <row r="769" spans="1:10" hidden="1">
      <c r="A769" s="3282">
        <v>768</v>
      </c>
      <c r="B769" s="3283" t="s">
        <v>3906</v>
      </c>
      <c r="C769" s="3283">
        <v>8</v>
      </c>
      <c r="D769" s="3283">
        <v>1510</v>
      </c>
      <c r="E769" s="3285" t="str">
        <f t="shared" si="11"/>
        <v>南-8-1510</v>
      </c>
      <c r="F769" s="3283" t="s">
        <v>3918</v>
      </c>
      <c r="G769" s="3283" t="s">
        <v>3905</v>
      </c>
      <c r="H769" s="3286"/>
      <c r="I769" s="3287">
        <v>44.31</v>
      </c>
      <c r="J769" s="3286">
        <v>29.4</v>
      </c>
    </row>
    <row r="770" spans="1:10" hidden="1">
      <c r="A770" s="3282">
        <v>769</v>
      </c>
      <c r="B770" s="3283" t="s">
        <v>3906</v>
      </c>
      <c r="C770" s="3283">
        <v>8</v>
      </c>
      <c r="D770" s="3283">
        <v>1511</v>
      </c>
      <c r="E770" s="3285" t="str">
        <f t="shared" si="11"/>
        <v>南-8-1511</v>
      </c>
      <c r="F770" s="3283" t="s">
        <v>3919</v>
      </c>
      <c r="G770" s="3283" t="s">
        <v>3420</v>
      </c>
      <c r="H770" s="3286"/>
      <c r="I770" s="3287">
        <v>44.31</v>
      </c>
      <c r="J770" s="3286">
        <v>29.4</v>
      </c>
    </row>
    <row r="771" spans="1:10" hidden="1">
      <c r="A771" s="3282">
        <v>770</v>
      </c>
      <c r="B771" s="3283" t="s">
        <v>3177</v>
      </c>
      <c r="C771" s="3283">
        <v>8</v>
      </c>
      <c r="D771" s="3283">
        <v>1512</v>
      </c>
      <c r="E771" s="3285" t="str">
        <f t="shared" ref="E771:E810" si="12">B771&amp;-C771&amp;"-"&amp;D771</f>
        <v>南-8-1512</v>
      </c>
      <c r="F771" s="3283" t="s">
        <v>3920</v>
      </c>
      <c r="G771" s="3283" t="s">
        <v>3420</v>
      </c>
      <c r="H771" s="3286"/>
      <c r="I771" s="3287">
        <v>44.31</v>
      </c>
      <c r="J771" s="3286">
        <v>29.4</v>
      </c>
    </row>
    <row r="772" spans="1:10" hidden="1">
      <c r="A772" s="3282">
        <v>771</v>
      </c>
      <c r="B772" s="3283" t="s">
        <v>3177</v>
      </c>
      <c r="C772" s="3283">
        <v>8</v>
      </c>
      <c r="D772" s="3283">
        <v>1513</v>
      </c>
      <c r="E772" s="3285" t="str">
        <f t="shared" si="12"/>
        <v>南-8-1513</v>
      </c>
      <c r="F772" s="3283" t="s">
        <v>3921</v>
      </c>
      <c r="G772" s="3283" t="s">
        <v>3420</v>
      </c>
      <c r="H772" s="3286"/>
      <c r="I772" s="3287">
        <v>44.31</v>
      </c>
      <c r="J772" s="3286">
        <v>29.4</v>
      </c>
    </row>
    <row r="773" spans="1:10" hidden="1">
      <c r="A773" s="3282">
        <v>772</v>
      </c>
      <c r="B773" s="3283" t="s">
        <v>3177</v>
      </c>
      <c r="C773" s="3283">
        <v>8</v>
      </c>
      <c r="D773" s="3283">
        <v>1514</v>
      </c>
      <c r="E773" s="3285" t="str">
        <f t="shared" si="12"/>
        <v>南-8-1514</v>
      </c>
      <c r="F773" s="3283" t="s">
        <v>3922</v>
      </c>
      <c r="G773" s="3283" t="s">
        <v>3420</v>
      </c>
      <c r="H773" s="3286"/>
      <c r="I773" s="3287">
        <v>44.31</v>
      </c>
      <c r="J773" s="3286">
        <v>29.4</v>
      </c>
    </row>
    <row r="774" spans="1:10" hidden="1">
      <c r="A774" s="3282">
        <v>773</v>
      </c>
      <c r="B774" s="3283" t="s">
        <v>3177</v>
      </c>
      <c r="C774" s="3283">
        <v>8</v>
      </c>
      <c r="D774" s="3283">
        <v>1515</v>
      </c>
      <c r="E774" s="3285" t="str">
        <f t="shared" si="12"/>
        <v>南-8-1515</v>
      </c>
      <c r="F774" s="3283" t="s">
        <v>3923</v>
      </c>
      <c r="G774" s="3283" t="s">
        <v>3425</v>
      </c>
      <c r="H774" s="3286"/>
      <c r="I774" s="3287">
        <v>44.31</v>
      </c>
      <c r="J774" s="3286">
        <v>29.4</v>
      </c>
    </row>
    <row r="775" spans="1:10" hidden="1">
      <c r="A775" s="3282">
        <v>774</v>
      </c>
      <c r="B775" s="3283" t="s">
        <v>3154</v>
      </c>
      <c r="C775" s="3283">
        <v>8</v>
      </c>
      <c r="D775" s="3283">
        <v>1516</v>
      </c>
      <c r="E775" s="3285" t="str">
        <f t="shared" si="12"/>
        <v>南-8-1516</v>
      </c>
      <c r="F775" s="3283" t="s">
        <v>3924</v>
      </c>
      <c r="G775" s="3283" t="s">
        <v>3425</v>
      </c>
      <c r="H775" s="3286"/>
      <c r="I775" s="3287">
        <v>71.56</v>
      </c>
      <c r="J775" s="3286">
        <v>47.48</v>
      </c>
    </row>
    <row r="776" spans="1:10" hidden="1">
      <c r="A776" s="3282">
        <v>775</v>
      </c>
      <c r="B776" s="3283" t="s">
        <v>3154</v>
      </c>
      <c r="C776" s="3283">
        <v>8</v>
      </c>
      <c r="D776" s="3283">
        <v>1517</v>
      </c>
      <c r="E776" s="3285" t="str">
        <f t="shared" si="12"/>
        <v>南-8-1517</v>
      </c>
      <c r="F776" s="3283" t="s">
        <v>3925</v>
      </c>
      <c r="G776" s="3283" t="s">
        <v>3425</v>
      </c>
      <c r="H776" s="3286"/>
      <c r="I776" s="3287">
        <v>56.18</v>
      </c>
      <c r="J776" s="3286">
        <v>37.28</v>
      </c>
    </row>
    <row r="777" spans="1:10" hidden="1">
      <c r="A777" s="3282">
        <v>776</v>
      </c>
      <c r="B777" s="3283" t="s">
        <v>3154</v>
      </c>
      <c r="C777" s="3283">
        <v>8</v>
      </c>
      <c r="D777" s="3283">
        <v>1601</v>
      </c>
      <c r="E777" s="3285" t="str">
        <f t="shared" si="12"/>
        <v>南-8-1601</v>
      </c>
      <c r="F777" s="3283" t="s">
        <v>3926</v>
      </c>
      <c r="G777" s="3283" t="s">
        <v>3425</v>
      </c>
      <c r="H777" s="3286"/>
      <c r="I777" s="3287">
        <v>80.42</v>
      </c>
      <c r="J777" s="3286">
        <v>53.36</v>
      </c>
    </row>
    <row r="778" spans="1:10" hidden="1">
      <c r="A778" s="3282">
        <v>777</v>
      </c>
      <c r="B778" s="3283" t="s">
        <v>3154</v>
      </c>
      <c r="C778" s="3283">
        <v>8</v>
      </c>
      <c r="D778" s="3283">
        <v>1602</v>
      </c>
      <c r="E778" s="3285" t="str">
        <f t="shared" si="12"/>
        <v>南-8-1602</v>
      </c>
      <c r="F778" s="3283" t="s">
        <v>3927</v>
      </c>
      <c r="G778" s="3283" t="s">
        <v>3425</v>
      </c>
      <c r="H778" s="3286"/>
      <c r="I778" s="3287">
        <v>73.11</v>
      </c>
      <c r="J778" s="3286">
        <v>48.51</v>
      </c>
    </row>
    <row r="779" spans="1:10" hidden="1">
      <c r="A779" s="3282">
        <v>778</v>
      </c>
      <c r="B779" s="3283" t="s">
        <v>3154</v>
      </c>
      <c r="C779" s="3283">
        <v>8</v>
      </c>
      <c r="D779" s="3283">
        <v>1603</v>
      </c>
      <c r="E779" s="3285" t="str">
        <f t="shared" si="12"/>
        <v>南-8-1603</v>
      </c>
      <c r="F779" s="3283" t="s">
        <v>3928</v>
      </c>
      <c r="G779" s="3283" t="s">
        <v>3425</v>
      </c>
      <c r="H779" s="3286"/>
      <c r="I779" s="3287">
        <v>73.11</v>
      </c>
      <c r="J779" s="3286">
        <v>48.51</v>
      </c>
    </row>
    <row r="780" spans="1:10" hidden="1">
      <c r="A780" s="3282">
        <v>779</v>
      </c>
      <c r="B780" s="3283" t="s">
        <v>3154</v>
      </c>
      <c r="C780" s="3283">
        <v>8</v>
      </c>
      <c r="D780" s="3283">
        <v>1604</v>
      </c>
      <c r="E780" s="3285" t="str">
        <f t="shared" si="12"/>
        <v>南-8-1604</v>
      </c>
      <c r="F780" s="3283" t="s">
        <v>3929</v>
      </c>
      <c r="G780" s="3283" t="s">
        <v>3425</v>
      </c>
      <c r="H780" s="3286"/>
      <c r="I780" s="3287">
        <v>73.11</v>
      </c>
      <c r="J780" s="3286">
        <v>48.51</v>
      </c>
    </row>
    <row r="781" spans="1:10" hidden="1">
      <c r="A781" s="3282">
        <v>780</v>
      </c>
      <c r="B781" s="3283" t="s">
        <v>3154</v>
      </c>
      <c r="C781" s="3283">
        <v>8</v>
      </c>
      <c r="D781" s="3283">
        <v>1605</v>
      </c>
      <c r="E781" s="3285" t="str">
        <f t="shared" si="12"/>
        <v>南-8-1605</v>
      </c>
      <c r="F781" s="3283" t="s">
        <v>3930</v>
      </c>
      <c r="G781" s="3283" t="s">
        <v>3425</v>
      </c>
      <c r="H781" s="3286"/>
      <c r="I781" s="3287">
        <v>73.11</v>
      </c>
      <c r="J781" s="3286">
        <v>48.51</v>
      </c>
    </row>
    <row r="782" spans="1:10" hidden="1">
      <c r="A782" s="3282">
        <v>781</v>
      </c>
      <c r="B782" s="3283" t="s">
        <v>3154</v>
      </c>
      <c r="C782" s="3283">
        <v>8</v>
      </c>
      <c r="D782" s="3283">
        <v>1606</v>
      </c>
      <c r="E782" s="3285" t="str">
        <f t="shared" si="12"/>
        <v>南-8-1606</v>
      </c>
      <c r="F782" s="3283" t="s">
        <v>3931</v>
      </c>
      <c r="G782" s="3283" t="s">
        <v>3425</v>
      </c>
      <c r="H782" s="3286"/>
      <c r="I782" s="3287">
        <v>80.31</v>
      </c>
      <c r="J782" s="3286">
        <v>53.29</v>
      </c>
    </row>
    <row r="783" spans="1:10" hidden="1">
      <c r="A783" s="3282">
        <v>782</v>
      </c>
      <c r="B783" s="3283" t="s">
        <v>3154</v>
      </c>
      <c r="C783" s="3283">
        <v>8</v>
      </c>
      <c r="D783" s="3283">
        <v>1607</v>
      </c>
      <c r="E783" s="3285" t="str">
        <f t="shared" si="12"/>
        <v>南-8-1607</v>
      </c>
      <c r="F783" s="3283" t="s">
        <v>3932</v>
      </c>
      <c r="G783" s="3283" t="s">
        <v>3425</v>
      </c>
      <c r="H783" s="3286"/>
      <c r="I783" s="3287">
        <v>56.18</v>
      </c>
      <c r="J783" s="3286">
        <v>37.28</v>
      </c>
    </row>
    <row r="784" spans="1:10" hidden="1">
      <c r="A784" s="3282">
        <v>783</v>
      </c>
      <c r="B784" s="3283" t="s">
        <v>3154</v>
      </c>
      <c r="C784" s="3283">
        <v>8</v>
      </c>
      <c r="D784" s="3283">
        <v>1608</v>
      </c>
      <c r="E784" s="3285" t="str">
        <f t="shared" si="12"/>
        <v>南-8-1608</v>
      </c>
      <c r="F784" s="3283" t="s">
        <v>3933</v>
      </c>
      <c r="G784" s="3283" t="s">
        <v>3425</v>
      </c>
      <c r="H784" s="3286"/>
      <c r="I784" s="3287">
        <v>71.56</v>
      </c>
      <c r="J784" s="3286">
        <v>47.48</v>
      </c>
    </row>
    <row r="785" spans="1:10" hidden="1">
      <c r="A785" s="3282">
        <v>784</v>
      </c>
      <c r="B785" s="3283" t="s">
        <v>3154</v>
      </c>
      <c r="C785" s="3283">
        <v>8</v>
      </c>
      <c r="D785" s="3283">
        <v>1609</v>
      </c>
      <c r="E785" s="3285" t="str">
        <f t="shared" si="12"/>
        <v>南-8-1609</v>
      </c>
      <c r="F785" s="3283" t="s">
        <v>3934</v>
      </c>
      <c r="G785" s="3283" t="s">
        <v>3425</v>
      </c>
      <c r="H785" s="3286"/>
      <c r="I785" s="3287">
        <v>44.31</v>
      </c>
      <c r="J785" s="3286">
        <v>29.4</v>
      </c>
    </row>
    <row r="786" spans="1:10" hidden="1">
      <c r="A786" s="3282">
        <v>785</v>
      </c>
      <c r="B786" s="3283" t="s">
        <v>3154</v>
      </c>
      <c r="C786" s="3283">
        <v>8</v>
      </c>
      <c r="D786" s="3283">
        <v>1610</v>
      </c>
      <c r="E786" s="3285" t="str">
        <f t="shared" si="12"/>
        <v>南-8-1610</v>
      </c>
      <c r="F786" s="3283" t="s">
        <v>3935</v>
      </c>
      <c r="G786" s="3283" t="s">
        <v>3425</v>
      </c>
      <c r="H786" s="3286"/>
      <c r="I786" s="3287">
        <v>44.31</v>
      </c>
      <c r="J786" s="3286">
        <v>29.4</v>
      </c>
    </row>
    <row r="787" spans="1:10" hidden="1">
      <c r="A787" s="3282">
        <v>786</v>
      </c>
      <c r="B787" s="3283" t="s">
        <v>3154</v>
      </c>
      <c r="C787" s="3283">
        <v>8</v>
      </c>
      <c r="D787" s="3283">
        <v>1611</v>
      </c>
      <c r="E787" s="3285" t="str">
        <f t="shared" si="12"/>
        <v>南-8-1611</v>
      </c>
      <c r="F787" s="3283" t="s">
        <v>3936</v>
      </c>
      <c r="G787" s="3283" t="s">
        <v>3425</v>
      </c>
      <c r="H787" s="3286"/>
      <c r="I787" s="3287">
        <v>44.31</v>
      </c>
      <c r="J787" s="3286">
        <v>29.4</v>
      </c>
    </row>
    <row r="788" spans="1:10" hidden="1">
      <c r="A788" s="3282">
        <v>787</v>
      </c>
      <c r="B788" s="3283" t="s">
        <v>3154</v>
      </c>
      <c r="C788" s="3283">
        <v>8</v>
      </c>
      <c r="D788" s="3283">
        <v>1612</v>
      </c>
      <c r="E788" s="3285" t="str">
        <f t="shared" si="12"/>
        <v>南-8-1612</v>
      </c>
      <c r="F788" s="3283" t="s">
        <v>3937</v>
      </c>
      <c r="G788" s="3283" t="s">
        <v>3425</v>
      </c>
      <c r="H788" s="3286"/>
      <c r="I788" s="3287">
        <v>44.31</v>
      </c>
      <c r="J788" s="3286">
        <v>29.4</v>
      </c>
    </row>
    <row r="789" spans="1:10" hidden="1">
      <c r="A789" s="3282">
        <v>788</v>
      </c>
      <c r="B789" s="3283" t="s">
        <v>3154</v>
      </c>
      <c r="C789" s="3283">
        <v>8</v>
      </c>
      <c r="D789" s="3283">
        <v>1613</v>
      </c>
      <c r="E789" s="3285" t="str">
        <f t="shared" si="12"/>
        <v>南-8-1613</v>
      </c>
      <c r="F789" s="3283" t="s">
        <v>3938</v>
      </c>
      <c r="G789" s="3283" t="s">
        <v>3425</v>
      </c>
      <c r="H789" s="3286"/>
      <c r="I789" s="3287">
        <v>44.31</v>
      </c>
      <c r="J789" s="3286">
        <v>29.4</v>
      </c>
    </row>
    <row r="790" spans="1:10" hidden="1">
      <c r="A790" s="3282">
        <v>789</v>
      </c>
      <c r="B790" s="3283" t="s">
        <v>3154</v>
      </c>
      <c r="C790" s="3283">
        <v>8</v>
      </c>
      <c r="D790" s="3283">
        <v>1614</v>
      </c>
      <c r="E790" s="3285" t="str">
        <f t="shared" si="12"/>
        <v>南-8-1614</v>
      </c>
      <c r="F790" s="3283" t="s">
        <v>3939</v>
      </c>
      <c r="G790" s="3283" t="s">
        <v>3425</v>
      </c>
      <c r="H790" s="3286"/>
      <c r="I790" s="3287">
        <v>44.31</v>
      </c>
      <c r="J790" s="3286">
        <v>29.4</v>
      </c>
    </row>
    <row r="791" spans="1:10" hidden="1">
      <c r="A791" s="3282">
        <v>790</v>
      </c>
      <c r="B791" s="3283" t="s">
        <v>3154</v>
      </c>
      <c r="C791" s="3283">
        <v>8</v>
      </c>
      <c r="D791" s="3283">
        <v>1615</v>
      </c>
      <c r="E791" s="3285" t="str">
        <f t="shared" si="12"/>
        <v>南-8-1615</v>
      </c>
      <c r="F791" s="3283" t="s">
        <v>3940</v>
      </c>
      <c r="G791" s="3283" t="s">
        <v>3425</v>
      </c>
      <c r="H791" s="3286"/>
      <c r="I791" s="3287">
        <v>44.31</v>
      </c>
      <c r="J791" s="3286">
        <v>29.4</v>
      </c>
    </row>
    <row r="792" spans="1:10" hidden="1">
      <c r="A792" s="3282">
        <v>791</v>
      </c>
      <c r="B792" s="3283" t="s">
        <v>3154</v>
      </c>
      <c r="C792" s="3283">
        <v>8</v>
      </c>
      <c r="D792" s="3283">
        <v>1616</v>
      </c>
      <c r="E792" s="3285" t="str">
        <f t="shared" si="12"/>
        <v>南-8-1616</v>
      </c>
      <c r="F792" s="3283" t="s">
        <v>3941</v>
      </c>
      <c r="G792" s="3283" t="s">
        <v>3425</v>
      </c>
      <c r="H792" s="3286"/>
      <c r="I792" s="3287">
        <v>71.45</v>
      </c>
      <c r="J792" s="3286">
        <v>47.41</v>
      </c>
    </row>
    <row r="793" spans="1:10" hidden="1">
      <c r="A793" s="3282">
        <v>792</v>
      </c>
      <c r="B793" s="3283" t="s">
        <v>3154</v>
      </c>
      <c r="C793" s="3283">
        <v>8</v>
      </c>
      <c r="D793" s="3283">
        <v>1617</v>
      </c>
      <c r="E793" s="3285" t="str">
        <f t="shared" si="12"/>
        <v>南-8-1617</v>
      </c>
      <c r="F793" s="3283" t="s">
        <v>3942</v>
      </c>
      <c r="G793" s="3283" t="s">
        <v>3425</v>
      </c>
      <c r="H793" s="3286"/>
      <c r="I793" s="3287">
        <v>56.18</v>
      </c>
      <c r="J793" s="3286">
        <v>37.28</v>
      </c>
    </row>
    <row r="794" spans="1:10" hidden="1">
      <c r="A794" s="3282">
        <v>793</v>
      </c>
      <c r="B794" s="3283" t="s">
        <v>3154</v>
      </c>
      <c r="C794" s="3283">
        <v>8</v>
      </c>
      <c r="D794" s="3283">
        <v>1701</v>
      </c>
      <c r="E794" s="3285" t="str">
        <f t="shared" si="12"/>
        <v>南-8-1701</v>
      </c>
      <c r="F794" s="3283" t="s">
        <v>3943</v>
      </c>
      <c r="G794" s="3283" t="s">
        <v>3425</v>
      </c>
      <c r="H794" s="3286"/>
      <c r="I794" s="3287">
        <v>80.31</v>
      </c>
      <c r="J794" s="3286">
        <v>53.29</v>
      </c>
    </row>
    <row r="795" spans="1:10" hidden="1">
      <c r="A795" s="3282">
        <v>794</v>
      </c>
      <c r="B795" s="3283" t="s">
        <v>3154</v>
      </c>
      <c r="C795" s="3283">
        <v>8</v>
      </c>
      <c r="D795" s="3283">
        <v>1702</v>
      </c>
      <c r="E795" s="3285" t="str">
        <f t="shared" si="12"/>
        <v>南-8-1702</v>
      </c>
      <c r="F795" s="3283" t="s">
        <v>3944</v>
      </c>
      <c r="G795" s="3283" t="s">
        <v>3425</v>
      </c>
      <c r="H795" s="3286"/>
      <c r="I795" s="3287">
        <v>73.11</v>
      </c>
      <c r="J795" s="3286">
        <v>48.51</v>
      </c>
    </row>
    <row r="796" spans="1:10" hidden="1">
      <c r="A796" s="3282">
        <v>795</v>
      </c>
      <c r="B796" s="3283" t="s">
        <v>3154</v>
      </c>
      <c r="C796" s="3283">
        <v>8</v>
      </c>
      <c r="D796" s="3283">
        <v>1703</v>
      </c>
      <c r="E796" s="3285" t="str">
        <f t="shared" si="12"/>
        <v>南-8-1703</v>
      </c>
      <c r="F796" s="3283" t="s">
        <v>3945</v>
      </c>
      <c r="G796" s="3283" t="s">
        <v>3425</v>
      </c>
      <c r="H796" s="3286"/>
      <c r="I796" s="3287">
        <v>73.11</v>
      </c>
      <c r="J796" s="3286">
        <v>48.51</v>
      </c>
    </row>
    <row r="797" spans="1:10" hidden="1">
      <c r="A797" s="3282">
        <v>796</v>
      </c>
      <c r="B797" s="3283" t="s">
        <v>3154</v>
      </c>
      <c r="C797" s="3283">
        <v>8</v>
      </c>
      <c r="D797" s="3283">
        <v>1704</v>
      </c>
      <c r="E797" s="3285" t="str">
        <f t="shared" si="12"/>
        <v>南-8-1704</v>
      </c>
      <c r="F797" s="3283" t="s">
        <v>3946</v>
      </c>
      <c r="G797" s="3283" t="s">
        <v>3425</v>
      </c>
      <c r="H797" s="3286"/>
      <c r="I797" s="3287">
        <v>73.11</v>
      </c>
      <c r="J797" s="3286">
        <v>48.51</v>
      </c>
    </row>
    <row r="798" spans="1:10" hidden="1">
      <c r="A798" s="3282">
        <v>797</v>
      </c>
      <c r="B798" s="3283" t="s">
        <v>3154</v>
      </c>
      <c r="C798" s="3283">
        <v>8</v>
      </c>
      <c r="D798" s="3283">
        <v>1705</v>
      </c>
      <c r="E798" s="3285" t="str">
        <f t="shared" si="12"/>
        <v>南-8-1705</v>
      </c>
      <c r="F798" s="3283" t="s">
        <v>3947</v>
      </c>
      <c r="G798" s="3283" t="s">
        <v>3425</v>
      </c>
      <c r="H798" s="3286"/>
      <c r="I798" s="3287">
        <v>73.11</v>
      </c>
      <c r="J798" s="3286">
        <v>48.51</v>
      </c>
    </row>
    <row r="799" spans="1:10" hidden="1">
      <c r="A799" s="3282">
        <v>798</v>
      </c>
      <c r="B799" s="3283" t="s">
        <v>3154</v>
      </c>
      <c r="C799" s="3283">
        <v>8</v>
      </c>
      <c r="D799" s="3283">
        <v>1706</v>
      </c>
      <c r="E799" s="3285" t="str">
        <f t="shared" si="12"/>
        <v>南-8-1706</v>
      </c>
      <c r="F799" s="3283" t="s">
        <v>3948</v>
      </c>
      <c r="G799" s="3283" t="s">
        <v>3425</v>
      </c>
      <c r="H799" s="3286"/>
      <c r="I799" s="3287">
        <v>80.42</v>
      </c>
      <c r="J799" s="3286">
        <v>53.36</v>
      </c>
    </row>
    <row r="800" spans="1:10" hidden="1">
      <c r="A800" s="3282">
        <v>799</v>
      </c>
      <c r="B800" s="3283" t="s">
        <v>3154</v>
      </c>
      <c r="C800" s="3283">
        <v>8</v>
      </c>
      <c r="D800" s="3283">
        <v>1707</v>
      </c>
      <c r="E800" s="3285" t="str">
        <f t="shared" si="12"/>
        <v>南-8-1707</v>
      </c>
      <c r="F800" s="3283" t="s">
        <v>3949</v>
      </c>
      <c r="G800" s="3283" t="s">
        <v>3425</v>
      </c>
      <c r="H800" s="3286"/>
      <c r="I800" s="3287">
        <v>56.18</v>
      </c>
      <c r="J800" s="3286">
        <v>37.28</v>
      </c>
    </row>
    <row r="801" spans="1:10" hidden="1">
      <c r="A801" s="3282">
        <v>800</v>
      </c>
      <c r="B801" s="3283" t="s">
        <v>3154</v>
      </c>
      <c r="C801" s="3283">
        <v>8</v>
      </c>
      <c r="D801" s="3283">
        <v>1708</v>
      </c>
      <c r="E801" s="3285" t="str">
        <f t="shared" si="12"/>
        <v>南-8-1708</v>
      </c>
      <c r="F801" s="3283" t="s">
        <v>3950</v>
      </c>
      <c r="G801" s="3283" t="s">
        <v>3425</v>
      </c>
      <c r="H801" s="3286"/>
      <c r="I801" s="3287">
        <v>71.45</v>
      </c>
      <c r="J801" s="3286">
        <v>47.41</v>
      </c>
    </row>
    <row r="802" spans="1:10" hidden="1">
      <c r="A802" s="3282">
        <v>801</v>
      </c>
      <c r="B802" s="3283" t="s">
        <v>3154</v>
      </c>
      <c r="C802" s="3283">
        <v>8</v>
      </c>
      <c r="D802" s="3283">
        <v>1709</v>
      </c>
      <c r="E802" s="3285" t="str">
        <f t="shared" si="12"/>
        <v>南-8-1709</v>
      </c>
      <c r="F802" s="3283" t="s">
        <v>3951</v>
      </c>
      <c r="G802" s="3283" t="s">
        <v>3425</v>
      </c>
      <c r="H802" s="3286"/>
      <c r="I802" s="3287">
        <v>44.31</v>
      </c>
      <c r="J802" s="3286">
        <v>29.4</v>
      </c>
    </row>
    <row r="803" spans="1:10" hidden="1">
      <c r="A803" s="3282">
        <v>802</v>
      </c>
      <c r="B803" s="3283" t="s">
        <v>3154</v>
      </c>
      <c r="C803" s="3283">
        <v>8</v>
      </c>
      <c r="D803" s="3283">
        <v>1710</v>
      </c>
      <c r="E803" s="3285" t="str">
        <f t="shared" si="12"/>
        <v>南-8-1710</v>
      </c>
      <c r="F803" s="3283" t="s">
        <v>3952</v>
      </c>
      <c r="G803" s="3283" t="s">
        <v>3425</v>
      </c>
      <c r="H803" s="3286"/>
      <c r="I803" s="3287">
        <v>44.31</v>
      </c>
      <c r="J803" s="3286">
        <v>29.4</v>
      </c>
    </row>
    <row r="804" spans="1:10" hidden="1">
      <c r="A804" s="3282">
        <v>803</v>
      </c>
      <c r="B804" s="3283" t="s">
        <v>3154</v>
      </c>
      <c r="C804" s="3283">
        <v>8</v>
      </c>
      <c r="D804" s="3283">
        <v>1711</v>
      </c>
      <c r="E804" s="3285" t="str">
        <f t="shared" si="12"/>
        <v>南-8-1711</v>
      </c>
      <c r="F804" s="3283" t="s">
        <v>3953</v>
      </c>
      <c r="G804" s="3283" t="s">
        <v>3425</v>
      </c>
      <c r="H804" s="3286"/>
      <c r="I804" s="3287">
        <v>44.31</v>
      </c>
      <c r="J804" s="3286">
        <v>29.4</v>
      </c>
    </row>
    <row r="805" spans="1:10" hidden="1">
      <c r="A805" s="3282">
        <v>804</v>
      </c>
      <c r="B805" s="3283" t="s">
        <v>3154</v>
      </c>
      <c r="C805" s="3283">
        <v>8</v>
      </c>
      <c r="D805" s="3283">
        <v>1712</v>
      </c>
      <c r="E805" s="3285" t="str">
        <f t="shared" si="12"/>
        <v>南-8-1712</v>
      </c>
      <c r="F805" s="3283" t="s">
        <v>3954</v>
      </c>
      <c r="G805" s="3283" t="s">
        <v>3425</v>
      </c>
      <c r="H805" s="3286"/>
      <c r="I805" s="3287">
        <v>44.31</v>
      </c>
      <c r="J805" s="3286">
        <v>29.4</v>
      </c>
    </row>
    <row r="806" spans="1:10" hidden="1">
      <c r="A806" s="3282">
        <v>805</v>
      </c>
      <c r="B806" s="3283" t="s">
        <v>3154</v>
      </c>
      <c r="C806" s="3283">
        <v>8</v>
      </c>
      <c r="D806" s="3283">
        <v>1713</v>
      </c>
      <c r="E806" s="3285" t="str">
        <f t="shared" si="12"/>
        <v>南-8-1713</v>
      </c>
      <c r="F806" s="3283" t="s">
        <v>3955</v>
      </c>
      <c r="G806" s="3283" t="s">
        <v>3425</v>
      </c>
      <c r="H806" s="3286"/>
      <c r="I806" s="3287">
        <v>44.31</v>
      </c>
      <c r="J806" s="3286">
        <v>29.4</v>
      </c>
    </row>
    <row r="807" spans="1:10" hidden="1">
      <c r="A807" s="3282">
        <v>806</v>
      </c>
      <c r="B807" s="3283" t="s">
        <v>3154</v>
      </c>
      <c r="C807" s="3283">
        <v>8</v>
      </c>
      <c r="D807" s="3283">
        <v>1714</v>
      </c>
      <c r="E807" s="3285" t="str">
        <f t="shared" si="12"/>
        <v>南-8-1714</v>
      </c>
      <c r="F807" s="3283" t="s">
        <v>3956</v>
      </c>
      <c r="G807" s="3283" t="s">
        <v>3425</v>
      </c>
      <c r="H807" s="3286"/>
      <c r="I807" s="3287">
        <v>44.31</v>
      </c>
      <c r="J807" s="3286">
        <v>29.4</v>
      </c>
    </row>
    <row r="808" spans="1:10" hidden="1">
      <c r="A808" s="3282">
        <v>807</v>
      </c>
      <c r="B808" s="3283" t="s">
        <v>3154</v>
      </c>
      <c r="C808" s="3283">
        <v>8</v>
      </c>
      <c r="D808" s="3283">
        <v>1715</v>
      </c>
      <c r="E808" s="3285" t="str">
        <f t="shared" si="12"/>
        <v>南-8-1715</v>
      </c>
      <c r="F808" s="3283" t="s">
        <v>3957</v>
      </c>
      <c r="G808" s="3283" t="s">
        <v>3425</v>
      </c>
      <c r="H808" s="3286"/>
      <c r="I808" s="3287">
        <v>44.31</v>
      </c>
      <c r="J808" s="3286">
        <v>29.4</v>
      </c>
    </row>
    <row r="809" spans="1:10" hidden="1">
      <c r="A809" s="3282">
        <v>808</v>
      </c>
      <c r="B809" s="3283" t="s">
        <v>3154</v>
      </c>
      <c r="C809" s="3283">
        <v>8</v>
      </c>
      <c r="D809" s="3283">
        <v>1716</v>
      </c>
      <c r="E809" s="3285" t="str">
        <f t="shared" si="12"/>
        <v>南-8-1716</v>
      </c>
      <c r="F809" s="3283" t="s">
        <v>3958</v>
      </c>
      <c r="G809" s="3283" t="s">
        <v>3425</v>
      </c>
      <c r="H809" s="3286"/>
      <c r="I809" s="3287">
        <v>71.56</v>
      </c>
      <c r="J809" s="3286">
        <v>47.48</v>
      </c>
    </row>
    <row r="810" spans="1:10" hidden="1">
      <c r="A810" s="3282">
        <v>809</v>
      </c>
      <c r="B810" s="3283" t="s">
        <v>3154</v>
      </c>
      <c r="C810" s="3283">
        <v>8</v>
      </c>
      <c r="D810" s="3283">
        <v>1717</v>
      </c>
      <c r="E810" s="3285" t="str">
        <f t="shared" si="12"/>
        <v>南-8-1717</v>
      </c>
      <c r="F810" s="3283" t="s">
        <v>3959</v>
      </c>
      <c r="G810" s="3283" t="s">
        <v>3425</v>
      </c>
      <c r="H810" s="3286"/>
      <c r="I810" s="3287">
        <v>56.18</v>
      </c>
      <c r="J810" s="3286">
        <v>37.28</v>
      </c>
    </row>
  </sheetData>
  <autoFilter ref="B1:J810">
    <filterColumn colId="5">
      <filters>
        <filter val="商业"/>
      </filters>
    </filterColumn>
  </autoFilter>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1928</v>
      </c>
      <c r="B1" s="1393"/>
      <c r="C1" s="1393"/>
      <c r="D1" s="1393"/>
      <c r="E1" s="1393"/>
      <c r="F1" s="1393"/>
      <c r="G1" s="1393"/>
      <c r="H1" s="1393"/>
      <c r="I1" s="1393"/>
      <c r="J1" s="1393"/>
      <c r="K1" s="1393"/>
      <c r="L1" s="1393"/>
      <c r="M1" s="1393"/>
      <c r="N1" s="1393"/>
      <c r="O1" s="1393"/>
      <c r="P1" s="1393"/>
    </row>
    <row r="2" spans="1:16" ht="15">
      <c r="A2" s="3037" t="s">
        <v>1929</v>
      </c>
      <c r="B2" s="3037"/>
      <c r="C2" s="3037"/>
      <c r="D2" s="968" t="s">
        <v>1905</v>
      </c>
      <c r="E2" s="2226" t="s">
        <v>1906</v>
      </c>
      <c r="F2" s="1393"/>
      <c r="G2" s="2227"/>
      <c r="H2" s="2228"/>
      <c r="I2" s="2229" t="s">
        <v>1930</v>
      </c>
      <c r="J2" s="1393"/>
      <c r="K2" s="1393"/>
      <c r="L2" s="1393"/>
      <c r="M2" s="1393"/>
      <c r="N2" s="1428"/>
      <c r="O2" s="1393"/>
      <c r="P2" s="1393"/>
    </row>
    <row r="3" spans="1:16" ht="15.75" thickBot="1">
      <c r="A3" s="3038" t="s">
        <v>1903</v>
      </c>
      <c r="B3" s="3038"/>
      <c r="C3" s="3038"/>
      <c r="D3" s="45">
        <f>'数据-基础表'!AY6</f>
        <v>12497.8</v>
      </c>
      <c r="E3" s="45">
        <f>'数据-基础表'!AZ5</f>
        <v>49991.200000000004</v>
      </c>
      <c r="F3" s="1393"/>
      <c r="G3" s="1400"/>
      <c r="H3" s="1248" t="s">
        <v>1904</v>
      </c>
      <c r="I3" s="54">
        <f>ROUND('数据-基础表'!B3/'数据-基础表'!A3,2)</f>
        <v>4</v>
      </c>
      <c r="J3" s="1393"/>
      <c r="K3" s="1393"/>
      <c r="L3" s="1393"/>
      <c r="M3" s="1393"/>
      <c r="N3" s="1428"/>
      <c r="O3" s="1393"/>
      <c r="P3" s="1393"/>
    </row>
    <row r="4" spans="1:16" ht="15">
      <c r="A4" s="3039"/>
      <c r="B4" s="3040"/>
      <c r="C4" s="3041"/>
      <c r="D4" s="2230" t="s">
        <v>1905</v>
      </c>
      <c r="E4" s="2231" t="s">
        <v>1906</v>
      </c>
      <c r="F4" s="1393"/>
      <c r="G4" s="2232" t="s">
        <v>1931</v>
      </c>
      <c r="H4" s="1248" t="s">
        <v>1911</v>
      </c>
      <c r="I4" s="54">
        <f>ROUND(SUMIF('数据-基础表'!I9:AS9,"地上",'数据-基础表'!I5:AS5)/'数据-基础表'!A3,2)</f>
        <v>4</v>
      </c>
      <c r="J4" s="1393"/>
      <c r="K4" s="1393"/>
      <c r="L4" s="1393"/>
      <c r="M4" s="1393"/>
      <c r="N4" s="1428"/>
      <c r="O4" s="1393"/>
      <c r="P4" s="1393"/>
    </row>
    <row r="5" spans="1:16">
      <c r="A5" s="46" t="s">
        <v>1907</v>
      </c>
      <c r="B5" s="3042" t="s">
        <v>1908</v>
      </c>
      <c r="C5" s="3042"/>
      <c r="D5" s="47">
        <f>ROUND($D$3*E5/$E$3,2)</f>
        <v>0</v>
      </c>
      <c r="E5" s="48">
        <f>SUMIF('数据-基础表'!$11:$11,"住宅",'数据-基础表'!$5:$5)</f>
        <v>0</v>
      </c>
      <c r="F5" s="1393"/>
      <c r="G5" s="1400"/>
      <c r="H5" s="1248" t="s">
        <v>1904</v>
      </c>
      <c r="I5" s="54">
        <f>ROUND(E31/D31,2)</f>
        <v>4</v>
      </c>
      <c r="J5" s="1393"/>
      <c r="K5" s="1393"/>
      <c r="L5" s="1393"/>
      <c r="M5" s="1393"/>
      <c r="N5" s="1393"/>
      <c r="O5" s="1393"/>
      <c r="P5" s="1393"/>
    </row>
    <row r="6" spans="1:16" ht="15" thickBot="1">
      <c r="A6" s="2233"/>
      <c r="B6" s="3042" t="s">
        <v>1909</v>
      </c>
      <c r="C6" s="3042"/>
      <c r="D6" s="47">
        <f>ROUND($D$3*E6/$E$3,2)</f>
        <v>12497.8</v>
      </c>
      <c r="E6" s="48">
        <f>E3-E5</f>
        <v>49991.200000000004</v>
      </c>
      <c r="F6" s="1393"/>
      <c r="G6" s="2234" t="s">
        <v>1910</v>
      </c>
      <c r="H6" s="1400" t="s">
        <v>1911</v>
      </c>
      <c r="I6" s="940">
        <f>ROUND(F31/D31,2)</f>
        <v>4</v>
      </c>
      <c r="J6" s="1393"/>
      <c r="K6" s="1393"/>
      <c r="L6" s="1393"/>
      <c r="M6" s="1393"/>
      <c r="N6" s="1393"/>
      <c r="O6" s="1393"/>
      <c r="P6" s="1393"/>
    </row>
    <row r="7" spans="1:16" ht="15">
      <c r="A7" s="3034"/>
      <c r="B7" s="3035"/>
      <c r="C7" s="3036"/>
      <c r="D7" s="2230" t="s">
        <v>1905</v>
      </c>
      <c r="E7" s="2235" t="s">
        <v>1912</v>
      </c>
      <c r="F7" s="1393"/>
      <c r="G7" s="2227" t="s">
        <v>1913</v>
      </c>
      <c r="H7" s="63"/>
      <c r="I7" s="419"/>
      <c r="J7" s="1393"/>
      <c r="K7" s="1393"/>
      <c r="L7" s="1393"/>
      <c r="M7" s="1393"/>
      <c r="N7" s="1393"/>
      <c r="O7" s="1393"/>
      <c r="P7" s="1393"/>
    </row>
    <row r="8" spans="1:16">
      <c r="A8" s="46" t="s">
        <v>1914</v>
      </c>
      <c r="B8" s="49" t="s">
        <v>1915</v>
      </c>
      <c r="C8" s="47" t="s">
        <v>1916</v>
      </c>
      <c r="D8" s="47">
        <f t="shared" ref="D8:D15" si="0">ROUND($D$3*E8/$E$3,2)</f>
        <v>12497.8</v>
      </c>
      <c r="E8" s="50">
        <f>SUMIF('数据-基础表'!BB10:BK10,"地上",'数据-基础表'!BB5:BK5)</f>
        <v>49991.200000000012</v>
      </c>
      <c r="F8" s="1393"/>
      <c r="G8" s="2236"/>
      <c r="H8" s="2236"/>
      <c r="I8" s="1393"/>
      <c r="J8" s="1393"/>
      <c r="K8" s="1393"/>
      <c r="L8" s="1393"/>
      <c r="M8" s="1393"/>
      <c r="N8" s="1393"/>
      <c r="O8" s="1393"/>
      <c r="P8" s="1393"/>
    </row>
    <row r="9" spans="1:16">
      <c r="A9" s="2237"/>
      <c r="B9" s="2238"/>
      <c r="C9" s="47" t="s">
        <v>1917</v>
      </c>
      <c r="D9" s="47">
        <f t="shared" si="0"/>
        <v>0</v>
      </c>
      <c r="E9" s="51">
        <v>0</v>
      </c>
      <c r="F9" s="1393"/>
      <c r="G9" s="2236"/>
      <c r="H9" s="2236"/>
      <c r="I9" s="1393"/>
      <c r="J9" s="1393"/>
      <c r="K9" s="1393"/>
      <c r="L9" s="1393"/>
      <c r="M9" s="1393"/>
      <c r="N9" s="1393"/>
      <c r="O9" s="1393"/>
      <c r="P9" s="1393"/>
    </row>
    <row r="10" spans="1:16">
      <c r="A10" s="2237"/>
      <c r="B10" s="2238"/>
      <c r="C10" s="47" t="s">
        <v>1926</v>
      </c>
      <c r="D10" s="47">
        <f t="shared" si="0"/>
        <v>0</v>
      </c>
      <c r="E10" s="50">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7" t="s">
        <v>1918</v>
      </c>
      <c r="D11" s="47">
        <f t="shared" si="0"/>
        <v>0</v>
      </c>
      <c r="E11" s="50">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7" t="s">
        <v>1919</v>
      </c>
      <c r="D12" s="47">
        <f t="shared" si="0"/>
        <v>0</v>
      </c>
      <c r="E12" s="50">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7" t="s">
        <v>1920</v>
      </c>
      <c r="D13" s="47">
        <f t="shared" si="0"/>
        <v>0</v>
      </c>
      <c r="E13" s="50">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7" t="s">
        <v>1932</v>
      </c>
      <c r="D14" s="47">
        <f t="shared" si="0"/>
        <v>0</v>
      </c>
      <c r="E14" s="50">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7" t="s">
        <v>1927</v>
      </c>
      <c r="D15" s="47">
        <f t="shared" si="0"/>
        <v>0</v>
      </c>
      <c r="E15" s="50">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49" t="s">
        <v>1921</v>
      </c>
      <c r="D16" s="49">
        <f>SUM(D8:D15)</f>
        <v>12497.8</v>
      </c>
      <c r="E16" s="52">
        <f>SUM(E8:E15)</f>
        <v>49991.200000000012</v>
      </c>
      <c r="F16" s="1393"/>
      <c r="G16" s="2236"/>
      <c r="H16" s="2239" t="s">
        <v>1933</v>
      </c>
      <c r="I16" s="2240"/>
      <c r="J16" s="1393"/>
      <c r="K16" s="3031" t="s">
        <v>1933</v>
      </c>
      <c r="L16" s="3032"/>
      <c r="M16" s="3032"/>
      <c r="N16" s="3032"/>
      <c r="O16" s="3032"/>
      <c r="P16" s="3033"/>
    </row>
    <row r="17" spans="1:19" ht="15">
      <c r="A17" s="2241" t="s">
        <v>1934</v>
      </c>
      <c r="B17" s="2242" t="s">
        <v>1935</v>
      </c>
      <c r="C17" s="2243" t="s">
        <v>1936</v>
      </c>
      <c r="D17" s="2244" t="s">
        <v>1924</v>
      </c>
      <c r="E17" s="2245" t="s">
        <v>1925</v>
      </c>
      <c r="F17" s="2246"/>
      <c r="G17" s="2247"/>
      <c r="H17" s="2248" t="s">
        <v>1937</v>
      </c>
      <c r="I17" s="2249" t="s">
        <v>1922</v>
      </c>
      <c r="J17" s="1393"/>
      <c r="K17" s="3028" t="s">
        <v>1938</v>
      </c>
      <c r="L17" s="3029"/>
      <c r="M17" s="3030"/>
      <c r="N17" s="3028" t="s">
        <v>1939</v>
      </c>
      <c r="O17" s="3029"/>
      <c r="P17" s="3030"/>
      <c r="R17" s="2227" t="s">
        <v>1940</v>
      </c>
      <c r="S17" s="63"/>
    </row>
    <row r="18" spans="1:19" ht="15">
      <c r="A18" s="2237"/>
      <c r="B18" s="2250"/>
      <c r="C18" s="2251"/>
      <c r="D18" s="2252"/>
      <c r="E18" s="2253" t="s">
        <v>1941</v>
      </c>
      <c r="F18" s="2254" t="s">
        <v>1942</v>
      </c>
      <c r="G18" s="2255" t="s">
        <v>1943</v>
      </c>
      <c r="H18" s="1263" t="s">
        <v>1944</v>
      </c>
      <c r="I18" s="2256" t="s">
        <v>1945</v>
      </c>
      <c r="J18" s="1393"/>
      <c r="K18" s="1263" t="s">
        <v>1946</v>
      </c>
      <c r="L18" s="2257" t="s">
        <v>1947</v>
      </c>
      <c r="M18" s="1047" t="s">
        <v>1948</v>
      </c>
      <c r="N18" s="1263" t="s">
        <v>1946</v>
      </c>
      <c r="O18" s="2257" t="s">
        <v>1947</v>
      </c>
      <c r="P18" s="1047" t="s">
        <v>1948</v>
      </c>
      <c r="R18" s="1248" t="s">
        <v>1949</v>
      </c>
      <c r="S18" s="1248" t="s">
        <v>1950</v>
      </c>
    </row>
    <row r="19" spans="1:19">
      <c r="A19" s="2258"/>
      <c r="B19" s="49" t="s">
        <v>1923</v>
      </c>
      <c r="C19" s="2259" t="s">
        <v>1373</v>
      </c>
      <c r="D19" s="47">
        <f>ROUND($D$3*E19/$E$3,2)</f>
        <v>400.04</v>
      </c>
      <c r="E19" s="55">
        <f t="shared" ref="E19:E26" si="1">SUM(F19:G19)</f>
        <v>1600.16</v>
      </c>
      <c r="F19" s="56">
        <f>'数据-基础表'!I5</f>
        <v>1600.16</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400.04</v>
      </c>
      <c r="S19" s="1249">
        <f t="shared" si="5"/>
        <v>1600.16</v>
      </c>
    </row>
    <row r="20" spans="1:19">
      <c r="A20" s="2262"/>
      <c r="B20" s="49" t="s">
        <v>1951</v>
      </c>
      <c r="C20" s="2259" t="s">
        <v>4156</v>
      </c>
      <c r="D20" s="47">
        <f t="shared" ref="D20:D26" si="6">ROUND($D$3*E20/$E$3,2)</f>
        <v>8309.57</v>
      </c>
      <c r="E20" s="55">
        <f t="shared" si="1"/>
        <v>33238.290000000008</v>
      </c>
      <c r="F20" s="56">
        <f>'数据-基础表'!K5</f>
        <v>33238.290000000008</v>
      </c>
      <c r="G20" s="57"/>
      <c r="H20" s="722">
        <f t="shared" ref="H20:H26" si="7">ROUND($D$3*I20/$E$3,2)</f>
        <v>0</v>
      </c>
      <c r="I20" s="50">
        <f t="shared" si="2"/>
        <v>0</v>
      </c>
      <c r="J20" s="1393"/>
      <c r="K20" s="1392">
        <f t="shared" si="3"/>
        <v>0</v>
      </c>
      <c r="L20" s="1248">
        <f t="shared" si="4"/>
        <v>0</v>
      </c>
      <c r="M20" s="1404">
        <f t="shared" ref="M20:M26" si="8">K20+L20</f>
        <v>0</v>
      </c>
      <c r="N20" s="2260"/>
      <c r="O20" s="2261"/>
      <c r="P20" s="1404">
        <f t="shared" ref="P20:P26" si="9">N20+O20</f>
        <v>0</v>
      </c>
      <c r="R20" s="1248">
        <f t="shared" si="5"/>
        <v>8309.57</v>
      </c>
      <c r="S20" s="1249">
        <f t="shared" si="5"/>
        <v>33238.290000000008</v>
      </c>
    </row>
    <row r="21" spans="1:19">
      <c r="A21" s="2262"/>
      <c r="B21" s="49" t="s">
        <v>1951</v>
      </c>
      <c r="C21" s="2259" t="s">
        <v>4157</v>
      </c>
      <c r="D21" s="47">
        <f t="shared" si="6"/>
        <v>3788.19</v>
      </c>
      <c r="E21" s="55">
        <f t="shared" si="1"/>
        <v>15152.750000000002</v>
      </c>
      <c r="F21" s="56">
        <f>'数据-基础表'!M5</f>
        <v>15152.750000000002</v>
      </c>
      <c r="G21" s="57"/>
      <c r="H21" s="722">
        <f t="shared" si="7"/>
        <v>0</v>
      </c>
      <c r="I21" s="50">
        <f t="shared" si="2"/>
        <v>0</v>
      </c>
      <c r="J21" s="1393"/>
      <c r="K21" s="1392">
        <f t="shared" si="3"/>
        <v>0</v>
      </c>
      <c r="L21" s="1248">
        <f t="shared" si="4"/>
        <v>0</v>
      </c>
      <c r="M21" s="1404">
        <f t="shared" si="8"/>
        <v>0</v>
      </c>
      <c r="N21" s="2260"/>
      <c r="O21" s="2261"/>
      <c r="P21" s="1404">
        <f t="shared" si="9"/>
        <v>0</v>
      </c>
      <c r="R21" s="1248">
        <f t="shared" si="5"/>
        <v>3788.19</v>
      </c>
      <c r="S21" s="1249">
        <f t="shared" si="5"/>
        <v>15152.750000000002</v>
      </c>
    </row>
    <row r="22" spans="1:19">
      <c r="A22" s="2262"/>
      <c r="B22" s="49" t="s">
        <v>1951</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49" t="s">
        <v>1951</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49" t="s">
        <v>1951</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49" t="s">
        <v>1951</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49" t="s">
        <v>1951</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3"/>
      <c r="O26" s="2264"/>
      <c r="P26" s="66">
        <f t="shared" si="9"/>
        <v>0</v>
      </c>
      <c r="R26" s="1248">
        <f t="shared" si="5"/>
        <v>0</v>
      </c>
      <c r="S26" s="1249">
        <f t="shared" si="5"/>
        <v>0</v>
      </c>
    </row>
    <row r="27" spans="1:19" ht="15.75" thickBot="1">
      <c r="A27" s="2262"/>
      <c r="B27" s="47"/>
      <c r="C27" s="2265" t="s">
        <v>1952</v>
      </c>
      <c r="D27" s="1394">
        <f>SUM(D19:D26)</f>
        <v>12497.800000000001</v>
      </c>
      <c r="E27" s="1395">
        <f>IF(SUM(E19:E26)='数据-基础表'!BA5,SUM(E19:E26),IF(F27="地上面积有误","面积有误","地下面积有误"))</f>
        <v>49991.200000000012</v>
      </c>
      <c r="F27" s="1394">
        <f>IF(SUM(F19:F26)=E8,SUM(F19:F26),"地上面积有误")</f>
        <v>49991.200000000012</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12497.800000000001</v>
      </c>
      <c r="S27" s="1248">
        <f>IF(SUM(S19:S26)=$E$3,SUM(S19:S26),SUM(S19:S26)&amp;"误差"&amp;ROUND(SUM(S19:S26)-E3,2))</f>
        <v>49991.200000000012</v>
      </c>
    </row>
    <row r="28" spans="1:19">
      <c r="A28" s="2262"/>
      <c r="B28" s="49" t="s">
        <v>1953</v>
      </c>
      <c r="C28" s="1260" t="s">
        <v>1954</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2"/>
      <c r="B29" s="49" t="s">
        <v>1953</v>
      </c>
      <c r="C29" s="2266" t="s">
        <v>1955</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2"/>
      <c r="B30" s="49"/>
      <c r="C30" s="2267" t="s">
        <v>1952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1956</v>
      </c>
      <c r="D31" s="728">
        <f>D27+D30</f>
        <v>12497.800000000001</v>
      </c>
      <c r="E31" s="728">
        <f>E27+E30</f>
        <v>49991.200000000012</v>
      </c>
      <c r="F31" s="729">
        <f>F27+F30</f>
        <v>49991.200000000012</v>
      </c>
      <c r="G31" s="730">
        <f>G27+G30</f>
        <v>0</v>
      </c>
      <c r="H31" s="1393"/>
      <c r="I31" s="1393"/>
      <c r="J31" s="1393"/>
      <c r="K31" s="1393"/>
      <c r="L31" s="1393"/>
      <c r="M31" s="1393"/>
      <c r="N31" s="1393"/>
      <c r="O31" s="1393"/>
      <c r="P31" s="1393"/>
    </row>
    <row r="32" spans="1:19">
      <c r="A32" s="2232"/>
      <c r="B32" s="2232" t="s">
        <v>1957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63" sqref="E22:F63"/>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1958</v>
      </c>
      <c r="B1" s="731"/>
      <c r="C1" s="1581"/>
      <c r="D1" s="2272"/>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1959</v>
      </c>
      <c r="B2" s="1267">
        <f>项目基本情况!D3</f>
        <v>43488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7" t="s">
        <v>1960</v>
      </c>
      <c r="B4" s="2280"/>
      <c r="C4" s="2281"/>
      <c r="D4" s="2282"/>
      <c r="E4" s="2281" t="s">
        <v>1961</v>
      </c>
      <c r="F4" s="2281"/>
      <c r="G4" s="2281"/>
      <c r="H4" s="2281"/>
      <c r="I4" s="2281"/>
      <c r="J4" s="2283"/>
      <c r="K4" s="2284"/>
      <c r="L4" s="2285"/>
      <c r="M4" s="2281"/>
      <c r="N4" s="2281" t="s">
        <v>1962</v>
      </c>
      <c r="O4" s="2281"/>
      <c r="P4" s="2281"/>
      <c r="Q4" s="2281"/>
      <c r="R4" s="2281"/>
      <c r="S4" s="2283"/>
      <c r="T4" s="2286" t="str">
        <f>'数据-汇总表'!I17</f>
        <v>按面积比例</v>
      </c>
      <c r="U4" s="2280" t="s">
        <v>1963</v>
      </c>
      <c r="V4" s="2281"/>
      <c r="W4" s="2281"/>
      <c r="X4" s="2281"/>
      <c r="Y4" s="2283"/>
      <c r="Z4" s="2243" t="s">
        <v>1964</v>
      </c>
      <c r="AA4" s="2243"/>
      <c r="AB4" s="2243"/>
      <c r="AC4" s="2243"/>
      <c r="AD4" s="2243"/>
      <c r="AE4" s="2241" t="s">
        <v>1965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1966</v>
      </c>
      <c r="B5" s="2289" t="s">
        <v>1967</v>
      </c>
      <c r="C5" s="2290" t="s">
        <v>1968</v>
      </c>
      <c r="D5" s="2291" t="s">
        <v>1969</v>
      </c>
      <c r="E5" s="1269" t="s">
        <v>1970</v>
      </c>
      <c r="F5" s="2292" t="s">
        <v>1971</v>
      </c>
      <c r="G5" s="1269" t="s">
        <v>1972</v>
      </c>
      <c r="H5" s="1269" t="s">
        <v>1973</v>
      </c>
      <c r="I5" s="1269" t="s">
        <v>1974</v>
      </c>
      <c r="J5" s="2293" t="s">
        <v>1975</v>
      </c>
      <c r="K5" s="2294" t="s">
        <v>1976</v>
      </c>
      <c r="L5" s="2295" t="s">
        <v>1977</v>
      </c>
      <c r="M5" s="2296" t="s">
        <v>1978</v>
      </c>
      <c r="N5" s="2297" t="s">
        <v>4158</v>
      </c>
      <c r="O5" s="2295" t="s">
        <v>1979</v>
      </c>
      <c r="P5" s="2298" t="s">
        <v>1980</v>
      </c>
      <c r="Q5" s="68" t="s">
        <v>1981</v>
      </c>
      <c r="R5" s="2299" t="s">
        <v>1982</v>
      </c>
      <c r="S5" s="2300" t="s">
        <v>1983</v>
      </c>
      <c r="T5" s="2301" t="s">
        <v>1984</v>
      </c>
      <c r="U5" s="1268" t="s">
        <v>1985</v>
      </c>
      <c r="V5" s="1269" t="s">
        <v>1986</v>
      </c>
      <c r="W5" s="1269" t="s">
        <v>1987</v>
      </c>
      <c r="X5" s="70"/>
      <c r="Y5" s="69" t="s">
        <v>1988</v>
      </c>
      <c r="Z5" s="2302" t="s">
        <v>1985</v>
      </c>
      <c r="AA5" s="1269" t="s">
        <v>1986</v>
      </c>
      <c r="AB5" s="1269" t="s">
        <v>1987</v>
      </c>
      <c r="AC5" s="70"/>
      <c r="AD5" s="70" t="s">
        <v>1988</v>
      </c>
      <c r="AE5" s="1268" t="s">
        <v>1989</v>
      </c>
      <c r="AF5" s="1269" t="s">
        <v>1990</v>
      </c>
      <c r="AG5" s="69" t="s">
        <v>1991</v>
      </c>
      <c r="AH5" s="1268" t="s">
        <v>1992</v>
      </c>
      <c r="AI5" s="2302" t="s">
        <v>1993</v>
      </c>
      <c r="AJ5" s="2302" t="s">
        <v>1994</v>
      </c>
      <c r="AK5" s="1269" t="s">
        <v>1995</v>
      </c>
      <c r="AL5" s="1269" t="s">
        <v>1996</v>
      </c>
      <c r="AM5" s="69" t="s">
        <v>1997</v>
      </c>
      <c r="AN5" s="2303" t="s">
        <v>1998</v>
      </c>
      <c r="AO5" s="2073" t="s">
        <v>1999</v>
      </c>
      <c r="AP5" s="1250" t="s">
        <v>2000</v>
      </c>
      <c r="AQ5" s="2304" t="s">
        <v>2001</v>
      </c>
      <c r="AR5" s="2304"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商业</v>
      </c>
      <c r="B6" s="2306" t="str">
        <f>IF(A6=0,"","经营性")</f>
        <v>经营性</v>
      </c>
      <c r="C6" s="2307" t="s">
        <v>1373</v>
      </c>
      <c r="D6" s="1052">
        <f>SUMIF(项目基本情况!D$12:I$12,C6,项目基本情况!D$14:I$14)</f>
        <v>40</v>
      </c>
      <c r="E6" s="1049">
        <f>IF(B6="","",SUMIF(项目基本情况!D$12:I$12,C6,项目基本情况!D$13:I$13))</f>
        <v>56298</v>
      </c>
      <c r="F6" s="71">
        <f>SUMIF(项目基本情况!D$12:I$12,C6,项目基本情况!D$15:I$15)</f>
        <v>35.090000000000003</v>
      </c>
      <c r="G6" s="72">
        <f>IF(ISERROR(ROUND(POWER(1+H6,D6-F6)*(POWER(1+H6,F6)-1)/(POWER(1+H6,D6)-1),3)),0,ROUND(POWER(1+H6,D6-F6)*(POWER(1+H6,F6)-1)/(POWER(1+H6,D6)-1),3))</f>
        <v>0.95</v>
      </c>
      <c r="H6" s="801">
        <v>4.4999999999999998E-2</v>
      </c>
      <c r="I6" s="801">
        <v>5.5E-2</v>
      </c>
      <c r="J6" s="73">
        <v>8.5000000000000006E-2</v>
      </c>
      <c r="K6" s="1252">
        <f>SUMIF('数据-汇总表'!C$19:C$33,A6,'数据-汇总表'!E$19:E$33)</f>
        <v>1600.16</v>
      </c>
      <c r="L6" s="802">
        <v>4000</v>
      </c>
      <c r="M6" s="74">
        <f t="shared" ref="M6:M14" si="0">ROUND(K6*L6/10000,0)</f>
        <v>640</v>
      </c>
      <c r="N6" s="800">
        <f>ROUND(1-(2019-'收益法（商业）'!$J$49)/60,2)</f>
        <v>0.97</v>
      </c>
      <c r="O6" s="74" t="str">
        <f>IF($N$5="成新度","——",ROUND(M6*N6,0))</f>
        <v>——</v>
      </c>
      <c r="P6" s="75" t="str">
        <f>IF($N$5="成新度","——",M6-O6)</f>
        <v>——</v>
      </c>
      <c r="Q6" s="803">
        <v>0.2</v>
      </c>
      <c r="R6" s="76">
        <f ca="1">SUMIF('数据-汇总表'!C$19:C$33,A6,'数据-汇总表'!R$19:R$27)</f>
        <v>400.04</v>
      </c>
      <c r="S6" s="53">
        <f>IF('数据-汇总表'!$I$17="按面积比例",SUMIF('数据-汇总表'!C$19:C$33,A6,'数据-汇总表'!K$19:K$33),SUMIF('数据-汇总表'!C$19:C$33,A6,'数据-汇总表'!N$19:N$33))</f>
        <v>0</v>
      </c>
      <c r="T6" s="1444">
        <f>ROUND($L$14*S6/10000,0)</f>
        <v>0</v>
      </c>
      <c r="U6" s="77">
        <v>11</v>
      </c>
      <c r="V6" s="78">
        <v>0.03</v>
      </c>
      <c r="W6" s="78">
        <v>0.1</v>
      </c>
      <c r="X6" s="1262"/>
      <c r="Y6" s="79">
        <f>N6</f>
        <v>0.97</v>
      </c>
      <c r="Z6" s="80"/>
      <c r="AA6" s="73"/>
      <c r="AB6" s="73"/>
      <c r="AC6" s="1262"/>
      <c r="AD6" s="81"/>
      <c r="AE6" s="1263">
        <f ca="1">IF(AN6="",0,SUMIF(INDIRECT("'"&amp;AN6&amp;"'"&amp;"!E:E"),$AE$5,INDIRECT("'"&amp;AN6&amp;"'"&amp;"!F:F")))</f>
        <v>35.090000000000003</v>
      </c>
      <c r="AF6" s="1804"/>
      <c r="AG6" s="146">
        <f>IF(AF6="",0,AE6-AF6)</f>
        <v>0</v>
      </c>
      <c r="AH6" s="82"/>
      <c r="AI6" s="84">
        <v>365</v>
      </c>
      <c r="AJ6" s="85"/>
      <c r="AK6" s="86">
        <v>1.4999999999999999E-2</v>
      </c>
      <c r="AL6" s="87">
        <v>1.5E-3</v>
      </c>
      <c r="AM6" s="88">
        <v>0.02</v>
      </c>
      <c r="AN6" s="2308" t="s">
        <v>4163</v>
      </c>
      <c r="AO6" s="54">
        <f ca="1">SUMIF(INDIRECT("'"&amp;AN6&amp;"'"&amp;"!A:A"),"总价",INDIRECT("'"&amp;AN6&amp;"'"&amp;"!B:B"))</f>
        <v>10260</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平层公寓</v>
      </c>
      <c r="B7" s="2306" t="str">
        <f t="shared" ref="B7:B13" si="1">IF(A7=0,"","经营性")</f>
        <v>经营性</v>
      </c>
      <c r="C7" s="2307" t="s">
        <v>27</v>
      </c>
      <c r="D7" s="1052">
        <f>SUMIF(项目基本情况!D$12:I$12,C7,项目基本情况!D$14:I$14)</f>
        <v>50</v>
      </c>
      <c r="E7" s="1049">
        <f>IF(B7="","",SUMIF(项目基本情况!D$12:I$12,C7,项目基本情况!D$13:I$13))</f>
        <v>59950</v>
      </c>
      <c r="F7" s="71">
        <f>SUMIF(项目基本情况!D$12:I$12,C7,项目基本情况!D$15:I$15)</f>
        <v>45.1</v>
      </c>
      <c r="G7" s="72">
        <f t="shared" ref="G7:G11" si="2">IF(ISERROR(ROUND(POWER(1+H7,D7-F7)*(POWER(1+H7,F7)-1)/(POWER(1+H7,D7)-1),3)),0,ROUND(POWER(1+H7,D7-F7)*(POWER(1+H7,F7)-1)/(POWER(1+H7,D7)-1),3))</f>
        <v>0.97</v>
      </c>
      <c r="H7" s="801">
        <v>4.4999999999999998E-2</v>
      </c>
      <c r="I7" s="801">
        <v>0.05</v>
      </c>
      <c r="J7" s="73">
        <v>8.5000000000000006E-2</v>
      </c>
      <c r="K7" s="1252">
        <f>SUMIF('数据-汇总表'!C$19:C$33,A7,'数据-汇总表'!E$19:E$33)</f>
        <v>33238.290000000008</v>
      </c>
      <c r="L7" s="802">
        <v>4000</v>
      </c>
      <c r="M7" s="74">
        <f t="shared" si="0"/>
        <v>13295</v>
      </c>
      <c r="N7" s="800">
        <f>ROUND(1-(2019-'收益法（商业）'!$J$49)/60,2)</f>
        <v>0.97</v>
      </c>
      <c r="O7" s="74" t="str">
        <f t="shared" ref="O7:O14" si="3">IF($N$5="成新度","——",ROUND(M7*N7,0))</f>
        <v>——</v>
      </c>
      <c r="P7" s="75" t="str">
        <f t="shared" ref="P7:P14" si="4">IF($N$5="成新度","——",M7-O7)</f>
        <v>——</v>
      </c>
      <c r="Q7" s="803">
        <v>0.1</v>
      </c>
      <c r="R7" s="76">
        <f ca="1">SUMIF('数据-汇总表'!C$19:C$33,A7,'数据-汇总表'!R$19:R$27)</f>
        <v>8309.57</v>
      </c>
      <c r="S7" s="53">
        <f>IF('数据-汇总表'!$I$17="按面积比例",SUMIF('数据-汇总表'!C$19:C$33,A7,'数据-汇总表'!K$19:K$33),SUMIF('数据-汇总表'!C$19:C$33,A7,'数据-汇总表'!N$19:N$33))</f>
        <v>0</v>
      </c>
      <c r="T7" s="1444">
        <f t="shared" ref="T7:T13" si="5">ROUND($L$14*S7/10000,0)</f>
        <v>0</v>
      </c>
      <c r="U7" s="77">
        <v>5</v>
      </c>
      <c r="V7" s="78">
        <v>0.03</v>
      </c>
      <c r="W7" s="78">
        <v>0.1</v>
      </c>
      <c r="X7" s="1262"/>
      <c r="Y7" s="79">
        <f t="shared" ref="Y7:Y8" si="6">N7</f>
        <v>0.97</v>
      </c>
      <c r="Z7" s="80"/>
      <c r="AA7" s="73"/>
      <c r="AB7" s="73"/>
      <c r="AC7" s="1262"/>
      <c r="AD7" s="81"/>
      <c r="AE7" s="1263">
        <f t="shared" ref="AE7:AE13" ca="1" si="7">IF(AN7="",0,SUMIF(INDIRECT("'"&amp;AN7&amp;"'"&amp;"!E:E"),$AE$5,INDIRECT("'"&amp;AN7&amp;"'"&amp;"!F:F")))</f>
        <v>45.1</v>
      </c>
      <c r="AF7" s="1804"/>
      <c r="AG7" s="146">
        <f t="shared" ref="AG7:AG13" si="8">IF(AF7="",0,AE7-AF7)</f>
        <v>0</v>
      </c>
      <c r="AH7" s="82"/>
      <c r="AI7" s="84">
        <v>365</v>
      </c>
      <c r="AJ7" s="85"/>
      <c r="AK7" s="86">
        <v>1.4999999999999999E-2</v>
      </c>
      <c r="AL7" s="87">
        <v>1.5E-3</v>
      </c>
      <c r="AM7" s="88">
        <v>0.02</v>
      </c>
      <c r="AN7" s="2308" t="s">
        <v>4164</v>
      </c>
      <c r="AO7" s="54">
        <f t="shared" ref="AO7:AO13" ca="1" si="9">SUMIF(INDIRECT("'"&amp;AN7&amp;"'"&amp;"!A:A"),"总价",INDIRECT("'"&amp;AN7&amp;"'"&amp;"!B:B"))</f>
        <v>118894</v>
      </c>
      <c r="AP7" s="2309">
        <f t="shared" ref="AP7:AP13" si="10">IF(C7="住宅",K7*L7,0)</f>
        <v>0</v>
      </c>
      <c r="AQ7" s="54">
        <f t="shared" ref="AQ7:AQ13" si="11">ROUND($L$14*$N$14*S7/10000,0)</f>
        <v>0</v>
      </c>
      <c r="AR7" s="54">
        <f t="shared" ref="AR7:AR13" si="12">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t="str">
        <f>'数据-汇总表'!C21</f>
        <v>LOFT公寓</v>
      </c>
      <c r="B8" s="2306" t="str">
        <f t="shared" si="1"/>
        <v>经营性</v>
      </c>
      <c r="C8" s="2307" t="s">
        <v>27</v>
      </c>
      <c r="D8" s="1052">
        <f>SUMIF(项目基本情况!D$12:I$12,C8,项目基本情况!D$14:I$14)</f>
        <v>50</v>
      </c>
      <c r="E8" s="1049">
        <f>IF(B8="","",SUMIF(项目基本情况!D$12:I$12,C8,项目基本情况!D$13:I$13))</f>
        <v>59950</v>
      </c>
      <c r="F8" s="71">
        <f>SUMIF(项目基本情况!D$12:I$12,C8,项目基本情况!D$15:I$15)</f>
        <v>45.1</v>
      </c>
      <c r="G8" s="72">
        <f t="shared" si="2"/>
        <v>0.97</v>
      </c>
      <c r="H8" s="801">
        <v>4.4999999999999998E-2</v>
      </c>
      <c r="I8" s="801">
        <v>0.05</v>
      </c>
      <c r="J8" s="73">
        <v>8.5000000000000006E-2</v>
      </c>
      <c r="K8" s="1252">
        <f>SUMIF('数据-汇总表'!C$19:C$33,A8,'数据-汇总表'!E$19:E$33)</f>
        <v>15152.750000000002</v>
      </c>
      <c r="L8" s="802">
        <v>5000</v>
      </c>
      <c r="M8" s="74">
        <f>ROUND(K8*L8/10000,0)</f>
        <v>7576</v>
      </c>
      <c r="N8" s="800">
        <f>ROUND(1-(2019-'收益法（商业）'!$J$49)/60,2)</f>
        <v>0.97</v>
      </c>
      <c r="O8" s="74" t="str">
        <f t="shared" si="3"/>
        <v>——</v>
      </c>
      <c r="P8" s="75" t="str">
        <f t="shared" si="4"/>
        <v>——</v>
      </c>
      <c r="Q8" s="803">
        <v>0.1</v>
      </c>
      <c r="R8" s="76">
        <f ca="1">SUMIF('数据-汇总表'!C$19:C$33,A8,'数据-汇总表'!R$19:R$27)</f>
        <v>3788.19</v>
      </c>
      <c r="S8" s="53">
        <f>IF('数据-汇总表'!$I$17="按面积比例",SUMIF('数据-汇总表'!C$19:C$33,A8,'数据-汇总表'!K$19:K$33),SUMIF('数据-汇总表'!C$19:C$33,A8,'数据-汇总表'!N$19:N$33))</f>
        <v>0</v>
      </c>
      <c r="T8" s="1444">
        <f t="shared" si="5"/>
        <v>0</v>
      </c>
      <c r="U8" s="804">
        <f>W21</f>
        <v>5.6</v>
      </c>
      <c r="V8" s="805">
        <v>0.03</v>
      </c>
      <c r="W8" s="805">
        <v>0.1</v>
      </c>
      <c r="X8" s="1262"/>
      <c r="Y8" s="79">
        <f t="shared" si="6"/>
        <v>0.97</v>
      </c>
      <c r="Z8" s="80"/>
      <c r="AA8" s="73"/>
      <c r="AB8" s="73"/>
      <c r="AC8" s="1262"/>
      <c r="AD8" s="81"/>
      <c r="AE8" s="1263">
        <f t="shared" ca="1" si="7"/>
        <v>45.1</v>
      </c>
      <c r="AF8" s="1804"/>
      <c r="AG8" s="146">
        <f t="shared" si="8"/>
        <v>0</v>
      </c>
      <c r="AH8" s="806"/>
      <c r="AI8" s="84">
        <v>365</v>
      </c>
      <c r="AJ8" s="85"/>
      <c r="AK8" s="807">
        <v>1.4999999999999999E-2</v>
      </c>
      <c r="AL8" s="808">
        <v>1.5E-3</v>
      </c>
      <c r="AM8" s="809">
        <v>0.02</v>
      </c>
      <c r="AN8" s="2308" t="s">
        <v>4165</v>
      </c>
      <c r="AO8" s="54">
        <f t="shared" ca="1" si="9"/>
        <v>60226</v>
      </c>
      <c r="AP8" s="2309">
        <f t="shared" si="10"/>
        <v>0</v>
      </c>
      <c r="AQ8" s="54">
        <f t="shared" si="11"/>
        <v>0</v>
      </c>
      <c r="AR8" s="54">
        <f t="shared" si="12"/>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7"/>
        <v>0</v>
      </c>
      <c r="AF9" s="1804"/>
      <c r="AG9" s="146">
        <f t="shared" si="8"/>
        <v>0</v>
      </c>
      <c r="AH9" s="82"/>
      <c r="AI9" s="84"/>
      <c r="AJ9" s="85"/>
      <c r="AK9" s="86"/>
      <c r="AL9" s="87"/>
      <c r="AM9" s="88"/>
      <c r="AN9" s="2308"/>
      <c r="AO9" s="54" t="e">
        <f t="shared" ca="1" si="9"/>
        <v>#REF!</v>
      </c>
      <c r="AP9" s="2309">
        <f t="shared" si="10"/>
        <v>0</v>
      </c>
      <c r="AQ9" s="54">
        <f t="shared" si="11"/>
        <v>0</v>
      </c>
      <c r="AR9" s="54">
        <f t="shared" si="12"/>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7"/>
        <v>0</v>
      </c>
      <c r="AF10" s="1804"/>
      <c r="AG10" s="146">
        <f t="shared" si="8"/>
        <v>0</v>
      </c>
      <c r="AH10" s="82"/>
      <c r="AI10" s="84"/>
      <c r="AJ10" s="85"/>
      <c r="AK10" s="86"/>
      <c r="AL10" s="87"/>
      <c r="AM10" s="88"/>
      <c r="AN10" s="2308"/>
      <c r="AO10" s="54" t="e">
        <f t="shared" ca="1" si="9"/>
        <v>#REF!</v>
      </c>
      <c r="AP10" s="2309">
        <f t="shared" si="10"/>
        <v>0</v>
      </c>
      <c r="AQ10" s="54">
        <f t="shared" si="11"/>
        <v>0</v>
      </c>
      <c r="AR10" s="54">
        <f t="shared" si="12"/>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7"/>
        <v>0</v>
      </c>
      <c r="AF11" s="1804"/>
      <c r="AG11" s="146">
        <f t="shared" si="8"/>
        <v>0</v>
      </c>
      <c r="AH11" s="82"/>
      <c r="AI11" s="84"/>
      <c r="AJ11" s="85"/>
      <c r="AK11" s="93"/>
      <c r="AL11" s="94"/>
      <c r="AM11" s="95"/>
      <c r="AN11" s="2308"/>
      <c r="AO11" s="54" t="e">
        <f t="shared" ca="1" si="9"/>
        <v>#REF!</v>
      </c>
      <c r="AP11" s="2309">
        <f t="shared" si="10"/>
        <v>0</v>
      </c>
      <c r="AQ11" s="54">
        <f t="shared" si="11"/>
        <v>0</v>
      </c>
      <c r="AR11" s="54">
        <f t="shared" si="12"/>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7"/>
        <v>0</v>
      </c>
      <c r="AF12" s="1804"/>
      <c r="AG12" s="146">
        <f t="shared" si="8"/>
        <v>0</v>
      </c>
      <c r="AH12" s="82"/>
      <c r="AI12" s="84"/>
      <c r="AJ12" s="85"/>
      <c r="AK12" s="93"/>
      <c r="AL12" s="94"/>
      <c r="AM12" s="95"/>
      <c r="AN12" s="2308"/>
      <c r="AO12" s="54" t="e">
        <f t="shared" ca="1" si="9"/>
        <v>#REF!</v>
      </c>
      <c r="AP12" s="2309">
        <f t="shared" si="10"/>
        <v>0</v>
      </c>
      <c r="AQ12" s="54">
        <f t="shared" si="11"/>
        <v>0</v>
      </c>
      <c r="AR12" s="54">
        <f t="shared" si="12"/>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7"/>
        <v>0</v>
      </c>
      <c r="AF13" s="1804"/>
      <c r="AG13" s="146">
        <f t="shared" si="8"/>
        <v>0</v>
      </c>
      <c r="AH13" s="82"/>
      <c r="AI13" s="84"/>
      <c r="AJ13" s="85"/>
      <c r="AK13" s="86"/>
      <c r="AL13" s="87"/>
      <c r="AM13" s="88"/>
      <c r="AN13" s="2308"/>
      <c r="AO13" s="54" t="e">
        <f t="shared" ca="1" si="9"/>
        <v>#REF!</v>
      </c>
      <c r="AP13" s="2309">
        <f t="shared" si="10"/>
        <v>0</v>
      </c>
      <c r="AQ13" s="54">
        <f t="shared" si="11"/>
        <v>0</v>
      </c>
      <c r="AR13" s="54">
        <f t="shared" si="12"/>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2003</v>
      </c>
      <c r="B14" s="2306" t="s">
        <v>2004</v>
      </c>
      <c r="C14" s="2311" t="s">
        <v>2003</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5"/>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2005</v>
      </c>
      <c r="B15" s="2306" t="s">
        <v>2004</v>
      </c>
      <c r="C15" s="2311" t="s">
        <v>2006</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5"/>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2007</v>
      </c>
      <c r="B16" s="96"/>
      <c r="C16" s="1006"/>
      <c r="D16" s="2313"/>
      <c r="E16" s="96"/>
      <c r="F16" s="96"/>
      <c r="G16" s="97">
        <f>ROUND(SUMPRODUCT(G6:G13,K6:K13)/SUMPRODUCT((G6:G13&gt;0)*(K6:K13)),3)</f>
        <v>0.96899999999999997</v>
      </c>
      <c r="H16" s="98">
        <f>ROUND(SUMPRODUCT(H6:H13,K6:K13)/SUMPRODUCT((H6:H13&gt;0)*(K6:K13)),3)</f>
        <v>4.4999999999999998E-2</v>
      </c>
      <c r="I16" s="99"/>
      <c r="J16" s="99"/>
      <c r="K16" s="100">
        <f>SUM(K6:K15)</f>
        <v>49991.200000000012</v>
      </c>
      <c r="L16" s="101">
        <f>ROUND(M16*10000/SUM(K6:K14),0)</f>
        <v>4303</v>
      </c>
      <c r="M16" s="101">
        <f>SUM(M6:M14)</f>
        <v>21511</v>
      </c>
      <c r="N16" s="102">
        <f>ROUND(SUMPRODUCT(M6:M14,N6:N14)/M16,3)</f>
        <v>0.97</v>
      </c>
      <c r="O16" s="101">
        <f>SUM(O6:O14)</f>
        <v>0</v>
      </c>
      <c r="P16" s="101">
        <f>SUM(P6:P14)</f>
        <v>0</v>
      </c>
      <c r="Q16" s="103">
        <f>ROUND(SUMPRODUCT(Q6:Q13,K6:K13)/SUMPRODUCT((Q6:Q13&gt;0)*(K6:K13)),2)</f>
        <v>0.1</v>
      </c>
      <c r="R16" s="1256">
        <f ca="1">SUM(R6:R13)</f>
        <v>12497.800000000001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1"/>
      <c r="D17" s="2272"/>
      <c r="E17" s="2272"/>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2008</v>
      </c>
      <c r="B18" s="2279"/>
      <c r="C18" s="2276"/>
      <c r="D18" s="2277"/>
      <c r="E18" s="2276"/>
      <c r="F18" s="2276"/>
      <c r="G18" s="2276"/>
      <c r="H18" s="2276"/>
      <c r="I18" s="2276"/>
      <c r="J18" s="2276"/>
      <c r="K18" s="167"/>
      <c r="L18" s="167"/>
      <c r="M18" s="1581"/>
      <c r="N18" s="1581"/>
      <c r="O18" s="1581"/>
      <c r="P18" s="1581"/>
      <c r="Q18" s="1581"/>
      <c r="R18" s="1581"/>
      <c r="S18" s="1581"/>
      <c r="T18" s="1581"/>
      <c r="U18" s="1581"/>
      <c r="V18" s="3317"/>
      <c r="W18" s="3317">
        <f>U7</f>
        <v>5</v>
      </c>
      <c r="X18" s="1581"/>
      <c r="Y18" s="1581"/>
      <c r="Z18" s="1581"/>
      <c r="AA18" s="1581"/>
      <c r="AB18" s="1581"/>
      <c r="AC18" s="1581"/>
      <c r="AD18" s="1581"/>
      <c r="AE18" s="1581"/>
      <c r="AF18" s="1581"/>
      <c r="AG18" s="1581"/>
      <c r="AH18" s="1581"/>
      <c r="AI18" s="1581"/>
      <c r="AJ18" s="1581"/>
      <c r="AK18" s="1581"/>
      <c r="AL18" s="1581"/>
      <c r="AM18" s="1581"/>
    </row>
    <row r="19" spans="1:67" ht="14.25">
      <c r="A19" s="2315" t="s">
        <v>2009</v>
      </c>
      <c r="B19" s="111">
        <v>0</v>
      </c>
      <c r="C19" s="2276" t="s">
        <v>2010</v>
      </c>
      <c r="D19" s="2277"/>
      <c r="E19" s="2276"/>
      <c r="F19" s="2276"/>
      <c r="G19" s="2276"/>
      <c r="H19" s="2276"/>
      <c r="I19" s="2276"/>
      <c r="J19" s="2276"/>
      <c r="K19" s="167"/>
      <c r="L19" s="167"/>
      <c r="M19" s="1581"/>
      <c r="N19" s="1581"/>
      <c r="O19" s="1581"/>
      <c r="P19" s="1581"/>
      <c r="Q19" s="1581"/>
      <c r="R19" s="1581"/>
      <c r="S19" s="1581"/>
      <c r="T19" s="1581"/>
      <c r="U19" s="1581"/>
      <c r="V19" s="3318" t="s">
        <v>4306</v>
      </c>
      <c r="W19" s="3317">
        <f>100/90</f>
        <v>1.1111111111111112</v>
      </c>
      <c r="X19" s="1581"/>
      <c r="Y19" s="1581"/>
      <c r="Z19" s="1581"/>
      <c r="AA19" s="1581"/>
      <c r="AB19" s="1581"/>
      <c r="AC19" s="1581"/>
      <c r="AD19" s="1581"/>
      <c r="AE19" s="1581"/>
      <c r="AF19" s="1581"/>
      <c r="AG19" s="1581"/>
      <c r="AH19" s="1581"/>
      <c r="AI19" s="1581"/>
      <c r="AJ19" s="1581"/>
      <c r="AK19" s="1581"/>
      <c r="AL19" s="1581"/>
      <c r="AM19" s="1581"/>
    </row>
    <row r="20" spans="1:67" ht="14.25">
      <c r="A20" s="2316" t="s">
        <v>2011</v>
      </c>
      <c r="B20" s="112">
        <v>2.5</v>
      </c>
      <c r="C20" s="2276" t="s">
        <v>2012</v>
      </c>
      <c r="D20" s="2277"/>
      <c r="E20" s="2276"/>
      <c r="F20" s="2276"/>
      <c r="G20" s="2276"/>
      <c r="H20" s="2276"/>
      <c r="I20" s="2276"/>
      <c r="J20" s="2276"/>
      <c r="K20" s="167"/>
      <c r="L20" s="167"/>
      <c r="M20" s="1581"/>
      <c r="N20" s="1581"/>
      <c r="O20" s="1581"/>
      <c r="P20" s="1581"/>
      <c r="Q20" s="1581"/>
      <c r="R20" s="1581"/>
      <c r="S20" s="1581"/>
      <c r="T20" s="1581"/>
      <c r="U20" s="1581"/>
      <c r="V20" s="3318" t="s">
        <v>4307</v>
      </c>
      <c r="W20" s="3317">
        <f>100/100</f>
        <v>1</v>
      </c>
      <c r="X20" s="1581"/>
      <c r="Y20" s="1581"/>
      <c r="Z20" s="1581"/>
      <c r="AA20" s="1581"/>
      <c r="AB20" s="1581"/>
      <c r="AC20" s="1581"/>
      <c r="AD20" s="1581"/>
      <c r="AE20" s="1581"/>
      <c r="AF20" s="1581"/>
      <c r="AG20" s="1581"/>
      <c r="AH20" s="1581"/>
      <c r="AI20" s="1581"/>
      <c r="AJ20" s="1581"/>
      <c r="AK20" s="1581"/>
      <c r="AL20" s="1581"/>
      <c r="AM20" s="1581"/>
    </row>
    <row r="21" spans="1:67" ht="14.25">
      <c r="A21" s="2317" t="s">
        <v>2013</v>
      </c>
      <c r="B21" s="112">
        <v>2.5</v>
      </c>
      <c r="C21" s="2276"/>
      <c r="D21" s="2277"/>
      <c r="E21" s="2276"/>
      <c r="F21" s="2276"/>
      <c r="G21" s="2276"/>
      <c r="H21" s="2276"/>
      <c r="I21" s="2276"/>
      <c r="J21" s="2276"/>
      <c r="K21" s="167"/>
      <c r="L21" s="167"/>
      <c r="M21" s="1581"/>
      <c r="N21" s="1581"/>
      <c r="O21" s="1581"/>
      <c r="P21" s="1581"/>
      <c r="Q21" s="1581"/>
      <c r="R21" s="1581"/>
      <c r="S21" s="1581"/>
      <c r="T21" s="1581"/>
      <c r="U21" s="1581"/>
      <c r="V21" s="3317"/>
      <c r="W21" s="3317">
        <f>ROUND(W18*W19*W20,1)</f>
        <v>5.6</v>
      </c>
      <c r="X21" s="1581"/>
      <c r="Y21" s="1581"/>
      <c r="Z21" s="1581"/>
      <c r="AA21" s="1581"/>
      <c r="AB21" s="1581"/>
      <c r="AC21" s="1581"/>
      <c r="AD21" s="1581"/>
      <c r="AE21" s="1581"/>
      <c r="AF21" s="1581"/>
      <c r="AG21" s="1581"/>
      <c r="AH21" s="1581"/>
      <c r="AI21" s="1581"/>
      <c r="AJ21" s="1581"/>
      <c r="AK21" s="1581"/>
      <c r="AL21" s="1581"/>
      <c r="AM21" s="1581"/>
    </row>
    <row r="22" spans="1:67" ht="14.25">
      <c r="A22" s="2316" t="s">
        <v>2014</v>
      </c>
      <c r="B22" s="113">
        <f>B19+B20</f>
        <v>2.5</v>
      </c>
      <c r="C22" s="2276"/>
      <c r="D22" s="2277"/>
      <c r="E22" s="2276"/>
      <c r="F22" s="2276"/>
      <c r="G22" s="2276"/>
      <c r="H22" s="2276"/>
      <c r="I22" s="2276"/>
      <c r="J22" s="2276"/>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2015</v>
      </c>
      <c r="B23" s="113">
        <f>B19+B21</f>
        <v>2.5</v>
      </c>
      <c r="C23" s="2276"/>
      <c r="D23" s="2277"/>
      <c r="E23" s="2276"/>
      <c r="F23" s="2276"/>
      <c r="G23" s="2276"/>
      <c r="H23" s="2276"/>
      <c r="I23" s="2276"/>
      <c r="J23" s="2276"/>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2016</v>
      </c>
      <c r="B24" s="114">
        <f>B20-B21</f>
        <v>0</v>
      </c>
      <c r="C24" s="2276"/>
      <c r="D24" s="2277"/>
      <c r="E24" s="2276"/>
      <c r="F24" s="2276"/>
      <c r="G24" s="2276"/>
      <c r="H24" s="2276"/>
      <c r="I24" s="2276"/>
      <c r="J24" s="2276"/>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2017</v>
      </c>
      <c r="B26" s="2319" t="s">
        <v>2018</v>
      </c>
      <c r="C26" s="2320" t="s">
        <v>2019</v>
      </c>
      <c r="D26" s="2277"/>
      <c r="E26" s="2276"/>
      <c r="F26" s="2276"/>
      <c r="G26" s="2276"/>
      <c r="H26" s="2276"/>
      <c r="I26" s="2276"/>
      <c r="J26" s="2276"/>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2020</v>
      </c>
      <c r="B27" s="115">
        <v>160</v>
      </c>
      <c r="C27" s="1764" t="s">
        <v>2021</v>
      </c>
      <c r="D27" s="2322"/>
      <c r="E27" s="1428"/>
      <c r="F27" s="1428"/>
      <c r="G27" s="2276"/>
      <c r="H27" s="2276"/>
      <c r="I27" s="2276"/>
      <c r="J27" s="2276"/>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2022</v>
      </c>
      <c r="B28" s="118">
        <v>200</v>
      </c>
      <c r="C28" s="2325"/>
      <c r="D28" s="2322"/>
      <c r="E28" s="1428"/>
      <c r="F28" s="1428"/>
      <c r="G28" s="2276"/>
      <c r="H28" s="2276"/>
      <c r="I28" s="2276"/>
      <c r="J28" s="2276"/>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2023</v>
      </c>
      <c r="B29" s="120">
        <f ca="1">成本法!C9+成本法!C10</f>
        <v>1000</v>
      </c>
      <c r="C29" s="1764" t="s">
        <v>2024</v>
      </c>
      <c r="D29" s="2322"/>
      <c r="E29" s="1428"/>
      <c r="F29" s="1428"/>
      <c r="G29" s="2276"/>
      <c r="H29" s="2276"/>
      <c r="I29" s="2276"/>
      <c r="J29" s="2276"/>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2025</v>
      </c>
      <c r="B30" s="723">
        <v>200</v>
      </c>
      <c r="C30" s="2325"/>
      <c r="D30" s="2322"/>
      <c r="E30" s="1428"/>
      <c r="F30" s="1428"/>
      <c r="G30" s="2276"/>
      <c r="H30" s="2276"/>
      <c r="I30" s="2276"/>
      <c r="J30" s="2276"/>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2026</v>
      </c>
      <c r="B31" s="119">
        <f>B30-B32</f>
        <v>200</v>
      </c>
      <c r="C31" s="1764"/>
      <c r="D31" s="2322"/>
      <c r="E31" s="1428"/>
      <c r="F31" s="1428"/>
      <c r="G31" s="2276"/>
      <c r="H31" s="2276"/>
      <c r="I31" s="2276"/>
      <c r="J31" s="2276"/>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2027</v>
      </c>
      <c r="B32" s="724">
        <v>0</v>
      </c>
      <c r="C32" s="2325"/>
      <c r="D32" s="2277"/>
      <c r="E32" s="2276"/>
      <c r="F32" s="2276"/>
      <c r="G32" s="2276"/>
      <c r="H32" s="2276"/>
      <c r="I32" s="2276"/>
      <c r="J32" s="2276"/>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2028</v>
      </c>
      <c r="B33" s="725">
        <v>0.03</v>
      </c>
      <c r="C33" s="1763" t="s">
        <v>2029</v>
      </c>
      <c r="D33" s="2277"/>
      <c r="E33" s="2276"/>
      <c r="F33" s="2276"/>
      <c r="G33" s="2276"/>
      <c r="H33" s="2276"/>
      <c r="I33" s="2276"/>
      <c r="J33" s="2276"/>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2030</v>
      </c>
      <c r="B34" s="121">
        <v>0</v>
      </c>
      <c r="C34" s="1763" t="s">
        <v>2031</v>
      </c>
      <c r="D34" s="2277" t="s">
        <v>2032</v>
      </c>
      <c r="E34" s="731"/>
      <c r="F34" s="2276"/>
      <c r="G34" s="2276"/>
      <c r="H34" s="2276"/>
      <c r="I34" s="2276"/>
      <c r="J34" s="2276"/>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2033</v>
      </c>
      <c r="B35" s="118">
        <v>200</v>
      </c>
      <c r="C35" s="1763" t="s">
        <v>2034</v>
      </c>
      <c r="D35" s="2322"/>
      <c r="E35" s="1428"/>
      <c r="F35" s="1428"/>
      <c r="G35" s="2276"/>
      <c r="H35" s="2276"/>
      <c r="I35" s="2276"/>
      <c r="J35" s="2276"/>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2035</v>
      </c>
      <c r="B36" s="122">
        <v>1.4999999999999999E-2</v>
      </c>
      <c r="C36" s="1763" t="s">
        <v>2036</v>
      </c>
      <c r="D36" s="2277"/>
      <c r="E36" s="2276"/>
      <c r="F36" s="2276"/>
      <c r="G36" s="2276"/>
      <c r="H36" s="2276"/>
      <c r="I36" s="2276"/>
      <c r="J36" s="2276"/>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2037</v>
      </c>
      <c r="B37" s="123">
        <v>1.4999999999999999E-2</v>
      </c>
      <c r="C37" s="1763" t="s">
        <v>2038</v>
      </c>
      <c r="D37" s="2277"/>
      <c r="E37" s="2276"/>
      <c r="F37" s="2276"/>
      <c r="G37" s="2276"/>
      <c r="H37" s="2276"/>
      <c r="I37" s="2276"/>
      <c r="J37" s="2276"/>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2039</v>
      </c>
      <c r="B38" s="121">
        <v>2.5000000000000001E-2</v>
      </c>
      <c r="C38" s="1763" t="s">
        <v>2038</v>
      </c>
      <c r="D38" s="2277"/>
      <c r="E38" s="2276"/>
      <c r="F38" s="2276"/>
      <c r="G38" s="2276"/>
      <c r="H38" s="2276"/>
      <c r="I38" s="2276"/>
      <c r="J38" s="2276"/>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2040</v>
      </c>
      <c r="B39" s="361">
        <f ca="1">存贷款利率!I1</f>
        <v>1.4999999999999999E-2</v>
      </c>
      <c r="C39" s="1763"/>
      <c r="D39" s="2277"/>
      <c r="E39" s="2276"/>
      <c r="F39" s="2276"/>
      <c r="G39" s="2276"/>
      <c r="H39" s="2276"/>
      <c r="I39" s="2276"/>
      <c r="J39" s="2276"/>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2041</v>
      </c>
      <c r="B40" s="1301">
        <f ca="1">存贷款利率!G1</f>
        <v>4.7500000000000001E-2</v>
      </c>
      <c r="C40" s="1763" t="s">
        <v>2042</v>
      </c>
      <c r="D40" s="1581"/>
      <c r="E40" s="2277"/>
      <c r="F40" s="2276"/>
      <c r="G40" s="2276"/>
      <c r="H40" s="2276"/>
      <c r="I40" s="2276"/>
      <c r="J40" s="2276"/>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2043</v>
      </c>
      <c r="B41" s="124">
        <f>B42+B43</f>
        <v>5.6000000000000001E-2</v>
      </c>
      <c r="C41" s="1764"/>
      <c r="D41" s="1581"/>
      <c r="E41" s="2277"/>
      <c r="F41" s="2276"/>
      <c r="G41" s="2276"/>
      <c r="H41" s="2276"/>
      <c r="I41" s="2276"/>
      <c r="J41" s="2276"/>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2044</v>
      </c>
      <c r="B42" s="125">
        <v>0.05</v>
      </c>
      <c r="C42" s="2330">
        <f>IF(B2&lt;DATE(2016,5,1),0,B42)</f>
        <v>0.05</v>
      </c>
      <c r="D42" s="2277"/>
      <c r="E42" s="2276"/>
      <c r="F42" s="2276"/>
      <c r="G42" s="2276"/>
      <c r="H42" s="2276"/>
      <c r="I42" s="2276"/>
      <c r="J42" s="2276"/>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2045</v>
      </c>
      <c r="B43" s="126">
        <f>B42*(B44+B45+B46)+B47</f>
        <v>6.000000000000001E-3</v>
      </c>
      <c r="C43" s="1764"/>
      <c r="D43" s="2277"/>
      <c r="E43" s="2276"/>
      <c r="F43" s="2276"/>
      <c r="G43" s="2276"/>
      <c r="H43" s="2276"/>
      <c r="I43" s="2276"/>
      <c r="J43" s="2276"/>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2046</v>
      </c>
      <c r="B44" s="127">
        <v>7.0000000000000007E-2</v>
      </c>
      <c r="C44" s="1763" t="s">
        <v>2047</v>
      </c>
      <c r="D44" s="2277"/>
      <c r="E44" s="2276"/>
      <c r="F44" s="2276"/>
      <c r="G44" s="2276"/>
      <c r="H44" s="2276"/>
      <c r="I44" s="2276"/>
      <c r="J44" s="2276"/>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2048</v>
      </c>
      <c r="B45" s="125">
        <v>0.03</v>
      </c>
      <c r="C45" s="1764" t="s">
        <v>2049</v>
      </c>
      <c r="D45" s="2277"/>
      <c r="E45" s="2276"/>
      <c r="F45" s="2276"/>
      <c r="G45" s="2276"/>
      <c r="H45" s="2276"/>
      <c r="I45" s="2276"/>
      <c r="J45" s="2276"/>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2050</v>
      </c>
      <c r="B46" s="125">
        <v>0.02</v>
      </c>
      <c r="C46" s="1764" t="s">
        <v>2051</v>
      </c>
      <c r="D46" s="2277"/>
      <c r="E46" s="2276"/>
      <c r="F46" s="2276"/>
      <c r="G46" s="2276"/>
      <c r="H46" s="2276"/>
      <c r="I46" s="2276"/>
      <c r="J46" s="2276"/>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2052</v>
      </c>
      <c r="B47" s="128">
        <v>0</v>
      </c>
      <c r="C47" s="1764" t="s">
        <v>2053</v>
      </c>
      <c r="D47" s="2277"/>
      <c r="E47" s="2276"/>
      <c r="F47" s="2276"/>
      <c r="G47" s="2276"/>
      <c r="H47" s="2276"/>
      <c r="I47" s="2276"/>
      <c r="J47" s="2276"/>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2054</v>
      </c>
      <c r="B48" s="129">
        <v>0.03</v>
      </c>
      <c r="C48" s="1771" t="s">
        <v>2055</v>
      </c>
      <c r="D48" s="2277"/>
      <c r="E48" s="2276"/>
      <c r="F48" s="2276"/>
      <c r="G48" s="2276"/>
      <c r="H48" s="2276"/>
      <c r="I48" s="2276"/>
      <c r="J48" s="2276"/>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2056</v>
      </c>
      <c r="B49" s="125">
        <v>5.0000000000000001E-4</v>
      </c>
      <c r="C49" s="1771" t="s">
        <v>2057</v>
      </c>
      <c r="D49" s="2277"/>
      <c r="E49" s="2276"/>
      <c r="F49" s="2276"/>
      <c r="G49" s="2276"/>
      <c r="H49" s="2276"/>
      <c r="I49" s="2276"/>
      <c r="J49" s="2276"/>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2058</v>
      </c>
      <c r="B50" s="130">
        <v>1.2E-2</v>
      </c>
      <c r="C50" s="1428"/>
      <c r="D50" s="2277"/>
      <c r="E50" s="2276"/>
      <c r="F50" s="2276"/>
      <c r="G50" s="2276"/>
      <c r="H50" s="2276"/>
      <c r="I50" s="2276"/>
      <c r="J50" s="2276"/>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2059</v>
      </c>
      <c r="B51" s="131">
        <v>0.12</v>
      </c>
      <c r="C51" s="1428"/>
      <c r="D51" s="2277"/>
      <c r="E51" s="2276"/>
      <c r="F51" s="2276"/>
      <c r="G51" s="2276"/>
      <c r="H51" s="2276"/>
      <c r="I51" s="2276"/>
      <c r="J51" s="2276"/>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2060</v>
      </c>
      <c r="B52" s="132">
        <f>SUMIF(A54:A63,B53,B54:B63)</f>
        <v>1.5</v>
      </c>
      <c r="C52" s="1428"/>
      <c r="D52" s="2277"/>
      <c r="E52" s="2276"/>
      <c r="F52" s="2276"/>
      <c r="G52" s="2276"/>
      <c r="H52" s="2276"/>
      <c r="I52" s="2276"/>
      <c r="J52" s="2276"/>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2061</v>
      </c>
      <c r="B53" s="2335" t="s">
        <v>56</v>
      </c>
      <c r="C53" s="1428" t="s">
        <v>2062</v>
      </c>
      <c r="D53" s="2336" t="s">
        <v>2063</v>
      </c>
      <c r="E53" s="2276"/>
      <c r="F53" s="2276"/>
      <c r="G53" s="2276"/>
      <c r="H53" s="2276"/>
      <c r="I53" s="2276"/>
      <c r="J53" s="2276"/>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2064</v>
      </c>
      <c r="B54" s="83"/>
      <c r="C54" s="1428">
        <v>30</v>
      </c>
      <c r="D54" s="2277"/>
      <c r="E54" s="2276"/>
      <c r="F54" s="2276"/>
      <c r="G54" s="2276"/>
      <c r="H54" s="2276"/>
      <c r="I54" s="2276"/>
      <c r="J54" s="2276"/>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2065</v>
      </c>
      <c r="B55" s="83"/>
      <c r="C55" s="1428">
        <v>24</v>
      </c>
      <c r="D55" s="2277"/>
      <c r="E55" s="2276"/>
      <c r="F55" s="2276"/>
      <c r="G55" s="2276"/>
      <c r="H55" s="2276"/>
      <c r="I55" s="2338"/>
      <c r="J55" s="2276"/>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2066</v>
      </c>
      <c r="B56" s="83"/>
      <c r="C56" s="1428">
        <v>18</v>
      </c>
      <c r="D56" s="2277"/>
      <c r="E56" s="2276"/>
      <c r="F56" s="2276"/>
      <c r="G56" s="2276"/>
      <c r="H56" s="2276"/>
      <c r="I56" s="2276"/>
      <c r="J56" s="2276"/>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2067</v>
      </c>
      <c r="B57" s="83"/>
      <c r="C57" s="1428">
        <v>12</v>
      </c>
      <c r="D57" s="2277"/>
      <c r="E57" s="2276"/>
      <c r="F57" s="2276"/>
      <c r="G57" s="2276"/>
      <c r="H57" s="2276"/>
      <c r="I57" s="2276"/>
      <c r="J57" s="2276"/>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2068</v>
      </c>
      <c r="B58" s="83"/>
      <c r="C58" s="1428">
        <v>3</v>
      </c>
      <c r="D58" s="2277"/>
      <c r="E58" s="2276"/>
      <c r="F58" s="2276"/>
      <c r="G58" s="2276"/>
      <c r="H58" s="2276"/>
      <c r="I58" s="2276"/>
      <c r="J58" s="2276"/>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2069</v>
      </c>
      <c r="B59" s="83">
        <v>1.5</v>
      </c>
      <c r="C59" s="1428">
        <v>1.5</v>
      </c>
      <c r="D59" s="2277"/>
      <c r="E59" s="2276"/>
      <c r="F59" s="2276"/>
      <c r="G59" s="2276"/>
      <c r="H59" s="2276"/>
      <c r="I59" s="2276"/>
      <c r="J59" s="2276"/>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2070</v>
      </c>
      <c r="B60" s="83"/>
      <c r="C60" s="2276"/>
      <c r="D60" s="2277"/>
      <c r="E60" s="2276"/>
      <c r="F60" s="2276"/>
      <c r="G60" s="2276"/>
      <c r="H60" s="2276"/>
      <c r="I60" s="2276"/>
      <c r="J60" s="2276"/>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2071</v>
      </c>
      <c r="B61" s="83"/>
      <c r="C61" s="2276"/>
      <c r="D61" s="2277"/>
      <c r="E61" s="2276"/>
      <c r="F61" s="2276"/>
      <c r="G61" s="2276"/>
      <c r="H61" s="2276"/>
      <c r="I61" s="2276"/>
      <c r="J61" s="2276"/>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2072</v>
      </c>
      <c r="B62" s="83"/>
      <c r="C62" s="2276"/>
      <c r="D62" s="2277"/>
      <c r="E62" s="2276"/>
      <c r="F62" s="2276"/>
      <c r="G62" s="2276"/>
      <c r="H62" s="2276"/>
      <c r="I62" s="2276"/>
      <c r="J62" s="2276"/>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2073</v>
      </c>
      <c r="B63" s="133"/>
      <c r="C63" s="2276"/>
      <c r="D63" s="2277"/>
      <c r="E63" s="2276"/>
      <c r="F63" s="2276"/>
      <c r="G63" s="2276"/>
      <c r="H63" s="2276"/>
      <c r="I63" s="2276"/>
      <c r="J63" s="2276"/>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0"/>
      <c r="D64" s="2341"/>
      <c r="K64" s="797"/>
      <c r="L64" s="797"/>
    </row>
    <row r="65" spans="1:12" s="965" customFormat="1">
      <c r="A65" s="2340"/>
      <c r="D65" s="2341"/>
      <c r="K65" s="797"/>
      <c r="L65" s="797"/>
    </row>
    <row r="66" spans="1:12" s="965" customFormat="1">
      <c r="A66" s="2340"/>
      <c r="D66" s="2341"/>
      <c r="K66" s="797"/>
      <c r="L66" s="797"/>
    </row>
    <row r="67" spans="1:12" s="965" customFormat="1">
      <c r="A67" s="2340"/>
      <c r="D67" s="2341"/>
      <c r="K67" s="797"/>
      <c r="L67" s="797"/>
    </row>
    <row r="68" spans="1:12" s="965" customFormat="1">
      <c r="A68" s="2340"/>
      <c r="D68" s="2341"/>
      <c r="K68" s="797"/>
      <c r="L68" s="797"/>
    </row>
    <row r="69" spans="1:12" s="965" customFormat="1">
      <c r="A69" s="2340"/>
      <c r="D69" s="2341"/>
      <c r="K69" s="797"/>
      <c r="L69" s="797"/>
    </row>
    <row r="70" spans="1:12" s="965" customFormat="1">
      <c r="A70" s="2340"/>
      <c r="D70" s="2341"/>
      <c r="K70" s="797"/>
      <c r="L70" s="797"/>
    </row>
    <row r="71" spans="1:12" s="965" customFormat="1">
      <c r="A71" s="2340"/>
      <c r="D71" s="2341"/>
      <c r="K71" s="797"/>
      <c r="L71" s="797"/>
    </row>
    <row r="72" spans="1:12" s="965" customFormat="1">
      <c r="A72" s="2340"/>
      <c r="D72" s="2341"/>
      <c r="K72" s="797"/>
      <c r="L72" s="797"/>
    </row>
    <row r="73" spans="1:12" s="965" customFormat="1">
      <c r="A73" s="2340"/>
      <c r="D73" s="2341"/>
      <c r="K73" s="797"/>
      <c r="L73" s="797"/>
    </row>
    <row r="74" spans="1:12" s="965" customFormat="1">
      <c r="A74" s="2340"/>
      <c r="D74" s="2341"/>
      <c r="K74" s="797"/>
      <c r="L74" s="797"/>
    </row>
    <row r="75" spans="1:12" s="965" customFormat="1">
      <c r="A75" s="2340"/>
      <c r="D75" s="2341"/>
      <c r="K75" s="797"/>
      <c r="L75" s="797"/>
    </row>
    <row r="76" spans="1:12" s="965" customFormat="1">
      <c r="A76" s="2340"/>
      <c r="D76" s="2341"/>
      <c r="K76" s="797"/>
      <c r="L76" s="797"/>
    </row>
    <row r="77" spans="1:12" s="965" customFormat="1">
      <c r="A77" s="2340"/>
      <c r="D77" s="2341"/>
      <c r="K77" s="797"/>
      <c r="L77" s="797"/>
    </row>
    <row r="78" spans="1:12" s="965" customFormat="1">
      <c r="A78" s="2340"/>
      <c r="D78" s="2341"/>
      <c r="K78" s="797"/>
      <c r="L78" s="797"/>
    </row>
    <row r="79" spans="1:12" s="965" customFormat="1">
      <c r="A79" s="2340"/>
      <c r="D79" s="2341"/>
      <c r="K79" s="797"/>
      <c r="L79" s="797"/>
    </row>
    <row r="80" spans="1:12" s="965" customFormat="1">
      <c r="A80" s="2340"/>
      <c r="D80" s="2341"/>
      <c r="K80" s="797"/>
      <c r="L80" s="797"/>
    </row>
    <row r="81" spans="1:12" s="965" customFormat="1">
      <c r="A81" s="2340"/>
      <c r="D81" s="2341"/>
      <c r="K81" s="797"/>
      <c r="L81" s="797"/>
    </row>
    <row r="82" spans="1:12" s="965" customFormat="1">
      <c r="A82" s="2340"/>
      <c r="D82" s="2341"/>
      <c r="K82" s="797"/>
      <c r="L82" s="797"/>
    </row>
    <row r="83" spans="1:12" s="965" customFormat="1">
      <c r="A83" s="2340"/>
      <c r="D83" s="2341"/>
      <c r="K83" s="797"/>
      <c r="L83" s="797"/>
    </row>
    <row r="84" spans="1:12" s="965" customFormat="1">
      <c r="A84" s="2340"/>
      <c r="D84" s="2341"/>
      <c r="K84" s="797"/>
      <c r="L84" s="797"/>
    </row>
    <row r="85" spans="1:12" s="965" customFormat="1">
      <c r="A85" s="2340"/>
      <c r="D85" s="2341"/>
      <c r="K85" s="797"/>
      <c r="L85" s="797"/>
    </row>
    <row r="86" spans="1:12" s="965" customFormat="1">
      <c r="A86" s="2340"/>
      <c r="D86" s="2341"/>
      <c r="K86" s="797"/>
      <c r="L86" s="797"/>
    </row>
    <row r="87" spans="1:12" s="965" customFormat="1">
      <c r="A87" s="2340"/>
      <c r="D87" s="2341"/>
      <c r="K87" s="797"/>
      <c r="L87" s="797"/>
    </row>
    <row r="88" spans="1:12" s="965" customFormat="1">
      <c r="A88" s="2340"/>
      <c r="D88" s="2341"/>
      <c r="K88" s="797"/>
      <c r="L88" s="797"/>
    </row>
    <row r="89" spans="1:12" s="965" customFormat="1">
      <c r="A89" s="2340"/>
      <c r="D89" s="2341"/>
      <c r="K89" s="797"/>
      <c r="L89" s="797"/>
    </row>
    <row r="90" spans="1:12" s="965" customFormat="1">
      <c r="A90" s="2340"/>
      <c r="D90" s="2341"/>
      <c r="K90" s="797"/>
      <c r="L90" s="797"/>
    </row>
    <row r="91" spans="1:12" s="965" customFormat="1">
      <c r="A91" s="2340"/>
      <c r="D91" s="2341"/>
      <c r="K91" s="797"/>
      <c r="L91" s="797"/>
    </row>
    <row r="92" spans="1:12" s="965" customFormat="1">
      <c r="A92" s="2340"/>
      <c r="D92" s="2341"/>
      <c r="K92" s="797"/>
      <c r="L92" s="797"/>
    </row>
    <row r="93" spans="1:12" s="965" customFormat="1">
      <c r="A93" s="2340"/>
      <c r="D93" s="2341"/>
      <c r="K93" s="797"/>
      <c r="L93" s="797"/>
    </row>
    <row r="94" spans="1:12" s="965" customFormat="1">
      <c r="A94" s="2340"/>
      <c r="D94" s="2341"/>
      <c r="K94" s="797"/>
      <c r="L94" s="797"/>
    </row>
    <row r="95" spans="1:12" s="965" customFormat="1">
      <c r="A95" s="2340"/>
      <c r="D95" s="2341"/>
      <c r="K95" s="797"/>
      <c r="L95" s="797"/>
    </row>
    <row r="96" spans="1:12" s="965" customFormat="1">
      <c r="A96" s="2340"/>
      <c r="D96" s="2341"/>
      <c r="K96" s="797"/>
      <c r="L96" s="797"/>
    </row>
    <row r="97" spans="1:12" s="965" customFormat="1">
      <c r="A97" s="2340"/>
      <c r="D97" s="2341"/>
      <c r="K97" s="797"/>
      <c r="L97" s="797"/>
    </row>
    <row r="98" spans="1:12" s="965" customFormat="1">
      <c r="A98" s="2340"/>
      <c r="D98" s="2341"/>
      <c r="K98" s="797"/>
      <c r="L98" s="797"/>
    </row>
    <row r="99" spans="1:12" s="965" customFormat="1">
      <c r="A99" s="2340"/>
      <c r="D99" s="2341"/>
      <c r="K99" s="797"/>
      <c r="L99" s="797"/>
    </row>
    <row r="100" spans="1:12" s="965" customFormat="1">
      <c r="A100" s="2340"/>
      <c r="D100" s="2341"/>
      <c r="K100" s="797"/>
      <c r="L100" s="797"/>
    </row>
    <row r="101" spans="1:12" s="965" customFormat="1">
      <c r="A101" s="2340"/>
      <c r="D101" s="2341"/>
      <c r="K101" s="797"/>
      <c r="L101" s="797"/>
    </row>
    <row r="102" spans="1:12" s="965" customFormat="1">
      <c r="A102" s="2340"/>
      <c r="D102" s="2341"/>
      <c r="K102" s="797"/>
      <c r="L102" s="797"/>
    </row>
    <row r="103" spans="1:12" s="965" customFormat="1">
      <c r="A103" s="2340"/>
      <c r="D103" s="2341"/>
      <c r="K103" s="797"/>
      <c r="L103" s="797"/>
    </row>
    <row r="104" spans="1:12" s="965" customFormat="1">
      <c r="A104" s="2340"/>
      <c r="D104" s="2341"/>
      <c r="K104" s="797"/>
      <c r="L104" s="797"/>
    </row>
    <row r="105" spans="1:12" s="965" customFormat="1">
      <c r="A105" s="2340"/>
      <c r="D105" s="2341"/>
      <c r="K105" s="797"/>
      <c r="L105" s="797"/>
    </row>
    <row r="106" spans="1:12" s="965" customFormat="1">
      <c r="A106" s="2340"/>
      <c r="D106" s="2341"/>
      <c r="K106" s="797"/>
      <c r="L106" s="797"/>
    </row>
    <row r="107" spans="1:12" s="965" customFormat="1">
      <c r="A107" s="2340"/>
      <c r="D107" s="2341"/>
      <c r="K107" s="797"/>
      <c r="L107" s="797"/>
    </row>
    <row r="108" spans="1:12" s="965" customFormat="1">
      <c r="A108" s="2340"/>
      <c r="D108" s="2341"/>
      <c r="K108" s="797"/>
      <c r="L108" s="797"/>
    </row>
    <row r="109" spans="1:12" s="965" customFormat="1">
      <c r="A109" s="2340"/>
      <c r="D109" s="2341"/>
      <c r="K109" s="797"/>
      <c r="L109" s="797"/>
    </row>
    <row r="110" spans="1:12" s="965" customFormat="1">
      <c r="A110" s="2340"/>
      <c r="D110" s="2341"/>
      <c r="K110" s="797"/>
      <c r="L110" s="797"/>
    </row>
    <row r="111" spans="1:12" s="965" customFormat="1">
      <c r="A111" s="2340"/>
      <c r="D111" s="2341"/>
      <c r="K111" s="797"/>
      <c r="L111" s="797"/>
    </row>
    <row r="112" spans="1:12" s="965" customFormat="1">
      <c r="A112" s="2340"/>
      <c r="D112" s="2341"/>
      <c r="K112" s="797"/>
      <c r="L112" s="797"/>
    </row>
    <row r="113" spans="1:12" s="965" customFormat="1">
      <c r="A113" s="2340"/>
      <c r="D113" s="2341"/>
      <c r="K113" s="797"/>
      <c r="L113" s="797"/>
    </row>
    <row r="114" spans="1:12" s="965" customFormat="1">
      <c r="A114" s="2340"/>
      <c r="D114" s="2341"/>
      <c r="K114" s="797"/>
      <c r="L114" s="797"/>
    </row>
    <row r="115" spans="1:12" s="965" customFormat="1">
      <c r="A115" s="2340"/>
      <c r="D115" s="2341"/>
      <c r="K115" s="797"/>
      <c r="L115" s="797"/>
    </row>
    <row r="116" spans="1:12" s="965" customFormat="1">
      <c r="A116" s="2340"/>
      <c r="D116" s="2341"/>
      <c r="K116" s="797"/>
      <c r="L116" s="797"/>
    </row>
    <row r="117" spans="1:12" s="965" customFormat="1">
      <c r="A117" s="2340"/>
      <c r="D117" s="2341"/>
      <c r="K117" s="797"/>
      <c r="L117" s="797"/>
    </row>
    <row r="118" spans="1:12" s="965" customFormat="1">
      <c r="A118" s="2340"/>
      <c r="D118" s="2341"/>
      <c r="K118" s="797"/>
      <c r="L118" s="797"/>
    </row>
    <row r="119" spans="1:12" s="965" customFormat="1">
      <c r="A119" s="2340"/>
      <c r="D119" s="2341"/>
      <c r="K119" s="797"/>
      <c r="L119" s="797"/>
    </row>
    <row r="120" spans="1:12" s="965" customFormat="1">
      <c r="A120" s="2340"/>
      <c r="D120" s="2341"/>
      <c r="K120" s="797"/>
      <c r="L120" s="797"/>
    </row>
    <row r="121" spans="1:12" s="965" customFormat="1">
      <c r="A121" s="2340"/>
      <c r="D121" s="2341"/>
      <c r="K121" s="797"/>
      <c r="L121" s="797"/>
    </row>
    <row r="122" spans="1:12" s="965" customFormat="1">
      <c r="A122" s="2340"/>
      <c r="D122" s="2341"/>
      <c r="K122" s="797"/>
      <c r="L122" s="797"/>
    </row>
    <row r="123" spans="1:12" s="965" customFormat="1">
      <c r="A123" s="2340"/>
      <c r="D123" s="2341"/>
      <c r="K123" s="797"/>
      <c r="L123" s="797"/>
    </row>
    <row r="124" spans="1:12" s="965" customFormat="1">
      <c r="A124" s="2340"/>
      <c r="D124" s="2341"/>
      <c r="K124" s="797"/>
      <c r="L124" s="797"/>
    </row>
    <row r="125" spans="1:12" s="965" customFormat="1">
      <c r="A125" s="2340"/>
      <c r="D125" s="2341"/>
      <c r="K125" s="797"/>
      <c r="L125" s="797"/>
    </row>
    <row r="126" spans="1:12" s="965" customFormat="1">
      <c r="A126" s="2340"/>
      <c r="D126" s="2341"/>
      <c r="K126" s="797"/>
      <c r="L126" s="797"/>
    </row>
    <row r="127" spans="1:12" s="965" customFormat="1">
      <c r="A127" s="2340"/>
      <c r="D127" s="2341"/>
      <c r="K127" s="797"/>
      <c r="L127" s="797"/>
    </row>
    <row r="128" spans="1:12" s="965" customFormat="1">
      <c r="A128" s="2340"/>
      <c r="D128" s="2341"/>
      <c r="K128" s="797"/>
      <c r="L128" s="797"/>
    </row>
    <row r="129" spans="1:12" s="965" customFormat="1">
      <c r="A129" s="2340"/>
      <c r="D129" s="2341"/>
      <c r="K129" s="797"/>
      <c r="L129" s="797"/>
    </row>
    <row r="130" spans="1:12" s="965" customFormat="1">
      <c r="A130" s="2340"/>
      <c r="D130" s="2341"/>
      <c r="K130" s="797"/>
      <c r="L130" s="797"/>
    </row>
    <row r="131" spans="1:12" s="965" customFormat="1">
      <c r="A131" s="2340"/>
      <c r="D131" s="2341"/>
      <c r="K131" s="797"/>
      <c r="L131" s="797"/>
    </row>
    <row r="132" spans="1:12" s="965" customFormat="1">
      <c r="A132" s="2340"/>
      <c r="D132" s="2341"/>
      <c r="K132" s="797"/>
      <c r="L132" s="797"/>
    </row>
    <row r="133" spans="1:12" s="965"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3" t="s">
        <v>2074</v>
      </c>
      <c r="B1" s="3044"/>
      <c r="C1" s="3044"/>
      <c r="D1" s="3044"/>
      <c r="E1" s="3044"/>
      <c r="F1" s="3044"/>
      <c r="G1" s="304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5"/>
      <c r="G2" s="2364" t="s">
        <v>2076</v>
      </c>
      <c r="H2" s="2367"/>
      <c r="I2" s="2367"/>
      <c r="J2" s="2367"/>
      <c r="K2" s="2367"/>
      <c r="L2" s="2367"/>
      <c r="M2" s="2367"/>
      <c r="N2" s="2367"/>
      <c r="O2" s="2367"/>
      <c r="P2" s="2367"/>
      <c r="Q2" s="2367"/>
      <c r="R2" s="2367"/>
    </row>
    <row r="3" spans="1:29" ht="54">
      <c r="A3" s="414" t="s">
        <v>2077</v>
      </c>
      <c r="B3" s="1269" t="s">
        <v>2078</v>
      </c>
      <c r="C3" s="2369" t="s">
        <v>2079</v>
      </c>
      <c r="D3" s="2370"/>
      <c r="E3" s="430" t="s">
        <v>2077</v>
      </c>
      <c r="F3" s="2371" t="s">
        <v>2080</v>
      </c>
      <c r="G3" s="2372" t="s">
        <v>2081</v>
      </c>
      <c r="H3" s="2367"/>
      <c r="I3" s="2367"/>
      <c r="J3" s="2367"/>
      <c r="K3" s="2367"/>
      <c r="L3" s="2367"/>
      <c r="M3" s="2367"/>
      <c r="N3" s="2367"/>
      <c r="O3" s="2367"/>
      <c r="P3" s="2367"/>
      <c r="Q3" s="2367"/>
      <c r="R3" s="2367"/>
    </row>
    <row r="4" spans="1:29" ht="41.25">
      <c r="A4" s="430"/>
      <c r="B4" s="1795" t="s">
        <v>2082</v>
      </c>
      <c r="C4" s="2373" t="s">
        <v>2083</v>
      </c>
      <c r="D4" s="2370"/>
      <c r="E4" s="2374"/>
      <c r="F4" s="41" t="s">
        <v>2084</v>
      </c>
      <c r="G4" s="2375" t="s">
        <v>2085</v>
      </c>
      <c r="H4" s="2367"/>
      <c r="I4" s="2367"/>
      <c r="J4" s="2367"/>
      <c r="K4" s="2367"/>
      <c r="L4" s="2367"/>
      <c r="M4" s="2367"/>
      <c r="N4" s="2367"/>
      <c r="O4" s="2367"/>
      <c r="P4" s="2367"/>
      <c r="Q4" s="2367"/>
      <c r="R4" s="2367"/>
    </row>
    <row r="5" spans="1:29" ht="41.25">
      <c r="A5" s="430"/>
      <c r="B5" s="1795" t="s">
        <v>2086</v>
      </c>
      <c r="C5" s="2373" t="s">
        <v>2087</v>
      </c>
      <c r="D5" s="2370"/>
      <c r="E5" s="2374"/>
      <c r="F5" s="1795" t="s">
        <v>2088</v>
      </c>
      <c r="G5" s="2375" t="s">
        <v>2089</v>
      </c>
      <c r="H5" s="2367"/>
      <c r="I5" s="2367"/>
      <c r="J5" s="2367"/>
      <c r="K5" s="2367"/>
      <c r="L5" s="2367"/>
      <c r="M5" s="2367"/>
      <c r="N5" s="2367"/>
      <c r="O5" s="2367"/>
      <c r="P5" s="2367"/>
      <c r="Q5" s="2367"/>
      <c r="R5" s="2367"/>
    </row>
    <row r="6" spans="1:29" ht="54">
      <c r="A6" s="430"/>
      <c r="B6" s="1795" t="s">
        <v>2090</v>
      </c>
      <c r="C6" s="2375" t="s">
        <v>2085</v>
      </c>
      <c r="D6" s="2370"/>
      <c r="E6" s="2374"/>
      <c r="F6" s="1795" t="s">
        <v>2091</v>
      </c>
      <c r="G6" s="2375" t="s">
        <v>2092</v>
      </c>
      <c r="H6" s="2367"/>
      <c r="I6" s="2367"/>
      <c r="J6" s="2367"/>
      <c r="K6" s="2367"/>
      <c r="L6" s="2367"/>
      <c r="M6" s="2367"/>
      <c r="N6" s="2367"/>
      <c r="O6" s="2367"/>
      <c r="P6" s="2367"/>
      <c r="Q6" s="2367"/>
      <c r="R6" s="2367"/>
    </row>
    <row r="7" spans="1:29" ht="41.25" thickBot="1">
      <c r="A7" s="430"/>
      <c r="B7" s="1795" t="s">
        <v>2088</v>
      </c>
      <c r="C7" s="2375" t="s">
        <v>2089</v>
      </c>
      <c r="D7" s="2376"/>
      <c r="E7" s="2377"/>
      <c r="F7" s="2378" t="s">
        <v>2093</v>
      </c>
      <c r="G7" s="2379" t="s">
        <v>2094</v>
      </c>
      <c r="H7" s="2367"/>
      <c r="I7" s="2367"/>
      <c r="J7" s="2367"/>
      <c r="K7" s="2367"/>
      <c r="L7" s="2367"/>
      <c r="M7" s="2367"/>
      <c r="N7" s="2367"/>
      <c r="O7" s="2367"/>
      <c r="P7" s="2367"/>
      <c r="Q7" s="2367"/>
      <c r="R7" s="2367"/>
    </row>
    <row r="8" spans="1:29" ht="27">
      <c r="A8" s="430"/>
      <c r="B8" s="1795" t="s">
        <v>2091</v>
      </c>
      <c r="C8" s="2375" t="s">
        <v>2092</v>
      </c>
      <c r="D8" s="2376"/>
      <c r="E8" s="2376"/>
      <c r="F8" s="1134"/>
      <c r="G8" s="1134"/>
      <c r="H8" s="2367"/>
      <c r="I8" s="2367"/>
      <c r="J8" s="2367"/>
      <c r="K8" s="2367"/>
      <c r="L8" s="2367"/>
      <c r="M8" s="2367"/>
      <c r="N8" s="2367"/>
      <c r="O8" s="2367"/>
      <c r="P8" s="2367"/>
      <c r="Q8" s="2367"/>
      <c r="R8" s="2367"/>
    </row>
    <row r="9" spans="1:29" ht="27">
      <c r="A9" s="430"/>
      <c r="B9" s="1795" t="s">
        <v>2095</v>
      </c>
      <c r="C9" s="2373" t="s">
        <v>2096</v>
      </c>
      <c r="D9" s="2370"/>
      <c r="E9" s="2376"/>
      <c r="F9" s="1134"/>
      <c r="G9" s="1134"/>
      <c r="H9" s="2367"/>
      <c r="I9" s="2367"/>
      <c r="J9" s="2367"/>
      <c r="K9" s="2367"/>
      <c r="L9" s="2367"/>
      <c r="M9" s="2367"/>
      <c r="N9" s="2367"/>
      <c r="O9" s="2367"/>
      <c r="P9" s="2367"/>
      <c r="Q9" s="2367"/>
      <c r="R9" s="2367"/>
    </row>
    <row r="10" spans="1:29" s="116" customFormat="1" ht="15.75" thickBot="1">
      <c r="A10" s="2380"/>
      <c r="B10" s="2381" t="s">
        <v>2097</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2098</v>
      </c>
      <c r="B13" s="2387"/>
      <c r="C13" s="2387"/>
      <c r="D13" s="2394"/>
      <c r="E13" s="2387"/>
      <c r="F13" s="2387"/>
      <c r="G13" s="2387"/>
    </row>
    <row r="14" spans="1:29" ht="15.75" thickBot="1">
      <c r="A14" s="2398"/>
      <c r="B14" s="2399"/>
      <c r="C14" s="2400" t="s">
        <v>2099</v>
      </c>
      <c r="D14" s="2370"/>
      <c r="E14" s="2401"/>
      <c r="F14" s="2401"/>
      <c r="G14" s="2364" t="s">
        <v>2100</v>
      </c>
    </row>
    <row r="15" spans="1:29" ht="57">
      <c r="A15" s="67" t="s">
        <v>2101</v>
      </c>
      <c r="B15" s="1268" t="s">
        <v>2078</v>
      </c>
      <c r="C15" s="2402" t="str">
        <f>C3</f>
        <v>估价对象周边居住用地比例、居住小区规模和社区发展完善程度，综合评价居住社区成熟度一般</v>
      </c>
      <c r="D15" s="2370"/>
      <c r="E15" s="2403" t="s">
        <v>2102</v>
      </c>
      <c r="F15" s="1268" t="s">
        <v>2103</v>
      </c>
      <c r="G15" s="134" t="str">
        <f>G3</f>
        <v>估价对象位于XX开发区，园区建设成熟度XX，产业集聚程度XX</v>
      </c>
    </row>
    <row r="16" spans="1:29" ht="42.75">
      <c r="A16" s="644"/>
      <c r="B16" s="2404" t="s">
        <v>2082</v>
      </c>
      <c r="C16" s="2405" t="str">
        <f>C4</f>
        <v>估价对象位于XX商圈，周边商业氛围成熟，人流量大，商业繁华度好</v>
      </c>
      <c r="D16" s="2370"/>
      <c r="E16" s="2406"/>
      <c r="F16" s="2407" t="s">
        <v>2084</v>
      </c>
      <c r="G16" s="135" t="str">
        <f>G4</f>
        <v>估价对象周边道路状况、公共交通通达情况、停车便捷程度，综合评价交通便捷度较好</v>
      </c>
    </row>
    <row r="17" spans="1:18" ht="42.75">
      <c r="A17" s="644"/>
      <c r="B17" s="2404" t="s">
        <v>2086</v>
      </c>
      <c r="C17" s="2405" t="str">
        <f>C5</f>
        <v>估价对象位于XX商圈，周边办公楼项目较多，入驻率高，办公集聚程度较好</v>
      </c>
      <c r="D17" s="2376"/>
      <c r="E17" s="2406"/>
      <c r="F17" s="2407" t="s">
        <v>2104</v>
      </c>
      <c r="G17" s="1569"/>
    </row>
    <row r="18" spans="1:18" ht="57">
      <c r="A18" s="644"/>
      <c r="B18" s="2407" t="s">
        <v>2090</v>
      </c>
      <c r="C18" s="135" t="str">
        <f>C6</f>
        <v>估价对象周边道路状况、公共交通通达情况、停车便捷程度，综合评价交通便捷度较好</v>
      </c>
      <c r="D18" s="2376"/>
      <c r="E18" s="2406"/>
      <c r="F18" s="2407" t="s">
        <v>2093</v>
      </c>
      <c r="G18" s="135" t="str">
        <f>G7</f>
        <v>该园区内是否有污染型企业，绿化情况，卫生条件，整体环境状况判断</v>
      </c>
    </row>
    <row r="19" spans="1:18" ht="28.5">
      <c r="A19" s="644"/>
      <c r="B19" s="2407" t="s">
        <v>2105</v>
      </c>
      <c r="C19" s="1569"/>
      <c r="D19" s="2370"/>
      <c r="E19" s="2406"/>
      <c r="F19" s="1795" t="s">
        <v>2088</v>
      </c>
      <c r="G19" s="135" t="str">
        <f>G5</f>
        <v>估价对象所在区域公共配套设施齐备情况</v>
      </c>
    </row>
    <row r="20" spans="1:18" ht="28.5">
      <c r="A20" s="644"/>
      <c r="B20" s="2407" t="s">
        <v>2106</v>
      </c>
      <c r="C20" s="2405" t="str">
        <f>C9</f>
        <v>区域自然环境：；人文环境；综合评价环境状况一般</v>
      </c>
      <c r="D20" s="2376"/>
      <c r="E20" s="2406"/>
      <c r="F20" s="1795" t="s">
        <v>2107</v>
      </c>
      <c r="G20" s="135" t="str">
        <f>G6</f>
        <v>估价对象所在区域基础设施水平</v>
      </c>
    </row>
    <row r="21" spans="1:18" ht="28.5">
      <c r="A21" s="644"/>
      <c r="B21" s="1795" t="s">
        <v>2088</v>
      </c>
      <c r="C21" s="135" t="str">
        <f>C7</f>
        <v>估价对象所在区域公共配套设施齐备情况</v>
      </c>
      <c r="D21" s="2370"/>
      <c r="E21" s="2406"/>
      <c r="F21" s="2407" t="s">
        <v>2108</v>
      </c>
      <c r="G21" s="2408"/>
    </row>
    <row r="22" spans="1:18" ht="13.5" customHeight="1">
      <c r="A22" s="644"/>
      <c r="B22" s="1795" t="s">
        <v>2091</v>
      </c>
      <c r="C22" s="135" t="str">
        <f>C8</f>
        <v>估价对象所在区域基础设施水平</v>
      </c>
      <c r="D22" s="2370"/>
      <c r="E22" s="2406"/>
      <c r="F22" s="2407" t="s">
        <v>2097</v>
      </c>
      <c r="G22" s="1569"/>
    </row>
    <row r="23" spans="1:18" s="2367" customFormat="1" ht="15.75" thickBot="1">
      <c r="A23" s="644"/>
      <c r="B23" s="2407" t="s">
        <v>2108</v>
      </c>
      <c r="C23" s="2408"/>
      <c r="D23" s="2395"/>
      <c r="E23" s="2409"/>
      <c r="F23" s="2410" t="s">
        <v>2109</v>
      </c>
      <c r="G23" s="2411"/>
      <c r="H23" s="2395"/>
      <c r="I23" s="2396"/>
      <c r="J23" s="2395"/>
      <c r="K23" s="2395"/>
      <c r="L23" s="2396"/>
      <c r="M23" s="2395"/>
      <c r="N23" s="2395"/>
      <c r="O23" s="2396"/>
      <c r="P23" s="2395"/>
      <c r="Q23" s="2395"/>
      <c r="R23" s="2397"/>
    </row>
    <row r="24" spans="1:18" s="2367" customFormat="1" ht="15.75" thickBot="1">
      <c r="A24" s="2412"/>
      <c r="B24" s="2410" t="s">
        <v>2110</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49991.200000000004</v>
      </c>
      <c r="C1" s="1742"/>
      <c r="D1" s="1742"/>
      <c r="E1" s="1742"/>
      <c r="F1" s="1742"/>
      <c r="G1" s="1740"/>
    </row>
    <row r="2" spans="1:10" ht="16.5">
      <c r="A2" s="1743" t="s">
        <v>1349</v>
      </c>
      <c r="B2" s="1743">
        <f>SUM(C14:C23)</f>
        <v>12497.8</v>
      </c>
      <c r="C2" s="1742"/>
      <c r="D2" s="1742"/>
      <c r="E2" s="1742"/>
      <c r="F2" s="1742"/>
      <c r="G2" s="1740"/>
    </row>
    <row r="3" spans="1:10" ht="16.5">
      <c r="A3" s="1743" t="s">
        <v>1358</v>
      </c>
      <c r="B3" s="1744">
        <f>项目基本情况!D3</f>
        <v>43488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190397</v>
      </c>
      <c r="C5" s="1743">
        <f ca="1">ROUND(B5*10000/$B$1,0)</f>
        <v>38086</v>
      </c>
      <c r="D5" s="1743">
        <f ca="1">ROUND(B5*10000/$B$2,0)</f>
        <v>152344</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190397</v>
      </c>
      <c r="C7" s="1743">
        <f ca="1">ROUND(B7*10000/$B$1,0)</f>
        <v>38086</v>
      </c>
      <c r="D7" s="1743">
        <f ca="1">ROUND(B7*10000/$B$2,0)</f>
        <v>152344</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49991.200000000004</v>
      </c>
      <c r="C14" s="1741">
        <f>结果表!C118</f>
        <v>12497.8</v>
      </c>
      <c r="D14" s="1741">
        <f ca="1">结果表!H118</f>
        <v>190397</v>
      </c>
      <c r="E14" s="1741">
        <f ca="1">ROUND(D14*10000/B14,0)</f>
        <v>38086</v>
      </c>
      <c r="F14" s="1741">
        <f ca="1">ROUND(D14*10000/C14,0)</f>
        <v>152344</v>
      </c>
      <c r="G14" s="1741" t="str">
        <f>结果表!D122</f>
        <v>——</v>
      </c>
      <c r="H14" s="1741">
        <f ca="1">结果表!D124</f>
        <v>190397</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0" sqref="H20"/>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2111</v>
      </c>
      <c r="B1" s="2418"/>
      <c r="C1" s="2419"/>
      <c r="D1" s="2418"/>
      <c r="E1" s="2418"/>
      <c r="F1" s="2420" t="s">
        <v>2112</v>
      </c>
      <c r="G1" s="2070" t="s">
        <v>4137</v>
      </c>
      <c r="H1" s="2421" t="str">
        <f>IF(G1="现房","——","估价对象范围")</f>
        <v>——</v>
      </c>
      <c r="I1" s="2422" t="s">
        <v>4168</v>
      </c>
    </row>
    <row r="2" spans="1:12" ht="21.75" customHeight="1" thickBot="1">
      <c r="A2" s="3078" t="str">
        <f>项目基本情况!S2</f>
        <v>北京市门头沟区新城东街19号院“西长安街壹号”综合项目房地产房地产</v>
      </c>
      <c r="B2" s="3079"/>
      <c r="C2" s="3079"/>
      <c r="D2" s="3079"/>
      <c r="E2" s="3079"/>
      <c r="F2" s="3079"/>
      <c r="G2" s="3079"/>
      <c r="H2" s="3079"/>
      <c r="I2" s="3080"/>
    </row>
    <row r="3" spans="1:12" ht="12.75">
      <c r="A3" s="3082" t="s">
        <v>2113</v>
      </c>
      <c r="B3" s="3083"/>
      <c r="C3" s="3083"/>
      <c r="D3" s="3083"/>
      <c r="E3" s="3083"/>
      <c r="F3" s="3083"/>
      <c r="G3" s="3083"/>
      <c r="H3" s="3083"/>
      <c r="I3" s="3083"/>
    </row>
    <row r="4" spans="1:12" ht="14.25">
      <c r="A4" s="2425" t="s">
        <v>2114</v>
      </c>
      <c r="B4" s="2426" t="s">
        <v>2115</v>
      </c>
      <c r="C4" s="2427" t="s">
        <v>4169</v>
      </c>
      <c r="D4" s="2427" t="s">
        <v>4167</v>
      </c>
      <c r="E4" s="3075" t="s">
        <v>2116</v>
      </c>
      <c r="F4" s="3076"/>
      <c r="G4" s="3076"/>
      <c r="H4" s="3076"/>
      <c r="I4" s="308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58" t="s">
        <v>2117</v>
      </c>
      <c r="B5" s="2997">
        <v>25</v>
      </c>
      <c r="C5" s="3061"/>
      <c r="D5" s="3081"/>
      <c r="E5" s="139" t="s">
        <v>2118</v>
      </c>
      <c r="F5" s="2429"/>
      <c r="G5" s="2429"/>
      <c r="H5" s="2429"/>
      <c r="I5" s="1831"/>
    </row>
    <row r="6" spans="1:12" ht="12.75">
      <c r="A6" s="3058"/>
      <c r="B6" s="2997"/>
      <c r="C6" s="3062"/>
      <c r="D6" s="3081"/>
      <c r="E6" s="139" t="s">
        <v>2119</v>
      </c>
      <c r="F6" s="2429"/>
      <c r="G6" s="2429"/>
      <c r="H6" s="2429"/>
      <c r="I6" s="1831"/>
    </row>
    <row r="7" spans="1:12" ht="12.75">
      <c r="A7" s="3058"/>
      <c r="B7" s="2997"/>
      <c r="C7" s="3063"/>
      <c r="D7" s="3081"/>
      <c r="E7" s="139" t="s">
        <v>2120</v>
      </c>
      <c r="F7" s="2429"/>
      <c r="G7" s="2429"/>
      <c r="H7" s="2429"/>
      <c r="I7" s="1831"/>
    </row>
    <row r="8" spans="1:12" ht="12.75">
      <c r="A8" s="3058" t="s">
        <v>2121</v>
      </c>
      <c r="B8" s="2997">
        <v>15</v>
      </c>
      <c r="C8" s="3061"/>
      <c r="D8" s="3081"/>
      <c r="E8" s="139" t="s">
        <v>2122</v>
      </c>
      <c r="F8" s="2429"/>
      <c r="G8" s="2429"/>
      <c r="H8" s="2429"/>
      <c r="I8" s="1831"/>
    </row>
    <row r="9" spans="1:12" ht="12.75">
      <c r="A9" s="3058"/>
      <c r="B9" s="2997"/>
      <c r="C9" s="3063"/>
      <c r="D9" s="3081"/>
      <c r="E9" s="139" t="s">
        <v>2123</v>
      </c>
      <c r="F9" s="2429"/>
      <c r="G9" s="2429"/>
      <c r="H9" s="2429"/>
      <c r="I9" s="1831"/>
    </row>
    <row r="10" spans="1:12" ht="12.75">
      <c r="A10" s="3058" t="s">
        <v>2124</v>
      </c>
      <c r="B10" s="2997">
        <v>15</v>
      </c>
      <c r="C10" s="3061"/>
      <c r="D10" s="3081"/>
      <c r="E10" s="139" t="s">
        <v>2125</v>
      </c>
      <c r="F10" s="2429"/>
      <c r="G10" s="2429"/>
      <c r="H10" s="2429"/>
      <c r="I10" s="1831"/>
    </row>
    <row r="11" spans="1:12" ht="12.75">
      <c r="A11" s="3058"/>
      <c r="B11" s="2997"/>
      <c r="C11" s="3063"/>
      <c r="D11" s="3081"/>
      <c r="E11" s="139" t="s">
        <v>2126</v>
      </c>
      <c r="F11" s="2429"/>
      <c r="G11" s="2429"/>
      <c r="H11" s="2429"/>
      <c r="I11" s="1831"/>
    </row>
    <row r="12" spans="1:12" ht="12.75">
      <c r="A12" s="3058" t="s">
        <v>2127</v>
      </c>
      <c r="B12" s="2997">
        <v>15</v>
      </c>
      <c r="C12" s="3061"/>
      <c r="D12" s="3081"/>
      <c r="E12" s="139" t="s">
        <v>2128</v>
      </c>
      <c r="F12" s="2429"/>
      <c r="G12" s="2429"/>
      <c r="H12" s="2429"/>
      <c r="I12" s="1831"/>
    </row>
    <row r="13" spans="1:12" ht="12.75">
      <c r="A13" s="3058"/>
      <c r="B13" s="2997"/>
      <c r="C13" s="3063"/>
      <c r="D13" s="3081"/>
      <c r="E13" s="139" t="s">
        <v>2129</v>
      </c>
      <c r="F13" s="2429"/>
      <c r="G13" s="2429"/>
      <c r="H13" s="2429"/>
      <c r="I13" s="1831"/>
    </row>
    <row r="14" spans="1:12" ht="12.75">
      <c r="A14" s="3058" t="s">
        <v>2130</v>
      </c>
      <c r="B14" s="2997">
        <v>30</v>
      </c>
      <c r="C14" s="3061">
        <v>5</v>
      </c>
      <c r="D14" s="3081">
        <v>5</v>
      </c>
      <c r="E14" s="139" t="s">
        <v>2131</v>
      </c>
      <c r="F14" s="2429"/>
      <c r="G14" s="2429"/>
      <c r="H14" s="2429"/>
      <c r="I14" s="1831"/>
    </row>
    <row r="15" spans="1:12" ht="12.75">
      <c r="A15" s="3058"/>
      <c r="B15" s="2997"/>
      <c r="C15" s="3062"/>
      <c r="D15" s="3081"/>
      <c r="E15" s="139" t="s">
        <v>2132</v>
      </c>
      <c r="F15" s="2429"/>
      <c r="G15" s="2429"/>
      <c r="H15" s="2429"/>
      <c r="I15" s="1831"/>
    </row>
    <row r="16" spans="1:12" ht="12.75">
      <c r="A16" s="3058"/>
      <c r="B16" s="2997"/>
      <c r="C16" s="3063"/>
      <c r="D16" s="3081"/>
      <c r="E16" s="139" t="s">
        <v>2133</v>
      </c>
      <c r="F16" s="2429"/>
      <c r="G16" s="2429"/>
      <c r="H16" s="2429"/>
      <c r="I16" s="1831"/>
    </row>
    <row r="17" spans="1:35" ht="15">
      <c r="A17" s="2430" t="s">
        <v>2134</v>
      </c>
      <c r="B17" s="63"/>
      <c r="C17" s="140">
        <f>SUM(C5:C16)</f>
        <v>5</v>
      </c>
      <c r="D17" s="140">
        <f>SUM(D5:D16)</f>
        <v>5</v>
      </c>
      <c r="E17" s="137"/>
      <c r="F17" s="137"/>
      <c r="G17" s="137"/>
      <c r="H17" s="137"/>
      <c r="I17" s="137"/>
      <c r="K17" s="2428"/>
      <c r="L17" s="2431" t="s">
        <v>2135</v>
      </c>
      <c r="M17" s="2431" t="s">
        <v>2136</v>
      </c>
    </row>
    <row r="18" spans="1:35" ht="15.75" thickBot="1">
      <c r="A18" s="2432" t="s">
        <v>2137</v>
      </c>
      <c r="B18" s="2433"/>
      <c r="C18" s="141">
        <f>ROUND(C17/SUM(C17:D17),2)</f>
        <v>0.5</v>
      </c>
      <c r="D18" s="141">
        <f>1-C18</f>
        <v>0.5</v>
      </c>
      <c r="E18" s="137"/>
      <c r="F18" s="137"/>
      <c r="G18" s="137"/>
      <c r="H18" s="137"/>
      <c r="I18" s="137"/>
      <c r="K18" s="2428" t="s">
        <v>2138</v>
      </c>
      <c r="L18" s="2428">
        <f>IF(C1="",'数据-汇总表'!E3,SUMIF(项目类型,C1,'数据-汇总表'!E17:E26)+SUMIF(项目类型,C1,'数据-汇总表'!I17:I26))</f>
        <v>49991.200000000004</v>
      </c>
      <c r="M18" s="2428">
        <f>IF(C1="",'数据-汇总表'!E3,SUMIF(项目类型,C1,'数据-汇总表'!E17:E26))</f>
        <v>49991.200000000004</v>
      </c>
    </row>
    <row r="19" spans="1:35" ht="15">
      <c r="A19" s="2434" t="s">
        <v>2139</v>
      </c>
      <c r="B19" s="2435" t="s">
        <v>2140</v>
      </c>
      <c r="C19" s="142">
        <f ca="1">SUMIF(INDIRECT("'"&amp;C4&amp;"'"&amp;"!A:A"),结果表!B19,INDIRECT("'"&amp;C4&amp;"'"&amp;"!B:B"))</f>
        <v>191414</v>
      </c>
      <c r="D19" s="143">
        <f ca="1">SUMIF(INDIRECT("'"&amp;D4&amp;"'"&amp;"!A:A"),结果表!B19,INDIRECT("'"&amp;D4&amp;"'"&amp;"!B:B"))</f>
        <v>189380</v>
      </c>
      <c r="E19" s="2434" t="s">
        <v>2141</v>
      </c>
      <c r="F19" s="2435" t="s">
        <v>2140</v>
      </c>
      <c r="G19" s="144">
        <f ca="1">ROUND(C19*$C$18+D19*$D$18,0)</f>
        <v>190397</v>
      </c>
      <c r="H19" s="2436" t="s">
        <v>2142</v>
      </c>
      <c r="I19" s="137"/>
      <c r="K19" s="2428" t="s">
        <v>2143</v>
      </c>
      <c r="L19" s="2428">
        <f>IF(C1="",'数据-汇总表'!D3,SUMIF(项目类型,C1,'数据-汇总表'!D17:D26)+SUMIF(项目类型,C1,'数据-汇总表'!H17:H27))</f>
        <v>12497.8</v>
      </c>
      <c r="M19" s="2428">
        <f>IF(C1="",'数据-汇总表'!D3,SUMIF(项目类型,C1,'数据-汇总表'!D17:D26))</f>
        <v>12497.8</v>
      </c>
    </row>
    <row r="20" spans="1:35" ht="15">
      <c r="A20" s="2437"/>
      <c r="B20" s="1248" t="s">
        <v>2144</v>
      </c>
      <c r="C20" s="145">
        <f ca="1">SUMIF(INDIRECT("'"&amp;C4&amp;"'"&amp;"!A:A"),结果表!B20,INDIRECT("'"&amp;C4&amp;"'"&amp;"!B:B"))</f>
        <v>38290</v>
      </c>
      <c r="D20" s="146">
        <f ca="1">SUMIF(INDIRECT("'"&amp;D4&amp;"'"&amp;"!A:A"),结果表!B20,INDIRECT("'"&amp;D4&amp;"'"&amp;"!B:B"))</f>
        <v>37883</v>
      </c>
      <c r="E20" s="2437"/>
      <c r="F20" s="1248" t="s">
        <v>2144</v>
      </c>
      <c r="G20" s="147">
        <f ca="1">ROUND(C20*$C$18+D20*$D$18,0)</f>
        <v>38087</v>
      </c>
      <c r="H20" s="981" t="s">
        <v>2145</v>
      </c>
      <c r="I20" s="137"/>
    </row>
    <row r="21" spans="1:35" ht="15" customHeight="1" thickBot="1">
      <c r="A21" s="1001"/>
      <c r="B21" s="2438" t="s">
        <v>2146</v>
      </c>
      <c r="C21" s="788">
        <f ca="1">ROUND(C19*10000/L19,0)</f>
        <v>153158</v>
      </c>
      <c r="D21" s="789">
        <f ca="1">ROUND(D19*10000/L19,0)</f>
        <v>151531</v>
      </c>
      <c r="E21" s="1001"/>
      <c r="F21" s="2438" t="s">
        <v>2146</v>
      </c>
      <c r="G21" s="148">
        <f ca="1">ROUND(G19*10000/L19,0)</f>
        <v>152344</v>
      </c>
      <c r="H21" s="2439" t="s">
        <v>2145</v>
      </c>
      <c r="I21" s="137"/>
    </row>
    <row r="22" spans="1:35" ht="15" thickBot="1">
      <c r="A22" s="2280" t="s">
        <v>2147</v>
      </c>
      <c r="B22" s="2440"/>
      <c r="C22" s="2441"/>
      <c r="D22" s="790">
        <f ca="1">IF(C19&lt;D19,D19/C19-1,C19/D19-1)</f>
        <v>1.0740310486851756E-2</v>
      </c>
      <c r="E22" s="137"/>
      <c r="F22" s="137"/>
      <c r="G22" s="137"/>
      <c r="H22" s="137"/>
      <c r="I22" s="137"/>
    </row>
    <row r="23" spans="1:35" ht="13.5" thickBot="1">
      <c r="A23" s="2418"/>
      <c r="B23" s="2418"/>
      <c r="C23" s="2418"/>
      <c r="D23" s="2418"/>
      <c r="E23" s="137"/>
      <c r="F23" s="137"/>
      <c r="G23" s="137"/>
      <c r="H23" s="137"/>
      <c r="I23" s="137"/>
    </row>
    <row r="24" spans="1:35" ht="14.25">
      <c r="A24" s="3052" t="s">
        <v>2148</v>
      </c>
      <c r="B24" s="2435" t="s">
        <v>2140</v>
      </c>
      <c r="C24" s="144">
        <f>IF(B30=0,0,D30)</f>
        <v>0</v>
      </c>
      <c r="D24" s="2442"/>
      <c r="E24" s="137"/>
      <c r="F24" s="137"/>
      <c r="G24" s="137"/>
      <c r="H24" s="137"/>
      <c r="I24" s="137"/>
    </row>
    <row r="25" spans="1:35" ht="14.25">
      <c r="A25" s="3053"/>
      <c r="B25" s="1248" t="s">
        <v>2144</v>
      </c>
      <c r="C25" s="149">
        <f>IF(B30=0,0,C30)</f>
        <v>0</v>
      </c>
      <c r="D25" s="2443"/>
      <c r="E25" s="137"/>
      <c r="F25" s="137"/>
      <c r="G25" s="137"/>
      <c r="H25" s="137"/>
      <c r="I25" s="137"/>
    </row>
    <row r="26" spans="1:35" ht="13.5" customHeight="1">
      <c r="A26" s="2444" t="s">
        <v>2149</v>
      </c>
      <c r="B26" s="150" t="s">
        <v>2150</v>
      </c>
      <c r="C26" s="150" t="s">
        <v>2151</v>
      </c>
      <c r="D26" s="151" t="s">
        <v>2152</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2153</v>
      </c>
      <c r="B30" s="150"/>
      <c r="C30" s="150"/>
      <c r="D30" s="150"/>
      <c r="E30" s="2925" t="s">
        <v>3030</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2154</v>
      </c>
      <c r="B32" s="2448"/>
      <c r="C32" s="152">
        <f ca="1">IF(D32="总价",G19-C24,G20-C25)</f>
        <v>190397</v>
      </c>
      <c r="D32" s="2449" t="s">
        <v>2155</v>
      </c>
      <c r="E32" s="137"/>
      <c r="F32" s="137"/>
      <c r="G32" s="137"/>
      <c r="H32" s="137"/>
      <c r="I32" s="137"/>
    </row>
    <row r="33" spans="1:15" ht="15">
      <c r="A33" s="958" t="s">
        <v>2156</v>
      </c>
      <c r="B33" s="2450"/>
      <c r="C33" s="2451" t="s">
        <v>4298</v>
      </c>
      <c r="D33" s="2452" t="s">
        <v>4169</v>
      </c>
      <c r="E33" s="2453" t="s">
        <v>2157</v>
      </c>
      <c r="F33" s="2454" t="str">
        <f>IF(D32="楼面单价","取值（单价）","取值（总价）")</f>
        <v>取值（总价）</v>
      </c>
      <c r="G33" s="137"/>
      <c r="H33" s="137"/>
      <c r="I33" s="137"/>
    </row>
    <row r="34" spans="1:15" ht="15">
      <c r="A34" s="2455"/>
      <c r="B34" s="2456" t="s">
        <v>2158</v>
      </c>
      <c r="C34" s="156">
        <f ca="1">IF(C33="自定义",F34,C32-C35)</f>
        <v>161266</v>
      </c>
      <c r="D34" s="1056">
        <f ca="1">IF(C33="自定义",ROUND(C34/C32,3),IF(C33="收益比率",SUMIF(INDIRECT("'"&amp;D33&amp;"'"&amp;"!b:b"),"土地收益比率",INDIRECT("'"&amp;D33&amp;"'"&amp;"!c:c")),SUMIF(INDIRECT("'"&amp;D33&amp;"'"&amp;"!b:b"),"土地成本比率",INDIRECT("'"&amp;D33&amp;"'"&amp;"!c:c"))))</f>
        <v>0.84699999999999998</v>
      </c>
      <c r="E34" s="2457" t="s">
        <v>2159</v>
      </c>
      <c r="F34" s="1736"/>
      <c r="G34" s="137"/>
      <c r="H34" s="137"/>
      <c r="I34" s="137"/>
    </row>
    <row r="35" spans="1:15" ht="15.75" thickBot="1">
      <c r="A35" s="2458"/>
      <c r="B35" s="2459" t="s">
        <v>2160</v>
      </c>
      <c r="C35" s="1442">
        <f ca="1">IF(C33="自定义",F35,ROUND(C32*D35,0))</f>
        <v>29131</v>
      </c>
      <c r="D35" s="1443">
        <f ca="1">IF(C33="自定义",ROUND(C35/C32,3),IF(C33="收益比率",SUMIF(INDIRECT("'"&amp;D33&amp;"'"&amp;"!b:b"),"建筑物收益比率",INDIRECT("'"&amp;D33&amp;"'"&amp;"!c:c")),SUMIF(INDIRECT("'"&amp;D33&amp;"'"&amp;"!b:b"),"建筑物成本比率",INDIRECT("'"&amp;D33&amp;"'"&amp;"!c:c"))))</f>
        <v>0.153</v>
      </c>
      <c r="E35" s="2460" t="s">
        <v>2161</v>
      </c>
      <c r="F35" s="162"/>
      <c r="G35" s="137"/>
      <c r="H35" s="137"/>
      <c r="I35" s="137"/>
    </row>
    <row r="36" spans="1:15" ht="15.75" thickBot="1">
      <c r="A36" s="3070" t="s">
        <v>2162</v>
      </c>
      <c r="B36" s="2461" t="s">
        <v>2163</v>
      </c>
      <c r="C36" s="153"/>
      <c r="D36" s="2462"/>
      <c r="E36" s="2463"/>
      <c r="F36" s="2464"/>
      <c r="G36" s="137"/>
      <c r="H36" s="137"/>
      <c r="I36" s="137"/>
    </row>
    <row r="37" spans="1:15" ht="15.75" thickBot="1">
      <c r="A37" s="3071"/>
      <c r="B37" s="2266" t="s">
        <v>2164</v>
      </c>
      <c r="C37" s="155"/>
      <c r="D37" s="1393"/>
      <c r="E37" s="1393"/>
      <c r="F37" s="2464"/>
      <c r="G37" s="137"/>
      <c r="H37" s="137"/>
      <c r="I37" s="137"/>
    </row>
    <row r="38" spans="1:15" ht="15.75" thickBot="1">
      <c r="A38" s="3072"/>
      <c r="B38" s="2465" t="s">
        <v>2165</v>
      </c>
      <c r="C38" s="726"/>
      <c r="D38" s="2466" t="s">
        <v>2166</v>
      </c>
      <c r="E38" s="1393"/>
      <c r="F38" s="2464"/>
      <c r="G38" s="137"/>
      <c r="H38" s="137"/>
      <c r="I38" s="137"/>
    </row>
    <row r="39" spans="1:15" ht="15">
      <c r="A39" s="2437" t="s">
        <v>2167</v>
      </c>
      <c r="B39" s="2467" t="s">
        <v>2168</v>
      </c>
      <c r="C39" s="2468" t="s">
        <v>2169</v>
      </c>
      <c r="D39" s="2468" t="s">
        <v>2170</v>
      </c>
      <c r="E39" s="2469" t="s">
        <v>2171</v>
      </c>
      <c r="F39" s="2464"/>
      <c r="G39" s="137"/>
      <c r="H39" s="137"/>
      <c r="I39" s="137"/>
    </row>
    <row r="40" spans="1:15" ht="14.25">
      <c r="A40" s="2470" t="s">
        <v>2172</v>
      </c>
      <c r="B40" s="157"/>
      <c r="C40" s="158"/>
      <c r="D40" s="158"/>
      <c r="E40" s="159"/>
      <c r="F40" s="2464"/>
      <c r="G40" s="137"/>
      <c r="H40" s="137"/>
      <c r="I40" s="137"/>
    </row>
    <row r="41" spans="1:15" ht="14.25">
      <c r="A41" s="2470" t="s">
        <v>2173</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049" t="s">
        <v>2176</v>
      </c>
      <c r="B45" s="3050"/>
      <c r="C45" s="3051"/>
      <c r="D45" s="163">
        <f ca="1">ROUND(H101*F45,0)</f>
        <v>190397</v>
      </c>
      <c r="E45" s="164" t="s">
        <v>2177</v>
      </c>
      <c r="F45" s="165">
        <v>1</v>
      </c>
      <c r="G45" s="166" t="s">
        <v>2178</v>
      </c>
      <c r="H45" s="137"/>
      <c r="I45" s="137"/>
      <c r="J45" s="3109" t="s">
        <v>2179</v>
      </c>
      <c r="K45" s="3109"/>
      <c r="L45" s="3109"/>
      <c r="M45" s="3109"/>
      <c r="N45" s="3109"/>
      <c r="O45" s="3109"/>
    </row>
    <row r="46" spans="1:15" ht="14.25" customHeight="1">
      <c r="A46" s="3046" t="s">
        <v>2180</v>
      </c>
      <c r="B46" s="3047"/>
      <c r="C46" s="3047"/>
      <c r="D46" s="3047"/>
      <c r="E46" s="3047"/>
      <c r="F46" s="3047"/>
      <c r="G46" s="3048"/>
      <c r="H46" s="2480"/>
      <c r="I46" s="167"/>
      <c r="J46" s="1809">
        <v>1</v>
      </c>
      <c r="K46" s="3109" t="s">
        <v>2181</v>
      </c>
      <c r="L46" s="3109"/>
      <c r="M46" s="3129"/>
      <c r="N46" s="3129"/>
      <c r="O46" s="3129"/>
    </row>
    <row r="47" spans="1:15" ht="12" customHeight="1">
      <c r="A47" s="168" t="s">
        <v>2182</v>
      </c>
      <c r="B47" s="169"/>
      <c r="C47" s="170"/>
      <c r="D47" s="171" t="s">
        <v>2183</v>
      </c>
      <c r="E47" s="23" t="s">
        <v>2184</v>
      </c>
      <c r="F47" s="172" t="s">
        <v>2185</v>
      </c>
      <c r="G47" s="173" t="s">
        <v>2186</v>
      </c>
      <c r="H47" s="2480"/>
      <c r="I47" s="167"/>
      <c r="J47" s="1809">
        <v>2</v>
      </c>
      <c r="K47" s="3109" t="s">
        <v>2187</v>
      </c>
      <c r="L47" s="3109"/>
      <c r="M47" s="3130">
        <f>'数据-取费表'!B2</f>
        <v>43488</v>
      </c>
      <c r="N47" s="3130"/>
      <c r="O47" s="3130"/>
    </row>
    <row r="48" spans="1:15" ht="25.5">
      <c r="A48" s="3077" t="s">
        <v>2188</v>
      </c>
      <c r="B48" s="3060"/>
      <c r="C48" s="3060"/>
      <c r="D48" s="139">
        <f>IF(H48="情况1",0,IF(H48="情况2",D52,IF(H48="情况3",D53,IF(H48="情况4",D54))))</f>
        <v>0</v>
      </c>
      <c r="E48" s="1798" t="str">
        <f>IF(H48="情况4","(销售额-原购置价)×税（费）率","销售额×税（费）率")</f>
        <v>销售额×税（费）率</v>
      </c>
      <c r="F48" s="174" t="str">
        <f>IF(H48="情况1","免征",'数据-取费表'!B41)</f>
        <v>免征</v>
      </c>
      <c r="G48" s="2481" t="s">
        <v>2189</v>
      </c>
      <c r="H48" s="2482" t="s">
        <v>2190</v>
      </c>
      <c r="I48" s="2480"/>
      <c r="J48" s="1809">
        <v>3</v>
      </c>
      <c r="K48" s="3109" t="s">
        <v>2191</v>
      </c>
      <c r="L48" s="3109"/>
      <c r="M48" s="3131">
        <f ca="1">H101</f>
        <v>190397</v>
      </c>
      <c r="N48" s="3131"/>
      <c r="O48" s="3131"/>
    </row>
    <row r="49" spans="1:35" ht="25.5" customHeight="1">
      <c r="A49" s="175" t="s">
        <v>2192</v>
      </c>
      <c r="B49" s="3045" t="s">
        <v>2193</v>
      </c>
      <c r="C49" s="3045"/>
      <c r="D49" s="176">
        <v>0</v>
      </c>
      <c r="E49" s="22" t="s">
        <v>2194</v>
      </c>
      <c r="F49" s="27" t="s">
        <v>34</v>
      </c>
      <c r="G49" s="3115"/>
      <c r="H49" s="137"/>
      <c r="I49" s="2483"/>
      <c r="J49" s="1809">
        <v>4</v>
      </c>
      <c r="K49" s="3109" t="str">
        <f>IF(项目基本情况!E8="房地产抵押价值","房地产抵押价值","抵押担保权已注销时的房地产抵押价值")</f>
        <v>抵押担保权已注销时的房地产抵押价值</v>
      </c>
      <c r="L49" s="3109"/>
      <c r="M49" s="3131">
        <f ca="1">IF(项目基本情况!E8="房地产抵押价值",H107,H109)</f>
        <v>190397</v>
      </c>
      <c r="N49" s="3131"/>
      <c r="O49" s="3131"/>
    </row>
    <row r="50" spans="1:35" ht="25.5" customHeight="1">
      <c r="A50" s="177"/>
      <c r="B50" s="3045" t="s">
        <v>2195</v>
      </c>
      <c r="C50" s="3045"/>
      <c r="D50" s="178"/>
      <c r="E50" s="30"/>
      <c r="F50" s="179"/>
      <c r="G50" s="3116"/>
      <c r="H50" s="137"/>
      <c r="I50" s="2483"/>
      <c r="J50" s="3109" t="s">
        <v>2196</v>
      </c>
      <c r="K50" s="3109"/>
      <c r="L50" s="3109"/>
      <c r="M50" s="3109"/>
      <c r="N50" s="3109"/>
      <c r="O50" s="3109"/>
    </row>
    <row r="51" spans="1:35" ht="12" customHeight="1">
      <c r="A51" s="180"/>
      <c r="B51" s="3045" t="s">
        <v>2197</v>
      </c>
      <c r="C51" s="3045"/>
      <c r="D51" s="181"/>
      <c r="E51" s="29"/>
      <c r="F51" s="179"/>
      <c r="G51" s="3117"/>
      <c r="H51" s="137"/>
      <c r="I51" s="2483"/>
      <c r="J51" s="2484" t="s">
        <v>2198</v>
      </c>
      <c r="K51" s="3109" t="s">
        <v>2199</v>
      </c>
      <c r="L51" s="3109"/>
      <c r="M51" s="2484" t="s">
        <v>2200</v>
      </c>
      <c r="N51" s="2484" t="s">
        <v>2201</v>
      </c>
      <c r="O51" s="2484" t="s">
        <v>2202</v>
      </c>
    </row>
    <row r="52" spans="1:35" ht="24" customHeight="1">
      <c r="A52" s="182" t="s">
        <v>2203</v>
      </c>
      <c r="B52" s="3045" t="s">
        <v>2204</v>
      </c>
      <c r="C52" s="3045"/>
      <c r="D52" s="181">
        <f ca="1">ROUND(D45*'数据-取费表'!B41/(1+'数据-取费表'!C42),0)</f>
        <v>10155</v>
      </c>
      <c r="E52" s="11" t="s">
        <v>2205</v>
      </c>
      <c r="F52" s="183">
        <f>'数据-取费表'!B41</f>
        <v>5.6000000000000001E-2</v>
      </c>
      <c r="G52" s="2485"/>
      <c r="H52" s="137"/>
      <c r="I52" s="2483"/>
      <c r="J52" s="1809">
        <v>1</v>
      </c>
      <c r="K52" s="3110" t="s">
        <v>2206</v>
      </c>
      <c r="L52" s="3110"/>
      <c r="M52" s="1751">
        <f>D48</f>
        <v>0</v>
      </c>
      <c r="N52" s="1809" t="str">
        <f>E48</f>
        <v>销售额×税（费）率</v>
      </c>
      <c r="O52" s="1752" t="str">
        <f>F48</f>
        <v>免征</v>
      </c>
    </row>
    <row r="53" spans="1:35" ht="12" customHeight="1">
      <c r="A53" s="182" t="s">
        <v>2207</v>
      </c>
      <c r="B53" s="3068" t="s">
        <v>2208</v>
      </c>
      <c r="C53" s="3069"/>
      <c r="D53" s="181">
        <f ca="1">ROUND(D45*'数据-取费表'!B41/(1+'数据-取费表'!C42),0)</f>
        <v>10155</v>
      </c>
      <c r="E53" s="11" t="s">
        <v>2205</v>
      </c>
      <c r="F53" s="183">
        <f>'数据-取费表'!B41</f>
        <v>5.6000000000000001E-2</v>
      </c>
      <c r="G53" s="2485"/>
      <c r="H53" s="137"/>
      <c r="I53" s="2483"/>
      <c r="J53" s="1809">
        <v>2</v>
      </c>
      <c r="K53" s="3110" t="s">
        <v>2209</v>
      </c>
      <c r="L53" s="3110"/>
      <c r="M53" s="1751">
        <f t="shared" ref="M53:O54" ca="1" si="0">D55</f>
        <v>95</v>
      </c>
      <c r="N53" s="1809" t="str">
        <f t="shared" si="0"/>
        <v>销售额×税（费）率</v>
      </c>
      <c r="O53" s="1752">
        <f t="shared" si="0"/>
        <v>5.0000000000000001E-4</v>
      </c>
    </row>
    <row r="54" spans="1:35" ht="12" customHeight="1">
      <c r="A54" s="182" t="s">
        <v>2210</v>
      </c>
      <c r="B54" s="3068" t="s">
        <v>2211</v>
      </c>
      <c r="C54" s="3069"/>
      <c r="D54" s="181">
        <f ca="1">C68</f>
        <v>10154</v>
      </c>
      <c r="E54" s="29" t="s">
        <v>2212</v>
      </c>
      <c r="F54" s="183">
        <f>'数据-取费表'!B41</f>
        <v>5.6000000000000001E-2</v>
      </c>
      <c r="G54" s="2485"/>
      <c r="H54" s="2486"/>
      <c r="I54" s="2483"/>
      <c r="J54" s="1809">
        <v>3</v>
      </c>
      <c r="K54" s="3110" t="s">
        <v>2213</v>
      </c>
      <c r="L54" s="3110"/>
      <c r="M54" s="1751">
        <f t="shared" ca="1" si="0"/>
        <v>107764</v>
      </c>
      <c r="N54" s="1809" t="str">
        <f t="shared" si="0"/>
        <v>增值额×税（费）率</v>
      </c>
      <c r="O54" s="1753" t="str">
        <f t="shared" si="0"/>
        <v>——</v>
      </c>
    </row>
    <row r="55" spans="1:35" ht="24" customHeight="1">
      <c r="A55" s="3059" t="s">
        <v>2214</v>
      </c>
      <c r="B55" s="3060"/>
      <c r="C55" s="3060"/>
      <c r="D55" s="184">
        <f ca="1">IF(H55="个人住宅",0,ROUND(D45*I55,0))</f>
        <v>95</v>
      </c>
      <c r="E55" s="11" t="s">
        <v>2215</v>
      </c>
      <c r="F55" s="183">
        <f>IF(H55="正常",I55,"免征")</f>
        <v>5.0000000000000001E-4</v>
      </c>
      <c r="G55" s="2485"/>
      <c r="H55" s="2482" t="s">
        <v>2216</v>
      </c>
      <c r="I55" s="185">
        <f>'数据-取费表'!B49</f>
        <v>5.0000000000000001E-4</v>
      </c>
      <c r="J55" s="1809" t="str">
        <f>IF(H59="非个人房产","",4)</f>
        <v/>
      </c>
      <c r="K55" s="3110" t="str">
        <f>IF(H59="非个人房产","——","个人所得税")</f>
        <v>——</v>
      </c>
      <c r="L55" s="3110"/>
      <c r="M55" s="1754" t="str">
        <f>D59</f>
        <v>——</v>
      </c>
      <c r="N55" s="1807" t="str">
        <f>E59</f>
        <v>——</v>
      </c>
      <c r="O55" s="1755" t="str">
        <f>F59</f>
        <v>——</v>
      </c>
    </row>
    <row r="56" spans="1:35" ht="24.75">
      <c r="A56" s="3059" t="s">
        <v>2217</v>
      </c>
      <c r="B56" s="3060"/>
      <c r="C56" s="3060"/>
      <c r="D56" s="184">
        <f ca="1">IF(H56="个人住宅",D57,D58)</f>
        <v>107764</v>
      </c>
      <c r="E56" s="11" t="s">
        <v>2218</v>
      </c>
      <c r="F56" s="183" t="str">
        <f>IF(H56="正常",F58,"免征")</f>
        <v>——</v>
      </c>
      <c r="G56" s="2487" t="s">
        <v>2219</v>
      </c>
      <c r="H56" s="2488" t="s">
        <v>2216</v>
      </c>
      <c r="I56" s="2489"/>
      <c r="J56" s="1809" t="str">
        <f>IF(项目基本情况!K6="上海银行",IF(J55="",4,J55+1),"")</f>
        <v/>
      </c>
      <c r="K56" s="3133" t="str">
        <f>IF(项目基本情况!K6="上海银行","其他处置费用","")</f>
        <v/>
      </c>
      <c r="L56" s="3134"/>
      <c r="M56" s="1751" t="str">
        <f>IF(项目基本情况!K6="上海银行",M69,"")</f>
        <v/>
      </c>
      <c r="N56" s="3136" t="str">
        <f>IF(项目基本情况!K6="上海银行","包含处置中涉及的律师、诉讼、拍卖、评估等费用","")</f>
        <v/>
      </c>
      <c r="O56" s="3137"/>
    </row>
    <row r="57" spans="1:35" ht="12.75">
      <c r="A57" s="182" t="s">
        <v>2192</v>
      </c>
      <c r="B57" s="3075" t="s">
        <v>2220</v>
      </c>
      <c r="C57" s="3084"/>
      <c r="D57" s="186">
        <v>0</v>
      </c>
      <c r="E57" s="22" t="s">
        <v>2194</v>
      </c>
      <c r="F57" s="154"/>
      <c r="G57" s="2485"/>
      <c r="H57" s="2489"/>
      <c r="I57" s="2489"/>
      <c r="J57" s="3110">
        <f>IF(AND(J55="",J56=""),4,IF(项目基本情况!K6="上海银行",结果表!J56+1,结果表!J55+1))</f>
        <v>4</v>
      </c>
      <c r="K57" s="3110" t="s">
        <v>2221</v>
      </c>
      <c r="L57" s="2490" t="s">
        <v>2222</v>
      </c>
      <c r="M57" s="1756"/>
      <c r="N57" s="1757">
        <f ca="1">SUMIF(M52:M56,"&lt;9e307")</f>
        <v>107859</v>
      </c>
      <c r="O57" s="2491"/>
      <c r="P57" s="1750">
        <f ca="1">N57/M49</f>
        <v>0.56649527040867242</v>
      </c>
    </row>
    <row r="58" spans="1:35" ht="24.75">
      <c r="A58" s="182" t="s">
        <v>2203</v>
      </c>
      <c r="B58" s="3075" t="s">
        <v>2223</v>
      </c>
      <c r="C58" s="3076"/>
      <c r="D58" s="184">
        <f ca="1">IF(H58="转让取得",C81,C97)</f>
        <v>107764</v>
      </c>
      <c r="E58" s="11" t="s">
        <v>2218</v>
      </c>
      <c r="F58" s="23" t="s">
        <v>34</v>
      </c>
      <c r="G58" s="2485"/>
      <c r="H58" s="2488" t="s">
        <v>2224</v>
      </c>
      <c r="I58" s="2489"/>
      <c r="J58" s="3110"/>
      <c r="K58" s="3110"/>
      <c r="L58" s="2490" t="s">
        <v>2225</v>
      </c>
      <c r="M58" s="1758"/>
      <c r="N58" s="2492" t="str">
        <f ca="1">NUMBERSTRING(INT(N57*10000),2)&amp;"元整"</f>
        <v>壹拾亿柒仟捌佰伍拾玖万元整</v>
      </c>
      <c r="O58" s="2493"/>
    </row>
    <row r="59" spans="1:35" ht="24.75" thickBot="1">
      <c r="A59" s="3113" t="s">
        <v>2226</v>
      </c>
      <c r="B59" s="3114"/>
      <c r="C59" s="3114"/>
      <c r="D59" s="187" t="str">
        <f>IF(H59="非个人房产","——",IF(H59="个人住宅",0,ROUND(D45*I59,0)))</f>
        <v>——</v>
      </c>
      <c r="E59" s="188" t="str">
        <f>IF(H59="非个人房产","——","销售额×税（费）率")</f>
        <v>——</v>
      </c>
      <c r="F59" s="189" t="str">
        <f>IF(H59="非个人房产","——",IF(H59="个人住宅","免征",I59))</f>
        <v>——</v>
      </c>
      <c r="G59" s="2494" t="s">
        <v>2219</v>
      </c>
      <c r="H59" s="2488" t="s">
        <v>2227</v>
      </c>
      <c r="I59" s="190">
        <v>0.01</v>
      </c>
      <c r="J59" s="3111">
        <f>J57+1</f>
        <v>5</v>
      </c>
      <c r="K59" s="3110" t="s">
        <v>2228</v>
      </c>
      <c r="L59" s="1809" t="s">
        <v>2222</v>
      </c>
      <c r="M59" s="1759"/>
      <c r="N59" s="1760">
        <f ca="1">M49-N57</f>
        <v>82538</v>
      </c>
      <c r="O59" s="2495"/>
    </row>
    <row r="60" spans="1:35" ht="12" customHeight="1">
      <c r="A60" s="2496"/>
      <c r="B60" s="2418"/>
      <c r="C60" s="2418"/>
      <c r="D60" s="2418"/>
      <c r="E60" s="2165"/>
      <c r="F60" s="2489"/>
      <c r="G60" s="2489"/>
      <c r="H60" s="2497"/>
      <c r="I60" s="137"/>
      <c r="J60" s="3112"/>
      <c r="K60" s="3110"/>
      <c r="L60" s="2490" t="s">
        <v>2225</v>
      </c>
      <c r="M60" s="1758"/>
      <c r="N60" s="2492" t="str">
        <f ca="1">NUMBERSTRING(INT(N59*10000),2)&amp;"元整"</f>
        <v>捌亿贰仟伍佰叁拾捌万元整</v>
      </c>
      <c r="O60" s="2493"/>
    </row>
    <row r="61" spans="1:35" ht="13.5" thickBot="1">
      <c r="A61" s="3057" t="s">
        <v>2229</v>
      </c>
      <c r="B61" s="3057"/>
      <c r="C61" s="3057"/>
      <c r="D61" s="3057"/>
      <c r="E61" s="3057"/>
      <c r="F61" s="2489"/>
      <c r="G61" s="2489"/>
      <c r="H61" s="2497"/>
      <c r="I61" s="137"/>
      <c r="J61" s="1809">
        <f>J59+1</f>
        <v>6</v>
      </c>
      <c r="K61" s="3110" t="s">
        <v>2230</v>
      </c>
      <c r="L61" s="3110"/>
      <c r="M61" s="1761"/>
      <c r="N61" s="1762">
        <f ca="1">ROUND(N59*10000/'数据-汇总表'!E3,0)</f>
        <v>16511</v>
      </c>
      <c r="O61" s="2498"/>
    </row>
    <row r="62" spans="1:35" ht="12.75">
      <c r="A62" s="3073" t="s">
        <v>2231</v>
      </c>
      <c r="B62" s="3074"/>
      <c r="C62" s="1801"/>
      <c r="D62" s="1801" t="s">
        <v>2232</v>
      </c>
      <c r="E62" s="191" t="s">
        <v>2233</v>
      </c>
      <c r="F62" s="2489"/>
      <c r="G62" s="2489"/>
      <c r="H62" s="2497"/>
      <c r="I62" s="137"/>
    </row>
    <row r="63" spans="1:35" ht="12.75">
      <c r="A63" s="202" t="s">
        <v>775</v>
      </c>
      <c r="B63" s="192" t="s">
        <v>2234</v>
      </c>
      <c r="C63" s="193">
        <f ca="1">ROUND((C64+C65)/(1+'数据-取费表'!C42),0)</f>
        <v>181330</v>
      </c>
      <c r="D63" s="194"/>
      <c r="E63" s="195"/>
      <c r="F63" s="2489"/>
      <c r="G63" s="2489"/>
      <c r="H63" s="2497"/>
      <c r="I63" s="137"/>
      <c r="J63" s="3135" t="s">
        <v>2235</v>
      </c>
      <c r="K63" s="2499" t="s">
        <v>2236</v>
      </c>
      <c r="L63" s="1749">
        <f ca="1">IF(M49&gt;10000,M49*0.5%,IF(AND(M49&gt;1000,M49&lt;=10000),M49*1%,IF(AND(M49&gt;100,M49&lt;=1000),M49*3%,IF(AND(M49&gt;10,M49&lt;=100),M49*5%,M49*8%))))</f>
        <v>951.98500000000001</v>
      </c>
      <c r="M63" s="23">
        <f ca="1">ROUND(L63,1)</f>
        <v>952</v>
      </c>
      <c r="Z63" s="2423"/>
      <c r="AI63" s="2424"/>
    </row>
    <row r="64" spans="1:35" ht="14.25" customHeight="1">
      <c r="A64" s="196" t="s">
        <v>770</v>
      </c>
      <c r="B64" s="197" t="s">
        <v>2237</v>
      </c>
      <c r="C64" s="198">
        <f ca="1">D45</f>
        <v>190397</v>
      </c>
      <c r="D64" s="199" t="s">
        <v>32</v>
      </c>
      <c r="E64" s="200"/>
      <c r="F64" s="2489"/>
      <c r="G64" s="2489"/>
      <c r="H64" s="2497"/>
      <c r="I64" s="137"/>
      <c r="J64" s="3135"/>
      <c r="K64" s="2499" t="s">
        <v>2238</v>
      </c>
      <c r="L64" s="1749">
        <f ca="1">IF(M49&gt;2000,M49*0.5%,IF(AND(M49&gt;1000,M49&lt;=2000),M49*0.6%,IF(AND(M49&gt;500,M49&lt;=1000),M49*0.7%,IF(AND(M49&gt;200,M49&lt;=500),M49*0.8%,IF(AND(M49&gt;100,M49&lt;=200),M49*0.9%,IF(AND(M49&gt;50,M49&lt;=100),M49*1%,IF(AND(M49&gt;20,M49&lt;=50),M49*1.5%,IF(AND(M49&gt;10,M49&lt;=20),M49*2%,IF(AND(M49&gt;1,M49&lt;=10),M49*2.5%)))))))))</f>
        <v>951.98500000000001</v>
      </c>
      <c r="M64" s="23">
        <f t="shared" ref="M64:M65" ca="1" si="1">ROUND(L64,1)</f>
        <v>952</v>
      </c>
      <c r="N64" s="137" t="s">
        <v>2239</v>
      </c>
      <c r="Z64" s="2423"/>
      <c r="AI64" s="2424"/>
    </row>
    <row r="65" spans="1:35" ht="14.25" customHeight="1">
      <c r="A65" s="196" t="s">
        <v>771</v>
      </c>
      <c r="B65" s="197" t="s">
        <v>2240</v>
      </c>
      <c r="C65" s="201"/>
      <c r="D65" s="199"/>
      <c r="E65" s="200"/>
      <c r="F65" s="2489"/>
      <c r="G65" s="2489"/>
      <c r="H65" s="2497"/>
      <c r="I65" s="137"/>
      <c r="J65" s="3135"/>
      <c r="K65" s="2499" t="s">
        <v>2241</v>
      </c>
      <c r="L65" s="1749">
        <f ca="1">IF(M49&gt;1000,M49*0.1%,IF(AND(M49&gt;500,M49&lt;=1000),M49*0.5%,IF(AND(M49&gt;50,M49&lt;=500),M49*1%,IF(AND(M49&gt;1,M49&lt;=50),M49*1.5%))))</f>
        <v>190.39699999999999</v>
      </c>
      <c r="M65" s="23">
        <f t="shared" ca="1" si="1"/>
        <v>190.4</v>
      </c>
      <c r="N65" s="137" t="s">
        <v>2239</v>
      </c>
      <c r="Z65" s="2423"/>
      <c r="AI65" s="2424"/>
    </row>
    <row r="66" spans="1:35" ht="14.25" customHeight="1">
      <c r="A66" s="202" t="s">
        <v>772</v>
      </c>
      <c r="B66" s="203" t="s">
        <v>2242</v>
      </c>
      <c r="C66" s="204"/>
      <c r="D66" s="205" t="s">
        <v>32</v>
      </c>
      <c r="E66" s="1773" t="s">
        <v>1367</v>
      </c>
      <c r="F66" s="2489"/>
      <c r="G66" s="2489"/>
      <c r="H66" s="2497"/>
      <c r="I66" s="137"/>
      <c r="J66" s="3135"/>
      <c r="K66" s="2499" t="s">
        <v>2243</v>
      </c>
      <c r="L66" s="1749">
        <f ca="1">M49*0.5%</f>
        <v>951.98500000000001</v>
      </c>
      <c r="M66" s="23">
        <f ca="1">IF(L66&gt;0.5,0.5,ROUND(L66,0))</f>
        <v>0.5</v>
      </c>
      <c r="N66" s="137" t="s">
        <v>2244</v>
      </c>
      <c r="Z66" s="2423"/>
      <c r="AI66" s="2424"/>
    </row>
    <row r="67" spans="1:35" ht="14.25" customHeight="1">
      <c r="A67" s="202" t="s">
        <v>773</v>
      </c>
      <c r="B67" s="203" t="s">
        <v>2245</v>
      </c>
      <c r="C67" s="206">
        <f ca="1">C63-C66</f>
        <v>181330</v>
      </c>
      <c r="D67" s="199" t="s">
        <v>32</v>
      </c>
      <c r="E67" s="200"/>
      <c r="F67" s="2489"/>
      <c r="G67" s="2489"/>
      <c r="H67" s="2497"/>
      <c r="I67" s="137"/>
      <c r="J67" s="3135"/>
      <c r="K67" s="2499" t="s">
        <v>2246</v>
      </c>
      <c r="L67" s="1749">
        <f ca="1">IF(M49&gt;=10000,(8.25+(M49-10000)*0.01%),IF(AND(M49&gt;=8000,M49&lt;10000),(7.85+(M49-8000)*0.02%),IF(AND(M49&gt;=5000,M49&lt;8000),(6.65+(M49-5000)*0.04%),IF(AND(M49&gt;=2000,M49&lt;5000),(4.25+(PM49-2000)*0.08%),IF(AND(M49&gt;=1000,M49&lt;2000),(2.75+(M49-1000)*0.15%),IF(AND(M49&gt;=100,M49&lt;1000),(0.5+(M49-100)*0.25%),IF(AND(M49&gt;0,M49&lt;100),M49*0.5%)))))))</f>
        <v>26.2897</v>
      </c>
      <c r="M67" s="23">
        <f ca="1">ROUND(L67*0.9,1)</f>
        <v>23.7</v>
      </c>
      <c r="Z67" s="2423"/>
      <c r="AI67" s="2424"/>
    </row>
    <row r="68" spans="1:35" ht="14.25" customHeight="1" thickBot="1">
      <c r="A68" s="207" t="s">
        <v>774</v>
      </c>
      <c r="B68" s="208" t="s">
        <v>2247</v>
      </c>
      <c r="C68" s="209">
        <f ca="1">IF(C67&lt;=0,0,ROUND(C67*D68,0))</f>
        <v>10154</v>
      </c>
      <c r="D68" s="210">
        <f>'数据-取费表'!B41</f>
        <v>5.6000000000000001E-2</v>
      </c>
      <c r="E68" s="211"/>
      <c r="F68" s="2489"/>
      <c r="G68" s="2489"/>
      <c r="H68" s="2497"/>
      <c r="I68" s="137"/>
      <c r="J68" s="3135"/>
      <c r="K68" s="2499" t="s">
        <v>2248</v>
      </c>
      <c r="L68" s="1749">
        <f ca="1">IF(M49&gt;10000,M49*0.5%,IF(AND(M49&gt;5000,M49&lt;=10000),M49*1%,IF(AND(M49&gt;1000,M49&lt;=5000),M49*2%,IF(AND(M49&gt;200,M49&lt;=1000),M49*3%,M49*5%))))</f>
        <v>951.98500000000001</v>
      </c>
      <c r="M68" s="23">
        <f ca="1">ROUND(L68,1)</f>
        <v>952</v>
      </c>
      <c r="Z68" s="2423"/>
      <c r="AI68" s="2424"/>
    </row>
    <row r="69" spans="1:35" s="2446" customFormat="1" ht="16.5" customHeight="1">
      <c r="A69" s="2500"/>
      <c r="B69" s="2501"/>
      <c r="C69" s="2502"/>
      <c r="D69" s="2503"/>
      <c r="E69" s="2504"/>
      <c r="F69" s="2165"/>
      <c r="G69" s="2165"/>
      <c r="H69" s="2164"/>
      <c r="I69" s="2418"/>
      <c r="J69" s="3135"/>
      <c r="K69" s="2499" t="s">
        <v>2249</v>
      </c>
      <c r="L69" s="2505"/>
      <c r="M69" s="23">
        <f ca="1">ROUND(SUM(M63:M68),0)</f>
        <v>3071</v>
      </c>
      <c r="N69" s="1750">
        <f ca="1">M69/M49</f>
        <v>1.6129455821257688E-2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094" t="s">
        <v>2250</v>
      </c>
      <c r="B70" s="3095"/>
      <c r="C70" s="3095"/>
      <c r="D70" s="3095"/>
      <c r="E70" s="3095"/>
      <c r="F70" s="3095"/>
      <c r="G70" s="3095"/>
      <c r="H70" s="309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3" t="s">
        <v>2231</v>
      </c>
      <c r="B71" s="3074"/>
      <c r="C71" s="1801"/>
      <c r="D71" s="1801" t="s">
        <v>2232</v>
      </c>
      <c r="E71" s="212" t="s">
        <v>2233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2251</v>
      </c>
      <c r="C72" s="206">
        <f ca="1">ROUND(D45/(1+'数据-取费表'!C42),0)</f>
        <v>181330</v>
      </c>
      <c r="D72" s="199"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2252</v>
      </c>
      <c r="C73" s="206">
        <f ca="1">C74+C78</f>
        <v>1088</v>
      </c>
      <c r="D73" s="199"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2253</v>
      </c>
      <c r="C74" s="199">
        <f>ROUND(IF(G77="2016年5月1日后购买",C75/(1+'数据-取费表'!C42)+C76+C77,C75+C76+C77),0)</f>
        <v>0</v>
      </c>
      <c r="D74" s="199"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2254</v>
      </c>
      <c r="C75" s="217"/>
      <c r="D75" s="199" t="s">
        <v>32</v>
      </c>
      <c r="E75" s="218" t="s">
        <v>2255</v>
      </c>
      <c r="F75" s="2511" t="s">
        <v>2256</v>
      </c>
      <c r="G75" s="218" t="s">
        <v>2257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2258</v>
      </c>
      <c r="C76" s="199">
        <f>IF(F75="购房发票",ROUND(C75*H75*D76,0),0)</f>
        <v>0</v>
      </c>
      <c r="D76" s="221">
        <v>0.05</v>
      </c>
      <c r="E76" s="3068" t="s">
        <v>2259</v>
      </c>
      <c r="F76" s="3045"/>
      <c r="G76" s="3045"/>
      <c r="H76" s="309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13" t="s">
        <v>2262</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2263</v>
      </c>
      <c r="C78" s="224">
        <f ca="1">ROUND(D45*D78/(1+'数据-取费表'!C42),0)</f>
        <v>1088</v>
      </c>
      <c r="D78" s="225">
        <f>'数据-取费表'!B43</f>
        <v>6.000000000000001E-3</v>
      </c>
      <c r="E78" s="3054" t="s">
        <v>2264</v>
      </c>
      <c r="F78" s="3055"/>
      <c r="G78" s="3055"/>
      <c r="H78" s="306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2265</v>
      </c>
      <c r="C79" s="206">
        <f ca="1">C72-C73</f>
        <v>180242</v>
      </c>
      <c r="D79" s="199"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2266</v>
      </c>
      <c r="C80" s="226">
        <f ca="1">IF(C79&lt;=0,0,C79/C73)</f>
        <v>165.66360294117646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2267</v>
      </c>
      <c r="C81" s="227">
        <f ca="1">ROUND(IF(C79&lt;=0,0,IF(C80&gt;=200%,C79*60%-C73*35%,IF(C80&gt;=100%,C79*50%-C73*15%,IF(C80&gt;=50%,C79*40%-C73*5%,IF(C80&lt;50%,C79*30%,0))))),0)</f>
        <v>107764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4" t="s">
        <v>2268</v>
      </c>
      <c r="B83" s="3095"/>
      <c r="C83" s="3095"/>
      <c r="D83" s="3095"/>
      <c r="E83" s="3095"/>
      <c r="F83" s="3095"/>
      <c r="G83" s="3095"/>
      <c r="H83" s="309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3" t="s">
        <v>2231</v>
      </c>
      <c r="B84" s="3074"/>
      <c r="C84" s="1801"/>
      <c r="D84" s="1801" t="s">
        <v>2232</v>
      </c>
      <c r="E84" s="212" t="s">
        <v>2233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2251</v>
      </c>
      <c r="C85" s="206">
        <f ca="1">ROUND(D45/(1+'数据-取费表'!C42),0)</f>
        <v>181330</v>
      </c>
      <c r="D85" s="199"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2252</v>
      </c>
      <c r="C86" s="206">
        <f ca="1">IF(H88="仅含出让金",C87+C90+C91+C92+C93+C94,C87+C91+C92+C93+C94)</f>
        <v>1088</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2269</v>
      </c>
      <c r="C87" s="224">
        <f>C88+C89</f>
        <v>0</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2270</v>
      </c>
      <c r="C88" s="235"/>
      <c r="D88" s="225"/>
      <c r="E88" s="236" t="s">
        <v>2271</v>
      </c>
      <c r="F88" s="1797"/>
      <c r="G88" s="237"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2260</v>
      </c>
      <c r="C89" s="224">
        <f>ROUND(C88*D89,0)</f>
        <v>0</v>
      </c>
      <c r="D89" s="225">
        <f>'数据-取费表'!B48+'数据-取费表'!B49</f>
        <v>3.0499999999999999E-2</v>
      </c>
      <c r="E89" s="236" t="s">
        <v>2273</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2274</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2275</v>
      </c>
      <c r="B91" s="197" t="s">
        <v>2276</v>
      </c>
      <c r="C91" s="224">
        <f>IF(H91="——",成本法!C33,I91)</f>
        <v>0</v>
      </c>
      <c r="D91" s="225"/>
      <c r="E91" s="3054" t="s">
        <v>2277</v>
      </c>
      <c r="F91" s="3055"/>
      <c r="G91" s="3055"/>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2279</v>
      </c>
      <c r="B92" s="197" t="s">
        <v>2280</v>
      </c>
      <c r="C92" s="224">
        <f>ROUND((C87+C90+C91)*D92,0)</f>
        <v>0</v>
      </c>
      <c r="D92" s="225">
        <v>0.1</v>
      </c>
      <c r="E92" s="3054" t="s">
        <v>2281</v>
      </c>
      <c r="F92" s="3055"/>
      <c r="G92" s="3055"/>
      <c r="H92" s="306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2282</v>
      </c>
      <c r="B93" s="197" t="s">
        <v>2263</v>
      </c>
      <c r="C93" s="224">
        <f ca="1">ROUND(D45*D93/(1+'数据-取费表'!C42),0)</f>
        <v>1088</v>
      </c>
      <c r="D93" s="225">
        <f>'数据-取费表'!B43</f>
        <v>6.000000000000001E-3</v>
      </c>
      <c r="E93" s="3054" t="s">
        <v>2264</v>
      </c>
      <c r="F93" s="3055"/>
      <c r="G93" s="3055"/>
      <c r="H93" s="306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2283</v>
      </c>
      <c r="B94" s="197" t="s">
        <v>2284</v>
      </c>
      <c r="C94" s="235">
        <f>ROUND((C87+C90+C91)*D94,0)</f>
        <v>0</v>
      </c>
      <c r="D94" s="225">
        <v>0.2</v>
      </c>
      <c r="E94" s="3065" t="s">
        <v>2285</v>
      </c>
      <c r="F94" s="3066"/>
      <c r="G94" s="3066"/>
      <c r="H94" s="30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2265</v>
      </c>
      <c r="C95" s="206">
        <f ca="1">ROUND(C85-C86,0)</f>
        <v>180242</v>
      </c>
      <c r="D95" s="199"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2266</v>
      </c>
      <c r="C96" s="226">
        <f ca="1">IF(C95&lt;=0,0,C95/C86)</f>
        <v>165.66360294117646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2267</v>
      </c>
      <c r="C97" s="227">
        <f ca="1">ROUND(IF(C95&lt;=0,0,IF(C96&gt;=200%,C95*60%-C86*35%,IF(C96&gt;=100%,C95*50%-C86*15%,IF(C96&gt;=50%,C95*40%-C86*5%,IF(C96&lt;50%,C95*30%,0))))),0)</f>
        <v>107764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2286</v>
      </c>
      <c r="B99" s="2418"/>
      <c r="C99" s="2418"/>
      <c r="D99" s="2418"/>
      <c r="E99" s="2165"/>
      <c r="F99" s="2165"/>
      <c r="G99" s="2165"/>
      <c r="H99" s="2164"/>
      <c r="I99" s="137"/>
    </row>
    <row r="100" spans="1:35" ht="18.75" customHeight="1">
      <c r="A100" s="3039" t="s">
        <v>2287</v>
      </c>
      <c r="B100" s="3040"/>
      <c r="C100" s="3040"/>
      <c r="D100" s="3056"/>
      <c r="E100" s="3040" t="s">
        <v>2288</v>
      </c>
      <c r="F100" s="3040"/>
      <c r="G100" s="3040"/>
      <c r="H100" s="3056"/>
      <c r="I100" s="137"/>
    </row>
    <row r="101" spans="1:35" ht="18.75" customHeight="1">
      <c r="A101" s="3118" t="s">
        <v>2289</v>
      </c>
      <c r="B101" s="3119"/>
      <c r="C101" s="735" t="str">
        <f>C4</f>
        <v>成本法</v>
      </c>
      <c r="D101" s="736" t="str">
        <f>D4</f>
        <v>收益法（汇总）</v>
      </c>
      <c r="E101" s="3132" t="s">
        <v>2290</v>
      </c>
      <c r="F101" s="3086"/>
      <c r="G101" s="2520" t="s">
        <v>2291</v>
      </c>
      <c r="H101" s="1046">
        <f ca="1">H118</f>
        <v>190397</v>
      </c>
      <c r="I101" s="137"/>
    </row>
    <row r="102" spans="1:35" ht="18.75" customHeight="1">
      <c r="A102" s="3088" t="s">
        <v>2292</v>
      </c>
      <c r="B102" s="2520" t="s">
        <v>2291</v>
      </c>
      <c r="C102" s="735">
        <f ca="1">C19</f>
        <v>191414</v>
      </c>
      <c r="D102" s="736">
        <f ca="1">D19</f>
        <v>189380</v>
      </c>
      <c r="E102" s="3132"/>
      <c r="F102" s="3086"/>
      <c r="G102" s="2520" t="s">
        <v>2293</v>
      </c>
      <c r="H102" s="370">
        <f ca="1">I118</f>
        <v>38086</v>
      </c>
      <c r="I102" s="137"/>
    </row>
    <row r="103" spans="1:35" ht="42.75" customHeight="1">
      <c r="A103" s="3088"/>
      <c r="B103" s="2520" t="s">
        <v>2293</v>
      </c>
      <c r="C103" s="737">
        <f ca="1">C20</f>
        <v>38290</v>
      </c>
      <c r="D103" s="738">
        <f ca="1">D20</f>
        <v>37883</v>
      </c>
      <c r="E103" s="3127" t="s">
        <v>2294</v>
      </c>
      <c r="F103" s="3128"/>
      <c r="G103" s="2521" t="s">
        <v>2295</v>
      </c>
      <c r="H103" s="1046">
        <f>IF(D36="正常操作",H104+H105+H106,H105+H106)</f>
        <v>0</v>
      </c>
      <c r="I103" s="137"/>
    </row>
    <row r="104" spans="1:35" ht="18.75" customHeight="1">
      <c r="A104" s="3088" t="s">
        <v>2296</v>
      </c>
      <c r="B104" s="2522" t="s">
        <v>2291</v>
      </c>
      <c r="C104" s="739">
        <f ca="1">H118</f>
        <v>190397</v>
      </c>
      <c r="D104" s="740"/>
      <c r="E104" s="2266" t="s">
        <v>2297</v>
      </c>
      <c r="F104" s="2257"/>
      <c r="G104" s="2521" t="s">
        <v>2295</v>
      </c>
      <c r="H104" s="1047">
        <f>IF(D36="同一抵押权人同一抵押物续贷",C36&amp;"（未扣减，详见特别提示）",C36)</f>
        <v>0</v>
      </c>
      <c r="I104" s="137"/>
    </row>
    <row r="105" spans="1:35" ht="18.75" customHeight="1" thickBot="1">
      <c r="A105" s="3089"/>
      <c r="B105" s="2523" t="s">
        <v>2293</v>
      </c>
      <c r="C105" s="741">
        <f ca="1">I118</f>
        <v>38086</v>
      </c>
      <c r="D105" s="742"/>
      <c r="E105" s="2266" t="s">
        <v>2298</v>
      </c>
      <c r="F105" s="2257"/>
      <c r="G105" s="2521" t="s">
        <v>2295</v>
      </c>
      <c r="H105" s="1047">
        <f>C37</f>
        <v>0</v>
      </c>
      <c r="I105" s="137"/>
    </row>
    <row r="106" spans="1:35" ht="18.75" customHeight="1">
      <c r="A106" s="2418" t="s">
        <v>2299</v>
      </c>
      <c r="B106" s="2418"/>
      <c r="C106" s="2418"/>
      <c r="D106" s="2418"/>
      <c r="E106" s="2524" t="s">
        <v>2300</v>
      </c>
      <c r="F106" s="2257"/>
      <c r="G106" s="2521" t="s">
        <v>2295</v>
      </c>
      <c r="H106" s="1047">
        <f>C38</f>
        <v>0</v>
      </c>
      <c r="I106" s="137"/>
    </row>
    <row r="107" spans="1:35" ht="18.75" customHeight="1">
      <c r="A107" s="137"/>
      <c r="B107" s="137"/>
      <c r="C107" s="137"/>
      <c r="D107" s="137"/>
      <c r="E107" s="3085" t="str">
        <f>IF(项目基本情况!E8="已注销","——","3.房地产抵押价值")</f>
        <v>——</v>
      </c>
      <c r="F107" s="3086"/>
      <c r="G107" s="2520" t="s">
        <v>2291</v>
      </c>
      <c r="H107" s="1046" t="str">
        <f>IF(E107="——","——",H101-H103)</f>
        <v>——</v>
      </c>
      <c r="I107" s="137"/>
    </row>
    <row r="108" spans="1:35" ht="18.75" customHeight="1">
      <c r="A108" s="137"/>
      <c r="B108" s="137"/>
      <c r="C108" s="137"/>
      <c r="D108" s="137"/>
      <c r="E108" s="3085"/>
      <c r="F108" s="3086"/>
      <c r="G108" s="2520" t="s">
        <v>2293</v>
      </c>
      <c r="H108" s="370" t="e">
        <f>ROUND(H107*10000/'数据-汇总表'!E3,0)</f>
        <v>#VALUE!</v>
      </c>
      <c r="I108" s="137"/>
    </row>
    <row r="109" spans="1:35" ht="18.75" customHeight="1">
      <c r="A109" s="137"/>
      <c r="B109" s="137"/>
      <c r="C109" s="137"/>
      <c r="D109" s="137"/>
      <c r="E109" s="3085" t="str">
        <f>IF(项目基本情况!E8="已注销及未注销","4.抵押担保权已注销时的房地产抵押价值",IF(项目基本情况!E8="已注销","3.抵押担保权已注销时的房地产抵押价值","——"))</f>
        <v>3.抵押担保权已注销时的房地产抵押价值</v>
      </c>
      <c r="F109" s="3086"/>
      <c r="G109" s="2520" t="s">
        <v>2291</v>
      </c>
      <c r="H109" s="347">
        <f ca="1">IF(E109="——","——",H101-H105-H106)</f>
        <v>190397</v>
      </c>
      <c r="I109" s="137"/>
    </row>
    <row r="110" spans="1:35" ht="18.75" customHeight="1">
      <c r="A110" s="137"/>
      <c r="B110" s="137"/>
      <c r="C110" s="137"/>
      <c r="D110" s="137"/>
      <c r="E110" s="3085"/>
      <c r="F110" s="3086"/>
      <c r="G110" s="2520" t="s">
        <v>2293</v>
      </c>
      <c r="H110" s="370">
        <f ca="1">IF(H109="——","——",ROUND(H109*10000/'数据-汇总表'!E3,0))</f>
        <v>38086</v>
      </c>
      <c r="I110" s="137"/>
    </row>
    <row r="111" spans="1:35" ht="18.75" customHeight="1">
      <c r="A111" s="137"/>
      <c r="B111" s="137"/>
      <c r="C111" s="137"/>
      <c r="D111" s="137"/>
      <c r="E111" s="3120" t="str">
        <f>IF(项目基本情况!E9="抵押净值",IF(OR(项目基本情况!E8="已注销",项目基本情况!E8="房地产抵押价值"),"4.抵押净值","5.抵押净值"),"——")</f>
        <v>——</v>
      </c>
      <c r="F111" s="3121"/>
      <c r="G111" s="2520" t="s">
        <v>2291</v>
      </c>
      <c r="H111" s="1046" t="str">
        <f>IF(E111="——","——",N59)</f>
        <v>——</v>
      </c>
      <c r="I111" s="137"/>
    </row>
    <row r="112" spans="1:35" ht="18.75" customHeight="1" thickBot="1">
      <c r="A112" s="137"/>
      <c r="B112" s="137"/>
      <c r="C112" s="137"/>
      <c r="D112" s="137"/>
      <c r="E112" s="3122"/>
      <c r="F112" s="3123"/>
      <c r="G112" s="2525" t="s">
        <v>2293</v>
      </c>
      <c r="H112" s="789" t="str">
        <f>IF(E111="——","——",N61)</f>
        <v>——</v>
      </c>
      <c r="I112" s="137"/>
    </row>
    <row r="113" spans="1:11" ht="18.75" customHeight="1">
      <c r="A113" s="137"/>
      <c r="B113" s="137"/>
      <c r="C113" s="137"/>
      <c r="D113" s="137"/>
      <c r="E113" s="3090" t="s">
        <v>2299</v>
      </c>
      <c r="F113" s="3090"/>
      <c r="G113" s="3090"/>
      <c r="H113" s="3090"/>
      <c r="I113" s="137"/>
    </row>
    <row r="114" spans="1:11" ht="3.75" customHeight="1">
      <c r="A114" s="2418"/>
      <c r="B114" s="2418"/>
      <c r="C114" s="2418"/>
      <c r="D114" s="2418"/>
      <c r="E114" s="2496"/>
      <c r="F114" s="2496"/>
      <c r="G114" s="2496"/>
      <c r="H114" s="2496"/>
      <c r="I114" s="2418"/>
    </row>
    <row r="115" spans="1:11" ht="18.75" customHeight="1">
      <c r="A115" s="3103" t="s">
        <v>2301</v>
      </c>
      <c r="B115" s="3104"/>
      <c r="C115" s="3104"/>
      <c r="D115" s="3104"/>
      <c r="E115" s="3104"/>
      <c r="F115" s="3104"/>
      <c r="G115" s="3104"/>
      <c r="H115" s="3104"/>
      <c r="I115" s="3105"/>
    </row>
    <row r="116" spans="1:11" ht="27" customHeight="1">
      <c r="A116" s="2997" t="s">
        <v>2302</v>
      </c>
      <c r="B116" s="3091" t="s">
        <v>2303</v>
      </c>
      <c r="C116" s="3091" t="s">
        <v>2304</v>
      </c>
      <c r="D116" s="3107" t="s">
        <v>2305</v>
      </c>
      <c r="E116" s="3108"/>
      <c r="F116" s="3099" t="s">
        <v>2306</v>
      </c>
      <c r="G116" s="3099"/>
      <c r="H116" s="2997" t="s">
        <v>2307</v>
      </c>
      <c r="I116" s="2997"/>
    </row>
    <row r="117" spans="1:11" ht="18.75" customHeight="1">
      <c r="A117" s="2997"/>
      <c r="B117" s="3092"/>
      <c r="C117" s="3092"/>
      <c r="D117" s="1795" t="s">
        <v>2308</v>
      </c>
      <c r="E117" s="1795" t="s">
        <v>2309</v>
      </c>
      <c r="F117" s="1795" t="s">
        <v>2308</v>
      </c>
      <c r="G117" s="1795" t="s">
        <v>2310</v>
      </c>
      <c r="H117" s="1795" t="s">
        <v>2308</v>
      </c>
      <c r="I117" s="1795" t="s">
        <v>2310</v>
      </c>
    </row>
    <row r="118" spans="1:11" ht="24.75" customHeight="1">
      <c r="A118" s="2526" t="str">
        <f>项目基本情况!S2</f>
        <v>北京市门头沟区新城东街19号院“西长安街壹号”综合项目房地产房地产</v>
      </c>
      <c r="B118" s="1795">
        <f>M18</f>
        <v>49991.200000000004</v>
      </c>
      <c r="C118" s="1795">
        <f>M19</f>
        <v>12497.8</v>
      </c>
      <c r="D118" s="1795">
        <f ca="1">ROUND(IF(D32="总价",C34,E118*B118/10000),0)</f>
        <v>161266</v>
      </c>
      <c r="E118" s="1795">
        <f ca="1">ROUND(IF(C33="自定义",IF(D32="楼面单价",C34,D118*10000/B118),I118-G118),0)</f>
        <v>32259</v>
      </c>
      <c r="F118" s="1795">
        <f ca="1">ROUND(IF(D32="总价",C35,G118*B118/10000),0)</f>
        <v>29131</v>
      </c>
      <c r="G118" s="1795">
        <f ca="1">ROUND(IF(D32="楼面单价",C35,F118*10000/B118),0)</f>
        <v>5827</v>
      </c>
      <c r="H118" s="1795">
        <f ca="1">ROUND(IF(D32="总价",C32,I118*B118/10000),0)</f>
        <v>190397</v>
      </c>
      <c r="I118" s="1795">
        <f ca="1">ROUND(IF(D32="楼面单价",C32,H118*10000/B118),0)</f>
        <v>38086</v>
      </c>
    </row>
    <row r="119" spans="1:11" ht="18.75" customHeight="1">
      <c r="A119" s="2997" t="s">
        <v>2311</v>
      </c>
      <c r="B119" s="2997"/>
      <c r="C119" s="2997"/>
      <c r="D119" s="3096" t="str">
        <f ca="1">NUMBERSTRING(INT(D118*10000),2)&amp;"元整"</f>
        <v>壹拾陆亿壹仟贰佰陆拾陆万元整</v>
      </c>
      <c r="E119" s="3098"/>
      <c r="F119" s="3096" t="str">
        <f ca="1">NUMBERSTRING(INT(F118*10000),2)&amp;"元整"</f>
        <v>贰亿玖仟壹佰叁拾壹万元整</v>
      </c>
      <c r="G119" s="3098"/>
      <c r="H119" s="3096" t="str">
        <f ca="1">NUMBERSTRING(INT(H118*10000),2)&amp;"元整"</f>
        <v>壹拾玖亿零叁佰玖拾柒万元整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3" t="str">
        <f>IF(D120=0,"故，本次评估不存在"&amp;A120,"故，本次评估"&amp;A120&amp;"为人民币"&amp;D120&amp;"万元整。")</f>
        <v>故，本次评估不存在估价师知悉的法定优先受偿款</v>
      </c>
    </row>
    <row r="121" spans="1:11" ht="18.75" customHeight="1">
      <c r="A121" s="3100" t="s">
        <v>2311</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
      </c>
      <c r="B122" s="3087"/>
      <c r="C122" s="3087"/>
      <c r="D122" s="3124" t="str">
        <f>H107</f>
        <v>——</v>
      </c>
      <c r="E122" s="3125"/>
      <c r="F122" s="3125"/>
      <c r="G122" s="3125"/>
      <c r="H122" s="3125"/>
      <c r="I122" s="3126"/>
    </row>
    <row r="123" spans="1:11" ht="18.75" customHeight="1">
      <c r="A123" s="2997" t="s">
        <v>2311</v>
      </c>
      <c r="B123" s="2997"/>
      <c r="C123" s="2997"/>
      <c r="D123" s="3096" t="e">
        <f>NUMBERSTRING(INT(D122*10000),2)&amp;"元整"</f>
        <v>#VALUE!</v>
      </c>
      <c r="E123" s="3097"/>
      <c r="F123" s="3097"/>
      <c r="G123" s="3097"/>
      <c r="H123" s="3097"/>
      <c r="I123" s="3098"/>
    </row>
    <row r="124" spans="1:11" ht="18.75" customHeight="1">
      <c r="A124" s="3087" t="str">
        <f>IF(项目基本情况!B9="房地产市场价值","",MID(E109,3,LEN(E109)-2))</f>
        <v>抵押担保权已注销时的房地产抵押价值</v>
      </c>
      <c r="B124" s="3087"/>
      <c r="C124" s="3087"/>
      <c r="D124" s="3124">
        <f ca="1">H109</f>
        <v>190397</v>
      </c>
      <c r="E124" s="3125"/>
      <c r="F124" s="3125"/>
      <c r="G124" s="3125"/>
      <c r="H124" s="3125"/>
      <c r="I124" s="3126"/>
    </row>
    <row r="125" spans="1:11" ht="18.75" customHeight="1">
      <c r="A125" s="2997" t="s">
        <v>2311</v>
      </c>
      <c r="B125" s="2997"/>
      <c r="C125" s="2997"/>
      <c r="D125" s="3096" t="str">
        <f ca="1">NUMBERSTRING(INT(D124*10000),2)&amp;"元整"</f>
        <v>壹拾玖亿零叁佰玖拾柒万元整</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7" t="s">
        <v>2311</v>
      </c>
      <c r="B127" s="2997"/>
      <c r="C127" s="2997"/>
      <c r="D127" s="3096" t="e">
        <f>NUMBERSTRING(INT(D126*10000),2)&amp;"元整"</f>
        <v>#VALUE!</v>
      </c>
      <c r="E127" s="3097"/>
      <c r="F127" s="3097"/>
      <c r="G127" s="3097"/>
      <c r="H127" s="3097"/>
      <c r="I127" s="3098"/>
    </row>
    <row r="128" spans="1:11" ht="21.75" customHeight="1">
      <c r="A128" s="3106" t="s">
        <v>2312</v>
      </c>
      <c r="B128" s="3106"/>
      <c r="C128" s="3106"/>
      <c r="D128" s="3106"/>
      <c r="E128" s="3106"/>
      <c r="F128" s="3106"/>
      <c r="G128" s="3106"/>
      <c r="H128" s="3106"/>
      <c r="I128" s="3106"/>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2315</v>
      </c>
      <c r="G135" s="2544"/>
      <c r="H135" s="2544"/>
      <c r="I135" s="2545" t="s">
        <v>2316</v>
      </c>
    </row>
    <row r="136" spans="1:35" ht="21.75" customHeight="1">
      <c r="A136" s="794"/>
      <c r="B136" s="2546"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2318</v>
      </c>
    </row>
    <row r="139" spans="1:35" ht="21.75" customHeight="1">
      <c r="A139" s="794"/>
      <c r="B139" s="2546" t="s">
        <v>2319</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2318</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3" t="str">
        <f>项目基本情况!B1</f>
        <v>北京市门头沟区新城东街19号院“西长安街壹号”综合项目房地产房地产抵押价值预评估</v>
      </c>
      <c r="C37" s="2953"/>
      <c r="D37" s="2953"/>
      <c r="E37" s="2953"/>
      <c r="F37" s="2953"/>
      <c r="G37" s="2953"/>
      <c r="H37" s="2953"/>
      <c r="I37" s="2953"/>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郑燚（注册号：1120070131)、王鹏（注册号：1120050019)</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4" sqref="F4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7"/>
      <c r="C1" s="241"/>
      <c r="D1" s="241"/>
      <c r="E1" s="241"/>
      <c r="F1" s="241"/>
      <c r="G1" s="1380">
        <f>MATCH(B1,'数据-取费表'!A6:A16,0)+5</f>
        <v>9</v>
      </c>
    </row>
    <row r="2" spans="1:9" s="243" customFormat="1" ht="18" customHeight="1">
      <c r="A2" s="244" t="s">
        <v>2321</v>
      </c>
      <c r="B2" s="245">
        <f ca="1">IF(D2="——",C52,C52-E2)</f>
        <v>191414</v>
      </c>
      <c r="C2" s="242" t="s">
        <v>2322</v>
      </c>
      <c r="D2" s="2549" t="s">
        <v>70</v>
      </c>
      <c r="E2" s="1441" t="e">
        <f ca="1">SUMIF(INDIRECT("'"&amp;G2&amp;"'"&amp;"!A:A"),"承租人权益价值",INDIRECT("'"&amp;G2&amp;"'"&amp;"!c:c"))</f>
        <v>#REF!</v>
      </c>
      <c r="F2" s="2550" t="s">
        <v>2322</v>
      </c>
      <c r="G2" s="2551"/>
    </row>
    <row r="3" spans="1:9" s="243" customFormat="1" ht="18" customHeight="1" thickBot="1">
      <c r="A3" s="246" t="s">
        <v>2323</v>
      </c>
      <c r="B3" s="247">
        <f ca="1">ROUND(B2*10000/(IF(B1="",'数据-汇总表'!E3,INDIRECT("'数据-取费表'!k"&amp;$G$1))),0)</f>
        <v>38290</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120002</v>
      </c>
      <c r="D5" s="254" t="s">
        <v>2328</v>
      </c>
      <c r="E5" s="255" t="s">
        <v>2329</v>
      </c>
      <c r="F5" s="255" t="s">
        <v>2330</v>
      </c>
      <c r="G5" s="256"/>
    </row>
    <row r="6" spans="1:9" s="257" customFormat="1" ht="13.5" customHeight="1">
      <c r="A6" s="950" t="s">
        <v>2331</v>
      </c>
      <c r="B6" s="258" t="s">
        <v>2332</v>
      </c>
      <c r="C6" s="259">
        <f>'土地比较法-住宅、综合'!B2</f>
        <v>115480</v>
      </c>
      <c r="D6" s="260"/>
      <c r="E6" s="261"/>
      <c r="F6" s="261"/>
      <c r="G6" s="262"/>
    </row>
    <row r="7" spans="1:9" s="257" customFormat="1" ht="13.5" customHeight="1">
      <c r="A7" s="950" t="s">
        <v>2333</v>
      </c>
      <c r="B7" s="258" t="s">
        <v>2334</v>
      </c>
      <c r="C7" s="263">
        <f>ROUND(C6*F7,0)</f>
        <v>3522</v>
      </c>
      <c r="D7" s="263"/>
      <c r="E7" s="261"/>
      <c r="F7" s="264">
        <f>'数据-取费表'!B48+'数据-取费表'!B49</f>
        <v>3.0499999999999999E-2</v>
      </c>
      <c r="G7" s="262"/>
    </row>
    <row r="8" spans="1:9" s="266" customFormat="1">
      <c r="A8" s="950" t="s">
        <v>2335</v>
      </c>
      <c r="B8" s="258" t="s">
        <v>2336</v>
      </c>
      <c r="C8" s="263">
        <f ca="1">IF(G8="已包含在土地购买价格中","0",IF(B1="",'数据-取费表'!B29,IF(G9="全部缴纳",C9+C10,H9)))</f>
        <v>1000</v>
      </c>
      <c r="D8" s="265"/>
      <c r="E8" s="263"/>
      <c r="F8" s="264"/>
      <c r="G8" s="2552" t="s">
        <v>4296</v>
      </c>
    </row>
    <row r="9" spans="1:9" s="257" customFormat="1" ht="13.5" customHeight="1">
      <c r="A9" s="951" t="s">
        <v>800</v>
      </c>
      <c r="B9" s="267" t="s">
        <v>2337</v>
      </c>
      <c r="C9" s="268">
        <f ca="1">ROUND(D9*E9/10000,0)</f>
        <v>0</v>
      </c>
      <c r="D9" s="1033">
        <f ca="1">IF(B1="",'数据-汇总表'!E5,IF(INDIRECT("'数据-取费表'!c"&amp;$G$1)="住宅",INDIRECT("'数据-取费表'!k"&amp;$G$1),0))</f>
        <v>0</v>
      </c>
      <c r="E9" s="268">
        <f>'数据-取费表'!B27</f>
        <v>160</v>
      </c>
      <c r="F9" s="264"/>
      <c r="G9" s="2553"/>
      <c r="H9" s="1391"/>
      <c r="I9" s="2554" t="s">
        <v>2338</v>
      </c>
    </row>
    <row r="10" spans="1:9" s="257" customFormat="1" ht="13.5" customHeight="1">
      <c r="A10" s="951" t="s">
        <v>801</v>
      </c>
      <c r="B10" s="267" t="s">
        <v>2339</v>
      </c>
      <c r="C10" s="268">
        <f ca="1">ROUND(D10*E10/10000,0)</f>
        <v>1000</v>
      </c>
      <c r="D10" s="1033">
        <f ca="1">IF(B1="",'数据-汇总表'!E6,IF(INDIRECT("'数据-取费表'!c"&amp;$G$1)="住宅",INDIRECT("'数据-取费表'!s"&amp;$G$1),INDIRECT("'数据-取费表'!k"&amp;$G$1)+INDIRECT("'数据-取费表'!s"&amp;$G$1)))</f>
        <v>49991.200000000004</v>
      </c>
      <c r="E10" s="268">
        <f>'数据-取费表'!B28</f>
        <v>200</v>
      </c>
      <c r="F10" s="264"/>
      <c r="G10" s="269"/>
    </row>
    <row r="11" spans="1:9" s="257" customFormat="1" ht="13.5" hidden="1" customHeight="1">
      <c r="A11" s="270" t="s">
        <v>7</v>
      </c>
      <c r="B11" s="258" t="s">
        <v>2340</v>
      </c>
      <c r="C11" s="254"/>
      <c r="D11" s="1035"/>
      <c r="E11" s="261"/>
      <c r="F11" s="261"/>
      <c r="G11" s="262"/>
    </row>
    <row r="12" spans="1:9" s="257" customFormat="1" ht="13.5" hidden="1" customHeight="1">
      <c r="A12" s="270" t="s">
        <v>8</v>
      </c>
      <c r="B12" s="258" t="s">
        <v>2341</v>
      </c>
      <c r="C12" s="254">
        <v>0</v>
      </c>
      <c r="D12" s="1035"/>
      <c r="E12" s="271"/>
      <c r="F12" s="264">
        <v>3.0499999999999999E-2</v>
      </c>
      <c r="G12" s="262"/>
    </row>
    <row r="13" spans="1:9" s="257" customFormat="1" ht="13.5" hidden="1" customHeight="1">
      <c r="A13" s="270" t="s">
        <v>9</v>
      </c>
      <c r="B13" s="258" t="s">
        <v>2342</v>
      </c>
      <c r="C13" s="254"/>
      <c r="D13" s="1035"/>
      <c r="E13" s="261"/>
      <c r="F13" s="261"/>
      <c r="G13" s="262"/>
    </row>
    <row r="14" spans="1:9" s="257" customFormat="1" ht="13.5" hidden="1" customHeight="1">
      <c r="A14" s="270" t="s">
        <v>10</v>
      </c>
      <c r="B14" s="258" t="s">
        <v>2343</v>
      </c>
      <c r="C14" s="254"/>
      <c r="D14" s="1035"/>
      <c r="E14" s="261"/>
      <c r="F14" s="261"/>
      <c r="G14" s="262" t="s">
        <v>2344</v>
      </c>
    </row>
    <row r="15" spans="1:9" s="257" customFormat="1" ht="13.5" hidden="1" customHeight="1">
      <c r="A15" s="270" t="s">
        <v>11</v>
      </c>
      <c r="B15" s="258" t="s">
        <v>2345</v>
      </c>
      <c r="C15" s="263"/>
      <c r="D15" s="1035"/>
      <c r="E15" s="261"/>
      <c r="F15" s="261"/>
      <c r="G15" s="262" t="s">
        <v>2346</v>
      </c>
    </row>
    <row r="16" spans="1:9" s="257" customFormat="1" ht="13.5" hidden="1" customHeight="1">
      <c r="A16" s="270" t="s">
        <v>12</v>
      </c>
      <c r="B16" s="258" t="s">
        <v>2343</v>
      </c>
      <c r="C16" s="263"/>
      <c r="D16" s="1035"/>
      <c r="E16" s="261"/>
      <c r="F16" s="261"/>
      <c r="G16" s="262"/>
    </row>
    <row r="17" spans="1:7" s="257" customFormat="1" ht="13.5" hidden="1" customHeight="1">
      <c r="A17" s="270" t="s">
        <v>13</v>
      </c>
      <c r="B17" s="258" t="s">
        <v>2347</v>
      </c>
      <c r="C17" s="272"/>
      <c r="D17" s="1036"/>
      <c r="E17" s="272"/>
      <c r="F17" s="272"/>
      <c r="G17" s="262" t="s">
        <v>2346</v>
      </c>
    </row>
    <row r="18" spans="1:7" s="257" customFormat="1" ht="13.5" hidden="1" customHeight="1">
      <c r="A18" s="270" t="s">
        <v>14</v>
      </c>
      <c r="B18" s="258" t="s">
        <v>2348</v>
      </c>
      <c r="C18" s="263">
        <v>0</v>
      </c>
      <c r="D18" s="1035"/>
      <c r="E18" s="261"/>
      <c r="F18" s="264">
        <v>3.0499999999999999E-2</v>
      </c>
      <c r="G18" s="262" t="s">
        <v>2349</v>
      </c>
    </row>
    <row r="19" spans="1:7" s="266" customFormat="1" ht="13.5" customHeight="1">
      <c r="A19" s="298" t="s">
        <v>2350</v>
      </c>
      <c r="B19" s="253" t="s">
        <v>2351</v>
      </c>
      <c r="C19" s="254" t="str">
        <f>IF(G19="已包含在土地取得成本中","0",ROUND(D19*E19/10000,0))</f>
        <v>0</v>
      </c>
      <c r="D19" s="1037">
        <f ca="1">D9+D10</f>
        <v>49991.200000000004</v>
      </c>
      <c r="E19" s="254">
        <f>'数据-取费表'!B31</f>
        <v>200</v>
      </c>
      <c r="F19" s="274"/>
      <c r="G19" s="2552" t="s">
        <v>4297</v>
      </c>
    </row>
    <row r="20" spans="1:7" s="257" customFormat="1" ht="13.5" customHeight="1">
      <c r="A20" s="298" t="s">
        <v>2352</v>
      </c>
      <c r="B20" s="253" t="s">
        <v>2353</v>
      </c>
      <c r="C20" s="275">
        <f ca="1">ROUND((C5+C19)*F20,0)</f>
        <v>1800</v>
      </c>
      <c r="D20" s="275"/>
      <c r="E20" s="275"/>
      <c r="F20" s="276">
        <f>'数据-取费表'!B37</f>
        <v>1.4999999999999999E-2</v>
      </c>
      <c r="G20" s="277" t="s">
        <v>2354</v>
      </c>
    </row>
    <row r="21" spans="1:7" s="257" customFormat="1" ht="13.5" customHeight="1">
      <c r="A21" s="298" t="s">
        <v>2355</v>
      </c>
      <c r="B21" s="253" t="s">
        <v>2356</v>
      </c>
      <c r="C21" s="278">
        <f>F21</f>
        <v>2.5000000000000001E-2</v>
      </c>
      <c r="D21" s="279" t="s">
        <v>2357</v>
      </c>
      <c r="E21" s="275"/>
      <c r="F21" s="276">
        <f>'数据-取费表'!B38</f>
        <v>2.5000000000000001E-2</v>
      </c>
      <c r="G21" s="277" t="s">
        <v>2358</v>
      </c>
    </row>
    <row r="22" spans="1:7" s="257" customFormat="1" ht="13.5" customHeight="1">
      <c r="A22" s="298" t="s">
        <v>2359</v>
      </c>
      <c r="B22" s="253" t="s">
        <v>2360</v>
      </c>
      <c r="C22" s="1355">
        <f ca="1">ROUND(SUM(C23:C25),0)</f>
        <v>14870</v>
      </c>
      <c r="D22" s="278">
        <f ca="1">C26</f>
        <v>1.5E-3</v>
      </c>
      <c r="E22" s="279" t="s">
        <v>2357</v>
      </c>
      <c r="F22" s="280">
        <f ca="1">'数据-取费表'!B40</f>
        <v>4.7500000000000001E-2</v>
      </c>
      <c r="G22" s="277" t="str">
        <f>IF('数据-取费表'!B22&lt;=1,"单利计息","复利计息")</f>
        <v>复利计息</v>
      </c>
    </row>
    <row r="23" spans="1:7" s="257" customFormat="1" ht="13.5" customHeight="1">
      <c r="A23" s="952" t="s">
        <v>2361</v>
      </c>
      <c r="B23" s="258" t="s">
        <v>2362</v>
      </c>
      <c r="C23" s="1356">
        <f ca="1">ROUND(IF('数据-取费表'!B22&lt;=1,C5*F22*'数据-取费表'!B23,C5*(POWER((1+F22),'数据-取费表'!B23)-1)),0)</f>
        <v>14762</v>
      </c>
      <c r="D23" s="281"/>
      <c r="E23" s="281"/>
      <c r="F23" s="282"/>
      <c r="G23" s="283" t="s">
        <v>2363</v>
      </c>
    </row>
    <row r="24" spans="1:7" s="257" customFormat="1" ht="13.5" customHeight="1">
      <c r="A24" s="952" t="s">
        <v>2364</v>
      </c>
      <c r="B24" s="258" t="s">
        <v>2365</v>
      </c>
      <c r="C24" s="1356">
        <f ca="1">ROUND(IF('数据-取费表'!B22&lt;=1,C19*F22*('数据-取费表'!B19/2+'数据-取费表'!B21),C19*(POWER((1+F22),('数据-取费表'!B19/2+'数据-取费表'!B21))-1)),0)</f>
        <v>0</v>
      </c>
      <c r="D24" s="281"/>
      <c r="E24" s="281"/>
      <c r="F24" s="282"/>
      <c r="G24" s="283" t="s">
        <v>2366</v>
      </c>
    </row>
    <row r="25" spans="1:7" s="257" customFormat="1" ht="24">
      <c r="A25" s="952" t="s">
        <v>2367</v>
      </c>
      <c r="B25" s="258" t="s">
        <v>2368</v>
      </c>
      <c r="C25" s="1356">
        <f ca="1">ROUND(IF('数据-取费表'!B22&lt;=1,C20*F22*'数据-取费表'!B23/2,C20*(POWER((1+F22),'数据-取费表'!B23/2)-1)),0)</f>
        <v>108</v>
      </c>
      <c r="D25" s="281"/>
      <c r="E25" s="284"/>
      <c r="F25" s="282"/>
      <c r="G25" s="285" t="s">
        <v>2369</v>
      </c>
    </row>
    <row r="26" spans="1:7" s="257" customFormat="1">
      <c r="A26" s="952" t="s">
        <v>795</v>
      </c>
      <c r="B26" s="258" t="s">
        <v>2370</v>
      </c>
      <c r="C26" s="281">
        <f ca="1">ROUND(IF('数据-取费表'!B22&lt;=1,F21*F22*'数据-取费表'!B23/2,F21*(POWER((1+F22),'数据-取费表'!B23/2)-1)),4)</f>
        <v>1.5E-3</v>
      </c>
      <c r="D26" s="281"/>
      <c r="E26" s="284"/>
      <c r="F26" s="282"/>
      <c r="G26" s="286"/>
    </row>
    <row r="27" spans="1:7" s="257" customFormat="1" ht="24.75">
      <c r="A27" s="298" t="s">
        <v>2371</v>
      </c>
      <c r="B27" s="287" t="s">
        <v>2372</v>
      </c>
      <c r="C27" s="288">
        <f ca="1">C28</f>
        <v>12180</v>
      </c>
      <c r="D27" s="278">
        <f ca="1">C29</f>
        <v>2.5000000000000001E-3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ROUND((C5+C19+C20)*F27*'数据-取费表'!B21/'数据-取费表'!B20,0)</f>
        <v>12180</v>
      </c>
      <c r="D28" s="278"/>
      <c r="E28" s="279"/>
      <c r="F28" s="289"/>
      <c r="G28" s="290"/>
    </row>
    <row r="29" spans="1:7" s="257" customFormat="1" ht="13.5" customHeight="1">
      <c r="A29" s="952" t="s">
        <v>792</v>
      </c>
      <c r="B29" s="291" t="s">
        <v>2376</v>
      </c>
      <c r="C29" s="281">
        <f ca="1">ROUND(C21*F27*'数据-取费表'!B21/'数据-取费表'!B20,4)</f>
        <v>2.5000000000000001E-3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162201</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23479</v>
      </c>
      <c r="D33" s="275"/>
      <c r="E33" s="255"/>
      <c r="F33" s="284"/>
      <c r="G33" s="277"/>
    </row>
    <row r="34" spans="1:7" s="301" customFormat="1" ht="13.5" customHeight="1">
      <c r="A34" s="952" t="s">
        <v>791</v>
      </c>
      <c r="B34" s="258" t="s">
        <v>2384</v>
      </c>
      <c r="C34" s="263">
        <f ca="1">IF(B1="",IF(F34=100%,'数据-取费表'!M16,'数据-取费表'!O16),IF(F34=100%,INDIRECT("'数据-取费表'!m"&amp;$G$1)+INDIRECT("'数据-取费表'!t"&amp;$G$1),INDIRECT("'数据-取费表'!o"&amp;$G$1)+INDIRECT("'数据-取费表'!aq"&amp;$G$1)))</f>
        <v>21511</v>
      </c>
      <c r="D34" s="260"/>
      <c r="E34" s="263"/>
      <c r="F34" s="300">
        <f ca="1">IF('数据-取费表'!B24=0,1,IF(B1="",'数据-取费表'!N16,INDIRECT("'数据-取费表'!n"&amp;$G$1)))</f>
        <v>1</v>
      </c>
      <c r="G34" s="262" t="s">
        <v>2385</v>
      </c>
    </row>
    <row r="35" spans="1:7" ht="13.5" customHeight="1">
      <c r="A35" s="952" t="s">
        <v>796</v>
      </c>
      <c r="B35" s="258" t="s">
        <v>2386</v>
      </c>
      <c r="C35" s="263">
        <f ca="1">ROUND(C34*F35,0)</f>
        <v>645</v>
      </c>
      <c r="D35" s="263"/>
      <c r="E35" s="263"/>
      <c r="F35" s="302">
        <f>'数据-取费表'!B33</f>
        <v>0.03</v>
      </c>
      <c r="G35" s="262" t="s">
        <v>2387</v>
      </c>
    </row>
    <row r="36" spans="1:7" ht="24">
      <c r="A36" s="952"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2" t="s">
        <v>798</v>
      </c>
      <c r="B37" s="258" t="s">
        <v>2390</v>
      </c>
      <c r="C37" s="292">
        <f ca="1">ROUND(E37*D37*F34/10000,0)</f>
        <v>1000</v>
      </c>
      <c r="D37" s="260">
        <f ca="1">D19</f>
        <v>49991.200000000004</v>
      </c>
      <c r="E37" s="292">
        <f>'数据-取费表'!B35</f>
        <v>200</v>
      </c>
      <c r="F37" s="302"/>
      <c r="G37" s="304" t="s">
        <v>2391</v>
      </c>
    </row>
    <row r="38" spans="1:7" ht="13.5" customHeight="1">
      <c r="A38" s="952" t="s">
        <v>799</v>
      </c>
      <c r="B38" s="258" t="s">
        <v>2392</v>
      </c>
      <c r="C38" s="263">
        <f ca="1">ROUND(C34*F38,0)</f>
        <v>323</v>
      </c>
      <c r="D38" s="263"/>
      <c r="E38" s="263"/>
      <c r="F38" s="302">
        <f>'数据-取费表'!B36</f>
        <v>1.4999999999999999E-2</v>
      </c>
      <c r="G38" s="262" t="s">
        <v>2387</v>
      </c>
    </row>
    <row r="39" spans="1:7" s="257" customFormat="1" ht="13.5" customHeight="1">
      <c r="A39" s="298" t="s">
        <v>2393</v>
      </c>
      <c r="B39" s="253" t="s">
        <v>2394</v>
      </c>
      <c r="C39" s="275">
        <f ca="1">ROUND(C33*F20,0)</f>
        <v>352</v>
      </c>
      <c r="D39" s="275"/>
      <c r="E39" s="275"/>
      <c r="F39" s="276"/>
      <c r="G39" s="277" t="s">
        <v>2395</v>
      </c>
    </row>
    <row r="40" spans="1:7" s="257" customFormat="1" ht="13.5" customHeight="1">
      <c r="A40" s="298" t="s">
        <v>2396</v>
      </c>
      <c r="B40" s="253" t="s">
        <v>2397</v>
      </c>
      <c r="C40" s="1728">
        <f>F21</f>
        <v>2.5000000000000001E-2</v>
      </c>
      <c r="D40" s="279" t="s">
        <v>2398</v>
      </c>
      <c r="E40" s="275"/>
      <c r="F40" s="276"/>
      <c r="G40" s="277" t="s">
        <v>2399</v>
      </c>
    </row>
    <row r="41" spans="1:7" s="257" customFormat="1" ht="13.5" customHeight="1">
      <c r="A41" s="298" t="s">
        <v>2400</v>
      </c>
      <c r="B41" s="253" t="s">
        <v>2401</v>
      </c>
      <c r="C41" s="275">
        <f ca="1">ROUND(SUM(C42:C43),0)</f>
        <v>1423</v>
      </c>
      <c r="D41" s="278">
        <f ca="1">C44</f>
        <v>1.5E-3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ROUND(IF('数据-取费表'!B22&lt;=1,C33*F22*'数据-取费表'!B21/2,C33*(POWER((1+F22),'数据-取费表'!B21/2)-1)),0)</f>
        <v>1402</v>
      </c>
      <c r="D42" s="281"/>
      <c r="E42" s="281"/>
      <c r="F42" s="282"/>
      <c r="G42" s="3138" t="s">
        <v>2403</v>
      </c>
    </row>
    <row r="43" spans="1:7" ht="13.5" customHeight="1">
      <c r="A43" s="952" t="s">
        <v>792</v>
      </c>
      <c r="B43" s="258" t="s">
        <v>2404</v>
      </c>
      <c r="C43" s="281">
        <f ca="1">ROUND(IF('数据-取费表'!B22&lt;=1,C39*F22*'数据-取费表'!B21/2,C39*(POWER((1+F22),'数据-取费表'!B21/2)-1)),0)</f>
        <v>21</v>
      </c>
      <c r="D43" s="281"/>
      <c r="E43" s="281"/>
      <c r="F43" s="282"/>
      <c r="G43" s="3139"/>
    </row>
    <row r="44" spans="1:7" ht="13.5" customHeight="1">
      <c r="A44" s="952" t="s">
        <v>793</v>
      </c>
      <c r="B44" s="258" t="s">
        <v>2405</v>
      </c>
      <c r="C44" s="281">
        <f ca="1">ROUND(IF('数据-取费表'!B22&lt;=1,C40*F22*'数据-取费表'!B21/2,C40*(POWER((1+F22),'数据-取费表'!B21/2)-1)),4)</f>
        <v>1.5E-3</v>
      </c>
      <c r="D44" s="281"/>
      <c r="E44" s="281"/>
      <c r="F44" s="282"/>
      <c r="G44" s="3140"/>
    </row>
    <row r="45" spans="1:7" s="257" customFormat="1" ht="13.5" customHeight="1">
      <c r="A45" s="298" t="s">
        <v>2406</v>
      </c>
      <c r="B45" s="287" t="s">
        <v>2372</v>
      </c>
      <c r="C45" s="288">
        <f ca="1">C46</f>
        <v>2383</v>
      </c>
      <c r="D45" s="278">
        <f ca="1">C47</f>
        <v>2.5000000000000001E-3</v>
      </c>
      <c r="E45" s="279" t="s">
        <v>2398</v>
      </c>
      <c r="F45" s="289"/>
      <c r="G45" s="290" t="s">
        <v>2407</v>
      </c>
    </row>
    <row r="46" spans="1:7" s="257" customFormat="1" ht="13.5" customHeight="1">
      <c r="A46" s="952" t="s">
        <v>791</v>
      </c>
      <c r="B46" s="291" t="s">
        <v>2408</v>
      </c>
      <c r="C46" s="292">
        <f ca="1">ROUND((C33+C39)*F27,0)</f>
        <v>2383</v>
      </c>
      <c r="D46" s="306"/>
      <c r="E46" s="279"/>
      <c r="F46" s="289"/>
      <c r="G46" s="290"/>
    </row>
    <row r="47" spans="1:7" s="257" customFormat="1" ht="13.5" customHeight="1">
      <c r="A47" s="952" t="s">
        <v>792</v>
      </c>
      <c r="B47" s="291" t="s">
        <v>2409</v>
      </c>
      <c r="C47" s="281">
        <f ca="1">ROUND(C40*F27,4)</f>
        <v>2.5000000000000001E-3</v>
      </c>
      <c r="D47" s="306"/>
      <c r="E47" s="279"/>
      <c r="F47" s="289"/>
      <c r="G47" s="290"/>
    </row>
    <row r="48" spans="1:7" s="257" customFormat="1" ht="13.5" customHeight="1">
      <c r="A48" s="298" t="s">
        <v>2371</v>
      </c>
      <c r="B48" s="253" t="s">
        <v>2410</v>
      </c>
      <c r="C48" s="1728">
        <f>ROUND(F30/(1+'数据-取费表'!C42),4)</f>
        <v>5.33E-2</v>
      </c>
      <c r="D48" s="279" t="s">
        <v>2398</v>
      </c>
      <c r="E48" s="275"/>
      <c r="F48" s="280"/>
      <c r="G48" s="277" t="s">
        <v>2411</v>
      </c>
    </row>
    <row r="49" spans="1:7" ht="16.5" customHeight="1">
      <c r="A49" s="298" t="s">
        <v>2377</v>
      </c>
      <c r="B49" s="253" t="s">
        <v>2412</v>
      </c>
      <c r="C49" s="275">
        <f ca="1">ROUND((C33+C39+C41+C45)/(1-C40-D41-D45-C48),0)</f>
        <v>30116</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29213</v>
      </c>
      <c r="D51" s="275"/>
      <c r="E51" s="275"/>
      <c r="F51" s="307"/>
      <c r="G51" s="277" t="s">
        <v>2419</v>
      </c>
    </row>
    <row r="52" spans="1:7" s="251" customFormat="1" ht="16.5" thickBot="1">
      <c r="A52" s="308" t="s">
        <v>2420</v>
      </c>
      <c r="B52" s="309"/>
      <c r="C52" s="310">
        <f ca="1">C31+C51</f>
        <v>191414</v>
      </c>
      <c r="D52" s="309"/>
      <c r="E52" s="309"/>
      <c r="F52" s="309"/>
      <c r="G52" s="311"/>
    </row>
    <row r="55" spans="1:7" ht="15">
      <c r="B55" s="313" t="s">
        <v>2421</v>
      </c>
      <c r="C55" s="314"/>
    </row>
    <row r="56" spans="1:7">
      <c r="B56" s="316" t="s">
        <v>1509</v>
      </c>
      <c r="C56" s="318">
        <f ca="1">1-C57</f>
        <v>0.84699999999999998</v>
      </c>
    </row>
    <row r="57" spans="1:7">
      <c r="B57" s="316" t="s">
        <v>1510</v>
      </c>
      <c r="C57" s="317">
        <f ca="1">ROUND(C51/C52,3)</f>
        <v>0.153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7"/>
      <c r="C1" s="2555" t="s">
        <v>2422</v>
      </c>
      <c r="D1" s="241"/>
      <c r="E1" s="241"/>
      <c r="F1" s="241"/>
      <c r="G1" s="1380">
        <f>MATCH(B1,'数据-取费表'!A6:A16,0)+5</f>
        <v>9</v>
      </c>
      <c r="H1" s="1283" t="str">
        <f>IF(ISERROR(FIND("住宅",B1)),"非住宅","住宅")</f>
        <v>非住宅</v>
      </c>
    </row>
    <row r="2" spans="1:8" s="243" customFormat="1" ht="18" customHeight="1">
      <c r="A2" s="244" t="s">
        <v>2321</v>
      </c>
      <c r="B2" s="245">
        <f ca="1">ROUND(IF(D2="——",C52/10000,C52/10000-E2),0)</f>
        <v>31916</v>
      </c>
      <c r="C2" s="242" t="s">
        <v>2322</v>
      </c>
      <c r="D2" s="2549" t="s">
        <v>70</v>
      </c>
      <c r="E2" s="1441" t="e">
        <f ca="1">SUMIF(INDIRECT("'"&amp;G2&amp;"'"&amp;"!A:A"),"承租人权益价值",INDIRECT("'"&amp;G2&amp;"'"&amp;"!c:c"))</f>
        <v>#REF!</v>
      </c>
      <c r="F2" s="2550" t="s">
        <v>2322</v>
      </c>
      <c r="G2" s="2551"/>
    </row>
    <row r="3" spans="1:8" s="243" customFormat="1" ht="18" customHeight="1" thickBot="1">
      <c r="A3" s="246" t="s">
        <v>2323</v>
      </c>
      <c r="B3" s="247">
        <f ca="1">ROUND(B2*10000/(IF(B1="",'数据-汇总表'!E3,INDIRECT("'数据-取费表'!k"&amp;$G$1))),0)</f>
        <v>6384</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9998240</v>
      </c>
      <c r="D5" s="254" t="s">
        <v>2328</v>
      </c>
      <c r="E5" s="255" t="s">
        <v>2329</v>
      </c>
      <c r="F5" s="255" t="s">
        <v>2330</v>
      </c>
      <c r="G5" s="256"/>
    </row>
    <row r="6" spans="1:8" s="257" customFormat="1" ht="13.5" customHeight="1">
      <c r="A6" s="950" t="s">
        <v>2331</v>
      </c>
      <c r="B6" s="258" t="s">
        <v>2332</v>
      </c>
      <c r="C6" s="259"/>
      <c r="D6" s="260"/>
      <c r="E6" s="261"/>
      <c r="F6" s="261"/>
      <c r="G6" s="262"/>
    </row>
    <row r="7" spans="1:8" s="257" customFormat="1" ht="13.5" customHeight="1">
      <c r="A7" s="950" t="s">
        <v>2333</v>
      </c>
      <c r="B7" s="258" t="s">
        <v>2334</v>
      </c>
      <c r="C7" s="263">
        <f>ROUND(C6*F7,0)</f>
        <v>0</v>
      </c>
      <c r="D7" s="263"/>
      <c r="E7" s="261"/>
      <c r="F7" s="264">
        <f>'数据-取费表'!B48+'数据-取费表'!B49</f>
        <v>3.0499999999999999E-2</v>
      </c>
      <c r="G7" s="262"/>
    </row>
    <row r="8" spans="1:8" s="266" customFormat="1">
      <c r="A8" s="950" t="s">
        <v>2335</v>
      </c>
      <c r="B8" s="258" t="s">
        <v>2336</v>
      </c>
      <c r="C8" s="263">
        <f ca="1">IF(G8="已包含在土地购买价格中",0,C9+C10)</f>
        <v>9998240</v>
      </c>
      <c r="D8" s="265"/>
      <c r="E8" s="263"/>
      <c r="F8" s="264"/>
      <c r="G8" s="2552"/>
    </row>
    <row r="9" spans="1:8" s="257" customFormat="1" ht="13.5" customHeight="1">
      <c r="A9" s="951" t="s">
        <v>800</v>
      </c>
      <c r="B9" s="267" t="s">
        <v>2337</v>
      </c>
      <c r="C9" s="268">
        <f ca="1">ROUND(D9*E9,0)</f>
        <v>0</v>
      </c>
      <c r="D9" s="1033">
        <f ca="1">IF(B1="",'数据-汇总表'!E5,IF(INDIRECT("'数据-取费表'!c"&amp;$G$1)="住宅",INDIRECT("'数据-取费表'!k"&amp;$G$1),0))</f>
        <v>0</v>
      </c>
      <c r="E9" s="268">
        <f>'数据-取费表'!B27</f>
        <v>160</v>
      </c>
      <c r="F9" s="264"/>
      <c r="G9" s="269"/>
    </row>
    <row r="10" spans="1:8" s="257" customFormat="1" ht="13.5" customHeight="1">
      <c r="A10" s="951" t="s">
        <v>801</v>
      </c>
      <c r="B10" s="267" t="s">
        <v>2339</v>
      </c>
      <c r="C10" s="268">
        <f ca="1">ROUND(D10*E10,0)</f>
        <v>9998240</v>
      </c>
      <c r="D10" s="1033">
        <f ca="1">IF(B1="",'数据-汇总表'!E6,IF(INDIRECT("'数据-取费表'!c"&amp;$G$1)="住宅",INDIRECT("'数据-取费表'!s"&amp;$G$1),INDIRECT("'数据-取费表'!k"&amp;$G$1)+INDIRECT("'数据-取费表'!s"&amp;$G$1)))</f>
        <v>49991.200000000004</v>
      </c>
      <c r="E10" s="268">
        <f>'数据-取费表'!B28</f>
        <v>200</v>
      </c>
      <c r="F10" s="264"/>
      <c r="G10" s="269"/>
    </row>
    <row r="11" spans="1:8" s="257" customFormat="1" ht="13.5" hidden="1" customHeight="1">
      <c r="A11" s="270" t="s">
        <v>7</v>
      </c>
      <c r="B11" s="258" t="s">
        <v>2340</v>
      </c>
      <c r="C11" s="254"/>
      <c r="D11" s="1035"/>
      <c r="E11" s="261"/>
      <c r="F11" s="261"/>
      <c r="G11" s="262"/>
    </row>
    <row r="12" spans="1:8" s="257" customFormat="1" ht="13.5" hidden="1" customHeight="1">
      <c r="A12" s="270" t="s">
        <v>8</v>
      </c>
      <c r="B12" s="258" t="s">
        <v>2423</v>
      </c>
      <c r="C12" s="254">
        <v>0</v>
      </c>
      <c r="D12" s="1035"/>
      <c r="E12" s="271"/>
      <c r="F12" s="264">
        <v>3.0499999999999999E-2</v>
      </c>
      <c r="G12" s="262"/>
    </row>
    <row r="13" spans="1:8" s="257" customFormat="1" ht="13.5" hidden="1" customHeight="1">
      <c r="A13" s="270" t="s">
        <v>9</v>
      </c>
      <c r="B13" s="258" t="s">
        <v>2424</v>
      </c>
      <c r="C13" s="254"/>
      <c r="D13" s="1035"/>
      <c r="E13" s="261"/>
      <c r="F13" s="261"/>
      <c r="G13" s="262"/>
    </row>
    <row r="14" spans="1:8" s="257" customFormat="1" ht="13.5" hidden="1" customHeight="1">
      <c r="A14" s="270" t="s">
        <v>10</v>
      </c>
      <c r="B14" s="258" t="s">
        <v>2336</v>
      </c>
      <c r="C14" s="254"/>
      <c r="D14" s="1035"/>
      <c r="E14" s="261"/>
      <c r="F14" s="261"/>
      <c r="G14" s="262" t="s">
        <v>2425</v>
      </c>
    </row>
    <row r="15" spans="1:8" s="257" customFormat="1" ht="13.5" hidden="1" customHeight="1">
      <c r="A15" s="270" t="s">
        <v>11</v>
      </c>
      <c r="B15" s="258" t="s">
        <v>2426</v>
      </c>
      <c r="C15" s="263"/>
      <c r="D15" s="1035"/>
      <c r="E15" s="261"/>
      <c r="F15" s="261"/>
      <c r="G15" s="262" t="s">
        <v>2427</v>
      </c>
    </row>
    <row r="16" spans="1:8" s="257" customFormat="1" ht="13.5" hidden="1" customHeight="1">
      <c r="A16" s="270" t="s">
        <v>12</v>
      </c>
      <c r="B16" s="258" t="s">
        <v>2336</v>
      </c>
      <c r="C16" s="263"/>
      <c r="D16" s="1035"/>
      <c r="E16" s="261"/>
      <c r="F16" s="261"/>
      <c r="G16" s="262"/>
    </row>
    <row r="17" spans="1:7" s="257" customFormat="1" ht="13.5" hidden="1" customHeight="1">
      <c r="A17" s="270" t="s">
        <v>13</v>
      </c>
      <c r="B17" s="258" t="s">
        <v>2428</v>
      </c>
      <c r="C17" s="272"/>
      <c r="D17" s="1036"/>
      <c r="E17" s="272"/>
      <c r="F17" s="272"/>
      <c r="G17" s="262" t="s">
        <v>2427</v>
      </c>
    </row>
    <row r="18" spans="1:7" s="257" customFormat="1" ht="13.5" hidden="1" customHeight="1">
      <c r="A18" s="270" t="s">
        <v>14</v>
      </c>
      <c r="B18" s="258" t="s">
        <v>2429</v>
      </c>
      <c r="C18" s="263">
        <v>0</v>
      </c>
      <c r="D18" s="1035"/>
      <c r="E18" s="261"/>
      <c r="F18" s="264">
        <v>3.0499999999999999E-2</v>
      </c>
      <c r="G18" s="262" t="s">
        <v>2430</v>
      </c>
    </row>
    <row r="19" spans="1:7" s="266" customFormat="1" ht="13.5" customHeight="1">
      <c r="A19" s="298" t="s">
        <v>2431</v>
      </c>
      <c r="B19" s="253" t="s">
        <v>2432</v>
      </c>
      <c r="C19" s="254">
        <f ca="1">IF(G19="已包含在土地取得成本中","0",ROUND(D19*E19,0))</f>
        <v>9998240</v>
      </c>
      <c r="D19" s="1037">
        <f ca="1">D9+D10</f>
        <v>49991.200000000004</v>
      </c>
      <c r="E19" s="254">
        <f>'数据-取费表'!B31</f>
        <v>200</v>
      </c>
      <c r="F19" s="274"/>
      <c r="G19" s="2552"/>
    </row>
    <row r="20" spans="1:7" s="257" customFormat="1" ht="13.5" customHeight="1">
      <c r="A20" s="298" t="s">
        <v>2433</v>
      </c>
      <c r="B20" s="253" t="s">
        <v>2434</v>
      </c>
      <c r="C20" s="275">
        <f ca="1">ROUND((C5+C19)*F20,0)</f>
        <v>299947</v>
      </c>
      <c r="D20" s="275"/>
      <c r="E20" s="275"/>
      <c r="F20" s="276">
        <f>'数据-取费表'!B37</f>
        <v>1.4999999999999999E-2</v>
      </c>
      <c r="G20" s="277" t="s">
        <v>2435</v>
      </c>
    </row>
    <row r="21" spans="1:7" s="257" customFormat="1" ht="13.5" customHeight="1">
      <c r="A21" s="298" t="s">
        <v>2436</v>
      </c>
      <c r="B21" s="253" t="s">
        <v>2437</v>
      </c>
      <c r="C21" s="278">
        <f>F21</f>
        <v>2.5000000000000001E-2</v>
      </c>
      <c r="D21" s="279" t="s">
        <v>2438</v>
      </c>
      <c r="E21" s="275"/>
      <c r="F21" s="276">
        <f>'数据-取费表'!B38</f>
        <v>2.5000000000000001E-2</v>
      </c>
      <c r="G21" s="277" t="s">
        <v>2439</v>
      </c>
    </row>
    <row r="22" spans="1:7" s="257" customFormat="1" ht="13.5" customHeight="1">
      <c r="A22" s="298" t="s">
        <v>2440</v>
      </c>
      <c r="B22" s="253" t="s">
        <v>2441</v>
      </c>
      <c r="C22" s="1381">
        <f ca="1">ROUND(SUM(C23:C25),0)</f>
        <v>2477756</v>
      </c>
      <c r="D22" s="278">
        <f ca="1">C26</f>
        <v>1.5E-3</v>
      </c>
      <c r="E22" s="279" t="s">
        <v>2438</v>
      </c>
      <c r="F22" s="280">
        <f ca="1">'数据-取费表'!B40</f>
        <v>4.7500000000000001E-2</v>
      </c>
      <c r="G22" s="277" t="str">
        <f>IF('数据-取费表'!B22&lt;=1,"单利计息","复利计息")</f>
        <v>复利计息</v>
      </c>
    </row>
    <row r="23" spans="1:7" s="257" customFormat="1" ht="13.5" customHeight="1">
      <c r="A23" s="952" t="s">
        <v>2331</v>
      </c>
      <c r="B23" s="258" t="s">
        <v>2442</v>
      </c>
      <c r="C23" s="1382">
        <f ca="1">ROUND(IF('数据-取费表'!B22&lt;=1,C5*F22*'数据-取费表'!B22,C5*(POWER((1+F22),'数据-取费表'!B22)-1)),0)</f>
        <v>1229921</v>
      </c>
      <c r="D23" s="281"/>
      <c r="E23" s="281"/>
      <c r="F23" s="282"/>
      <c r="G23" s="283" t="s">
        <v>2443</v>
      </c>
    </row>
    <row r="24" spans="1:7" s="257" customFormat="1" ht="13.5" customHeight="1">
      <c r="A24" s="952" t="s">
        <v>2333</v>
      </c>
      <c r="B24" s="258" t="s">
        <v>2444</v>
      </c>
      <c r="C24" s="1382">
        <f ca="1">ROUND(IF('数据-取费表'!B22&lt;=1,C19*F22*('数据-取费表'!B19/2+'数据-取费表'!B20),C19*(POWER((1+F22),('数据-取费表'!B19/2+'数据-取费表'!B20))-1)),0)</f>
        <v>1229921</v>
      </c>
      <c r="D24" s="281"/>
      <c r="E24" s="281"/>
      <c r="F24" s="282"/>
      <c r="G24" s="283" t="s">
        <v>2445</v>
      </c>
    </row>
    <row r="25" spans="1:7" s="257" customFormat="1" ht="24">
      <c r="A25" s="952" t="s">
        <v>2335</v>
      </c>
      <c r="B25" s="258" t="s">
        <v>2446</v>
      </c>
      <c r="C25" s="1382">
        <f ca="1">ROUND(IF('数据-取费表'!B22&lt;=1,C20*F22*'数据-取费表'!B22/2,C20*(POWER((1+F22),'数据-取费表'!B22/2)-1)),0)</f>
        <v>17914</v>
      </c>
      <c r="D25" s="281"/>
      <c r="E25" s="284"/>
      <c r="F25" s="282"/>
      <c r="G25" s="285" t="s">
        <v>2447</v>
      </c>
    </row>
    <row r="26" spans="1:7" s="257" customFormat="1">
      <c r="A26" s="952" t="s">
        <v>795</v>
      </c>
      <c r="B26" s="258" t="s">
        <v>2370</v>
      </c>
      <c r="C26" s="281">
        <f ca="1">ROUND(IF('数据-取费表'!B22&lt;=1,F21*F22*'数据-取费表'!B22/2,F21*(POWER((1+F22),'数据-取费表'!B22/2)-1)),4)</f>
        <v>1.5E-3</v>
      </c>
      <c r="D26" s="281"/>
      <c r="E26" s="284"/>
      <c r="F26" s="282"/>
      <c r="G26" s="286"/>
    </row>
    <row r="27" spans="1:7" s="257" customFormat="1" ht="24.75">
      <c r="A27" s="298" t="s">
        <v>2371</v>
      </c>
      <c r="B27" s="287" t="s">
        <v>2372</v>
      </c>
      <c r="C27" s="288">
        <f ca="1">C28</f>
        <v>2029643</v>
      </c>
      <c r="D27" s="278">
        <f ca="1">C29</f>
        <v>2.5000000000000001E-3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ROUND((C5+C19+C20)*F27,0)</f>
        <v>2029643</v>
      </c>
      <c r="D28" s="278"/>
      <c r="E28" s="279"/>
      <c r="F28" s="289"/>
      <c r="G28" s="290"/>
    </row>
    <row r="29" spans="1:7" s="257" customFormat="1" ht="13.5" customHeight="1">
      <c r="A29" s="952" t="s">
        <v>792</v>
      </c>
      <c r="B29" s="291" t="s">
        <v>2376</v>
      </c>
      <c r="C29" s="281">
        <f ca="1">ROUND(C21*F27,4)</f>
        <v>2.5000000000000001E-3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27028251</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234796080</v>
      </c>
      <c r="D33" s="275"/>
      <c r="E33" s="255"/>
      <c r="F33" s="284"/>
      <c r="G33" s="277"/>
    </row>
    <row r="34" spans="1:7" s="301" customFormat="1" ht="13.5" customHeight="1">
      <c r="A34" s="952" t="s">
        <v>791</v>
      </c>
      <c r="B34" s="258" t="s">
        <v>2384</v>
      </c>
      <c r="C34" s="263">
        <f ca="1">ROUND(IF(B1="",SUMPRODUCT('数据-取费表'!K6:K14,'数据-取费表'!L6:L14),INDIRECT("'数据-取费表'!l"&amp;$G$1)*INDIRECT("'数据-取费表'!k"&amp;$G$1)+'数据-取费表'!L14*INDIRECT("'数据-取费表'!S"&amp;$G$1)),0)</f>
        <v>215117550</v>
      </c>
      <c r="D34" s="260"/>
      <c r="E34" s="263"/>
      <c r="F34" s="300"/>
      <c r="G34" s="262"/>
    </row>
    <row r="35" spans="1:7" ht="13.5" customHeight="1">
      <c r="A35" s="952" t="s">
        <v>796</v>
      </c>
      <c r="B35" s="258" t="s">
        <v>2386</v>
      </c>
      <c r="C35" s="263">
        <f ca="1">ROUND(C34*F35,0)</f>
        <v>6453527</v>
      </c>
      <c r="D35" s="263"/>
      <c r="E35" s="263"/>
      <c r="F35" s="302">
        <f>'数据-取费表'!B33</f>
        <v>0.03</v>
      </c>
      <c r="G35" s="262" t="s">
        <v>2387</v>
      </c>
    </row>
    <row r="36" spans="1:7" ht="24">
      <c r="A36" s="952"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2" t="s">
        <v>798</v>
      </c>
      <c r="B37" s="258" t="s">
        <v>2390</v>
      </c>
      <c r="C37" s="292">
        <f ca="1">ROUND(E37*D37,0)</f>
        <v>9998240</v>
      </c>
      <c r="D37" s="260">
        <f ca="1">D19</f>
        <v>49991.200000000004</v>
      </c>
      <c r="E37" s="292">
        <f>'数据-取费表'!B35</f>
        <v>200</v>
      </c>
      <c r="F37" s="302"/>
      <c r="G37" s="304"/>
    </row>
    <row r="38" spans="1:7" ht="13.5" customHeight="1">
      <c r="A38" s="952" t="s">
        <v>799</v>
      </c>
      <c r="B38" s="258" t="s">
        <v>2392</v>
      </c>
      <c r="C38" s="263">
        <f ca="1">ROUND(C34*F38,0)</f>
        <v>3226763</v>
      </c>
      <c r="D38" s="263"/>
      <c r="E38" s="263"/>
      <c r="F38" s="302">
        <f>'数据-取费表'!B36</f>
        <v>1.4999999999999999E-2</v>
      </c>
      <c r="G38" s="262" t="s">
        <v>2387</v>
      </c>
    </row>
    <row r="39" spans="1:7" s="257" customFormat="1" ht="13.5" customHeight="1">
      <c r="A39" s="298" t="s">
        <v>2393</v>
      </c>
      <c r="B39" s="253" t="s">
        <v>2394</v>
      </c>
      <c r="C39" s="275">
        <f ca="1">ROUND(C33*F20,0)</f>
        <v>3521941</v>
      </c>
      <c r="D39" s="275"/>
      <c r="E39" s="275"/>
      <c r="F39" s="276"/>
      <c r="G39" s="277" t="s">
        <v>2395</v>
      </c>
    </row>
    <row r="40" spans="1:7" s="257" customFormat="1" ht="13.5" customHeight="1">
      <c r="A40" s="298" t="s">
        <v>2396</v>
      </c>
      <c r="B40" s="253" t="s">
        <v>2397</v>
      </c>
      <c r="C40" s="1728">
        <f>F21</f>
        <v>2.5000000000000001E-2</v>
      </c>
      <c r="D40" s="279" t="s">
        <v>2398</v>
      </c>
      <c r="E40" s="275"/>
      <c r="F40" s="276"/>
      <c r="G40" s="277" t="s">
        <v>2399</v>
      </c>
    </row>
    <row r="41" spans="1:7" s="257" customFormat="1" ht="13.5" customHeight="1">
      <c r="A41" s="298" t="s">
        <v>2400</v>
      </c>
      <c r="B41" s="253" t="s">
        <v>2401</v>
      </c>
      <c r="C41" s="275">
        <f ca="1">ROUND(SUM(C42:C43),0)</f>
        <v>14233171</v>
      </c>
      <c r="D41" s="278">
        <f ca="1">C44</f>
        <v>1.5E-3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ROUND(IF('数据-取费表'!B22&lt;=1,C33*F22*'数据-取费表'!B20/2,C33*(POWER((1+F22),'数据-取费表'!B20/2)-1)),0)</f>
        <v>14022829</v>
      </c>
      <c r="D42" s="281"/>
      <c r="E42" s="281"/>
      <c r="F42" s="282"/>
      <c r="G42" s="3138" t="s">
        <v>2450</v>
      </c>
    </row>
    <row r="43" spans="1:7" ht="13.5" customHeight="1">
      <c r="A43" s="952" t="s">
        <v>792</v>
      </c>
      <c r="B43" s="258" t="s">
        <v>2404</v>
      </c>
      <c r="C43" s="281">
        <f ca="1">ROUND(IF('数据-取费表'!B22&lt;=1,C39*F22*'数据-取费表'!B20/2,C39*(POWER((1+F22),'数据-取费表'!B20/2)-1)),0)</f>
        <v>210342</v>
      </c>
      <c r="D43" s="281"/>
      <c r="E43" s="281"/>
      <c r="F43" s="282"/>
      <c r="G43" s="3139"/>
    </row>
    <row r="44" spans="1:7" ht="13.5" customHeight="1">
      <c r="A44" s="952" t="s">
        <v>793</v>
      </c>
      <c r="B44" s="258" t="s">
        <v>2405</v>
      </c>
      <c r="C44" s="281">
        <f ca="1">ROUND(IF('数据-取费表'!B22&lt;=1,C40*F22*'数据-取费表'!B20/2,C40*(POWER((1+F22),'数据-取费表'!B20/2)-1)),4)</f>
        <v>1.5E-3</v>
      </c>
      <c r="D44" s="281"/>
      <c r="E44" s="281"/>
      <c r="F44" s="282"/>
      <c r="G44" s="3140"/>
    </row>
    <row r="45" spans="1:7" s="257" customFormat="1" ht="13.5" customHeight="1">
      <c r="A45" s="298" t="s">
        <v>2406</v>
      </c>
      <c r="B45" s="287" t="s">
        <v>2372</v>
      </c>
      <c r="C45" s="288">
        <f ca="1">C46</f>
        <v>23831802</v>
      </c>
      <c r="D45" s="278">
        <f ca="1">C47</f>
        <v>2.5000000000000001E-3</v>
      </c>
      <c r="E45" s="279" t="s">
        <v>2398</v>
      </c>
      <c r="F45" s="289"/>
      <c r="G45" s="290" t="s">
        <v>2407</v>
      </c>
    </row>
    <row r="46" spans="1:7" s="257" customFormat="1" ht="13.5" customHeight="1">
      <c r="A46" s="952" t="s">
        <v>791</v>
      </c>
      <c r="B46" s="291" t="s">
        <v>2408</v>
      </c>
      <c r="C46" s="292">
        <f ca="1">ROUND((C33+C39)*F27,0)</f>
        <v>23831802</v>
      </c>
      <c r="D46" s="306"/>
      <c r="E46" s="279"/>
      <c r="F46" s="289"/>
      <c r="G46" s="290"/>
    </row>
    <row r="47" spans="1:7" s="257" customFormat="1" ht="13.5" customHeight="1">
      <c r="A47" s="952" t="s">
        <v>792</v>
      </c>
      <c r="B47" s="291" t="s">
        <v>2409</v>
      </c>
      <c r="C47" s="281">
        <f ca="1">ROUND(C40*F27,4)</f>
        <v>2.5000000000000001E-3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301169221</v>
      </c>
      <c r="D49" s="275"/>
      <c r="E49" s="275"/>
      <c r="F49" s="307"/>
      <c r="G49" s="277" t="s">
        <v>2413</v>
      </c>
    </row>
    <row r="50" spans="1:7" s="301" customFormat="1">
      <c r="A50" s="298" t="s">
        <v>2414</v>
      </c>
      <c r="B50" s="253" t="s">
        <v>2415</v>
      </c>
      <c r="C50" s="275"/>
      <c r="D50" s="275"/>
      <c r="E50" s="275"/>
      <c r="F50" s="307">
        <f>IF('数据-取费表'!B24=0,'数据-取费表'!N16,1)</f>
        <v>0.97</v>
      </c>
      <c r="G50" s="290"/>
    </row>
    <row r="51" spans="1:7" ht="16.5" customHeight="1">
      <c r="A51" s="298" t="s">
        <v>2417</v>
      </c>
      <c r="B51" s="253" t="s">
        <v>2452</v>
      </c>
      <c r="C51" s="275">
        <f ca="1">ROUND(C49*F50,0)</f>
        <v>292134144</v>
      </c>
      <c r="D51" s="275"/>
      <c r="E51" s="275"/>
      <c r="F51" s="307"/>
      <c r="G51" s="277" t="s">
        <v>2419</v>
      </c>
    </row>
    <row r="52" spans="1:7" s="251" customFormat="1" ht="16.5" thickBot="1">
      <c r="A52" s="308" t="s">
        <v>2420</v>
      </c>
      <c r="B52" s="309"/>
      <c r="C52" s="310">
        <f ca="1">C31+C51</f>
        <v>319162395</v>
      </c>
      <c r="D52" s="309"/>
      <c r="E52" s="309"/>
      <c r="F52" s="309"/>
      <c r="G52" s="311"/>
    </row>
    <row r="55" spans="1:7" ht="15">
      <c r="B55" s="313" t="s">
        <v>2421</v>
      </c>
      <c r="C55" s="314"/>
    </row>
    <row r="56" spans="1:7">
      <c r="B56" s="316" t="s">
        <v>1509</v>
      </c>
      <c r="C56" s="318">
        <f ca="1">1-C57</f>
        <v>8.4999999999999964E-2</v>
      </c>
    </row>
    <row r="57" spans="1:7">
      <c r="B57" s="316" t="s">
        <v>1510</v>
      </c>
      <c r="C57" s="317">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6" zoomScale="90" zoomScaleNormal="90" workbookViewId="0">
      <selection activeCell="C13" sqref="C13:I13"/>
    </sheetView>
  </sheetViews>
  <sheetFormatPr defaultColWidth="9" defaultRowHeight="14.25"/>
  <cols>
    <col min="1" max="1" width="14.375" style="402" customWidth="1"/>
    <col min="2" max="2" width="14.7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115480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23100</v>
      </c>
      <c r="C3" s="246" t="s">
        <v>2740</v>
      </c>
      <c r="D3" s="1583">
        <f>'数据-汇总表'!E3</f>
        <v>49991.200000000004</v>
      </c>
      <c r="E3" s="3299" t="s">
        <v>4189</v>
      </c>
      <c r="F3" s="1127"/>
      <c r="G3" s="3299" t="s">
        <v>4291</v>
      </c>
      <c r="H3" s="1126"/>
      <c r="I3" s="3299"/>
      <c r="J3" s="1126"/>
      <c r="K3" s="1128"/>
      <c r="L3" s="1129"/>
      <c r="M3" s="1130"/>
      <c r="N3" s="1130"/>
      <c r="O3" s="1130"/>
      <c r="P3" s="767"/>
      <c r="Q3" s="767"/>
      <c r="R3" s="767"/>
      <c r="S3" s="767"/>
      <c r="T3" s="767"/>
      <c r="U3" s="767"/>
      <c r="V3" s="767"/>
      <c r="W3" s="767"/>
      <c r="X3" s="767"/>
      <c r="Y3" s="767"/>
      <c r="Z3" s="767"/>
      <c r="AA3" s="767"/>
      <c r="AB3" s="785"/>
      <c r="AC3" s="781"/>
    </row>
    <row r="4" spans="1:30" ht="15">
      <c r="A4" s="400" t="s">
        <v>2639</v>
      </c>
      <c r="B4" s="401"/>
      <c r="C4" s="3186" t="s">
        <v>2640</v>
      </c>
      <c r="D4" s="3187"/>
      <c r="E4" s="3188" t="s">
        <v>2641</v>
      </c>
      <c r="F4" s="3189"/>
      <c r="G4" s="3186" t="s">
        <v>2642</v>
      </c>
      <c r="H4" s="3187"/>
      <c r="I4" s="3186" t="s">
        <v>2643</v>
      </c>
      <c r="J4" s="3187"/>
      <c r="K4" s="609" t="s">
        <v>2644</v>
      </c>
      <c r="L4" s="1131"/>
      <c r="M4" s="1132"/>
      <c r="N4" s="1132"/>
      <c r="O4" s="1132"/>
      <c r="P4" s="3190" t="s">
        <v>2645</v>
      </c>
      <c r="Q4" s="3191"/>
      <c r="R4" s="3196" t="s">
        <v>2641</v>
      </c>
      <c r="S4" s="3197"/>
      <c r="T4" s="3196" t="s">
        <v>2642</v>
      </c>
      <c r="U4" s="3197"/>
      <c r="V4" s="3202" t="s">
        <v>2643</v>
      </c>
      <c r="W4" s="3202"/>
      <c r="X4" s="1813"/>
      <c r="Y4" s="3196" t="s">
        <v>2645</v>
      </c>
      <c r="Z4" s="3197"/>
      <c r="AA4" s="3183" t="s">
        <v>2641</v>
      </c>
      <c r="AB4" s="3184" t="s">
        <v>2642</v>
      </c>
      <c r="AC4" s="3183" t="s">
        <v>2643</v>
      </c>
    </row>
    <row r="5" spans="1:30" ht="36.75" customHeight="1">
      <c r="A5" s="403"/>
      <c r="B5" s="404"/>
      <c r="C5" s="3205" t="s">
        <v>2536</v>
      </c>
      <c r="D5" s="3206"/>
      <c r="E5" s="3212" t="str">
        <f>土地案例!A24</f>
        <v>大兴开发区北区1号地DX00-0301-0145地块</v>
      </c>
      <c r="F5" s="3213"/>
      <c r="G5" s="3205" t="str">
        <f>土地案例!A31</f>
        <v>房山区长阳镇FS00-LX10-0042等地块</v>
      </c>
      <c r="H5" s="3206"/>
      <c r="I5" s="3205" t="str">
        <f>土地案例!A32</f>
        <v>房山区拱辰街道FS00-LX11-0007地块</v>
      </c>
      <c r="J5" s="3206"/>
      <c r="K5" s="609"/>
      <c r="L5" s="1131"/>
      <c r="M5" s="1132"/>
      <c r="N5" s="1132"/>
      <c r="O5" s="1132"/>
      <c r="P5" s="3192"/>
      <c r="Q5" s="3193"/>
      <c r="R5" s="3198"/>
      <c r="S5" s="3199"/>
      <c r="T5" s="3198"/>
      <c r="U5" s="3199"/>
      <c r="V5" s="3202"/>
      <c r="W5" s="3202"/>
      <c r="X5" s="1813"/>
      <c r="Y5" s="3198"/>
      <c r="Z5" s="3199"/>
      <c r="AA5" s="3184"/>
      <c r="AB5" s="3184"/>
      <c r="AC5" s="3184"/>
    </row>
    <row r="6" spans="1:30" ht="27" customHeight="1" thickBot="1">
      <c r="A6" s="405"/>
      <c r="B6" s="406"/>
      <c r="C6" s="3203" t="s">
        <v>2540</v>
      </c>
      <c r="D6" s="3204"/>
      <c r="E6" s="3210" t="str">
        <f>土地案例!G24</f>
        <v>京土整储挂(兴)[2017]013号</v>
      </c>
      <c r="F6" s="3211"/>
      <c r="G6" s="3203" t="str">
        <f>土地案例!G31</f>
        <v>京土整储挂(房)[2016]023号</v>
      </c>
      <c r="H6" s="3204"/>
      <c r="I6" s="3203" t="str">
        <f>土地案例!G32</f>
        <v>京土整储挂(房)[2016]022号</v>
      </c>
      <c r="J6" s="3204"/>
      <c r="K6" s="609" t="s">
        <v>2541</v>
      </c>
      <c r="L6" s="1131"/>
      <c r="M6" s="1132"/>
      <c r="N6" s="1132"/>
      <c r="O6" s="1132"/>
      <c r="P6" s="3194"/>
      <c r="Q6" s="3195"/>
      <c r="R6" s="3198"/>
      <c r="S6" s="3199"/>
      <c r="T6" s="3200"/>
      <c r="U6" s="3201"/>
      <c r="V6" s="3202"/>
      <c r="W6" s="3202"/>
      <c r="X6" s="1813"/>
      <c r="Y6" s="3200"/>
      <c r="Z6" s="3201"/>
      <c r="AA6" s="3185"/>
      <c r="AB6" s="3185"/>
      <c r="AC6" s="3185"/>
    </row>
    <row r="7" spans="1:30" s="116" customFormat="1" ht="15.75" thickBot="1">
      <c r="A7" s="407" t="s">
        <v>2542</v>
      </c>
      <c r="B7" s="408"/>
      <c r="C7" s="409">
        <f>'数据-取费表'!B2</f>
        <v>43488</v>
      </c>
      <c r="D7" s="410">
        <v>100</v>
      </c>
      <c r="E7" s="411" t="str">
        <f>土地案例!L24</f>
        <v>2017-04-06</v>
      </c>
      <c r="F7" s="412">
        <f>SUMIF(70:70,YEAR(E7)&amp;"-"&amp;INT((MONTH(E7)+2)/3),71:71)</f>
        <v>93</v>
      </c>
      <c r="G7" s="2698" t="str">
        <f>土地案例!L31</f>
        <v>2016-11-28</v>
      </c>
      <c r="H7" s="410">
        <f>SUMIF(70:70,YEAR(G7)&amp;"-"&amp;INT((MONTH(G7)+2)/3),71:71)</f>
        <v>91</v>
      </c>
      <c r="I7" s="2698" t="str">
        <f>土地案例!L32</f>
        <v>2016-11-28</v>
      </c>
      <c r="J7" s="410">
        <f>SUMIF(70:70,YEAR(I7)&amp;"-"&amp;INT((MONTH(I7)+2)/3),71:71)</f>
        <v>91</v>
      </c>
      <c r="K7" s="610"/>
      <c r="L7" s="1133"/>
      <c r="M7" s="1134"/>
      <c r="N7" s="1134"/>
      <c r="O7" s="1134"/>
      <c r="P7" s="3207" t="s">
        <v>2543</v>
      </c>
      <c r="Q7" s="3209"/>
      <c r="R7" s="769" t="s">
        <v>17</v>
      </c>
      <c r="S7" s="770">
        <f t="shared" ref="S7:S15" si="0">F7</f>
        <v>93</v>
      </c>
      <c r="T7" s="769" t="s">
        <v>17</v>
      </c>
      <c r="U7" s="770">
        <f t="shared" ref="U7:U15" si="1">H7</f>
        <v>91</v>
      </c>
      <c r="V7" s="769" t="s">
        <v>17</v>
      </c>
      <c r="W7" s="770">
        <f t="shared" ref="W7:W15" si="2">J7</f>
        <v>91</v>
      </c>
      <c r="X7" s="771"/>
      <c r="Y7" s="3207" t="s">
        <v>2543</v>
      </c>
      <c r="Z7" s="3208"/>
      <c r="AA7" s="772">
        <f>D7/F7</f>
        <v>1.075268817204301</v>
      </c>
      <c r="AB7" s="772">
        <f>D7/H7</f>
        <v>1.098901098901099</v>
      </c>
      <c r="AC7" s="772">
        <f>D7/J7</f>
        <v>1.098901098901099</v>
      </c>
    </row>
    <row r="8" spans="1:30" s="116" customFormat="1" ht="15.75" thickBot="1">
      <c r="A8" s="407" t="s">
        <v>2544</v>
      </c>
      <c r="B8" s="408"/>
      <c r="C8" s="413" t="s">
        <v>2545</v>
      </c>
      <c r="D8" s="410">
        <v>100</v>
      </c>
      <c r="E8" s="413" t="s">
        <v>4170</v>
      </c>
      <c r="F8" s="412">
        <f>SUMIF(73:73,E8,74:74)-SUMIF(73:73,C8,74:74)+100</f>
        <v>100</v>
      </c>
      <c r="G8" s="413" t="s">
        <v>4170</v>
      </c>
      <c r="H8" s="410">
        <f>SUMIF(73:73,G8,74:74)-SUMIF(73:73,C8,74:74)+100</f>
        <v>100</v>
      </c>
      <c r="I8" s="413" t="s">
        <v>4170</v>
      </c>
      <c r="J8" s="410">
        <f>SUMIF(73:73,I8,74:74)-SUMIF(73:73,C8,74:74)+100</f>
        <v>100</v>
      </c>
      <c r="K8" s="610"/>
      <c r="L8" s="1133"/>
      <c r="M8" s="1134"/>
      <c r="N8" s="1134"/>
      <c r="O8" s="1134"/>
      <c r="P8" s="3207" t="s">
        <v>2546</v>
      </c>
      <c r="Q8" s="3208"/>
      <c r="R8" s="769" t="s">
        <v>17</v>
      </c>
      <c r="S8" s="770">
        <f t="shared" si="0"/>
        <v>100</v>
      </c>
      <c r="T8" s="769" t="s">
        <v>17</v>
      </c>
      <c r="U8" s="770">
        <f t="shared" si="1"/>
        <v>100</v>
      </c>
      <c r="V8" s="769" t="s">
        <v>17</v>
      </c>
      <c r="W8" s="770">
        <f t="shared" si="2"/>
        <v>100</v>
      </c>
      <c r="X8" s="771"/>
      <c r="Y8" s="3207" t="s">
        <v>2546</v>
      </c>
      <c r="Z8" s="3208"/>
      <c r="AA8" s="772">
        <f t="shared" ref="AA8:AA45" si="3">D8/F8</f>
        <v>1</v>
      </c>
      <c r="AB8" s="772">
        <f t="shared" ref="AB8:AB45" si="4">D8/H8</f>
        <v>1</v>
      </c>
      <c r="AC8" s="772">
        <f t="shared" ref="AC8:AC45" si="5">D8/J8</f>
        <v>1</v>
      </c>
    </row>
    <row r="9" spans="1:30" s="116" customFormat="1" ht="28.5">
      <c r="A9" s="414" t="s">
        <v>2547</v>
      </c>
      <c r="B9" s="70" t="s">
        <v>2548</v>
      </c>
      <c r="C9" s="2701" t="s">
        <v>4302</v>
      </c>
      <c r="D9" s="134">
        <v>100</v>
      </c>
      <c r="E9" s="2701" t="s">
        <v>4000</v>
      </c>
      <c r="F9" s="134">
        <f>SUMIF(75:75,E9,76:76)-SUMIF(75:75,C9,76:76)+100</f>
        <v>100</v>
      </c>
      <c r="G9" s="2701" t="s">
        <v>4095</v>
      </c>
      <c r="H9" s="134">
        <f>SUMIF(75:75,G9,76:76)-SUMIF(75:75,C9,76:76)+100</f>
        <v>100</v>
      </c>
      <c r="I9" s="2701" t="s">
        <v>3986</v>
      </c>
      <c r="J9" s="134">
        <f>SUMIF(75:75,I9,76:76)-SUMIF(75:75,C9,76:76)+100</f>
        <v>100</v>
      </c>
      <c r="K9" s="610"/>
      <c r="L9" s="1133"/>
      <c r="M9" s="1134"/>
      <c r="N9" s="1134"/>
      <c r="O9" s="1135"/>
      <c r="P9" s="3171" t="s">
        <v>2549</v>
      </c>
      <c r="Q9" s="1795"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30" s="426" customFormat="1" ht="27">
      <c r="A10" s="420"/>
      <c r="B10" s="421" t="s">
        <v>2551</v>
      </c>
      <c r="C10" s="431" t="str">
        <f>项目基本情况!F16</f>
        <v>商业35年、商务办公45年</v>
      </c>
      <c r="D10" s="135">
        <v>100</v>
      </c>
      <c r="E10" s="431" t="str">
        <f>土地案例!S24</f>
        <v>商业40年、办公50年</v>
      </c>
      <c r="F10" s="135">
        <f>ROUND(100/'数据-取费表'!G16,0)</f>
        <v>103</v>
      </c>
      <c r="G10" s="2674" t="str">
        <f>土地案例!S31</f>
        <v>商业40年、办公50年</v>
      </c>
      <c r="H10" s="135">
        <f>ROUND(100/'数据-取费表'!G16,0)</f>
        <v>103</v>
      </c>
      <c r="I10" s="2674" t="str">
        <f>土地案例!S32</f>
        <v>商业40年、办公50年</v>
      </c>
      <c r="J10" s="135">
        <f>ROUND(100/'数据-取费表'!G16,0)</f>
        <v>103</v>
      </c>
      <c r="K10" s="671"/>
      <c r="L10" s="1136"/>
      <c r="M10" s="1137"/>
      <c r="N10" s="1137"/>
      <c r="O10" s="1138"/>
      <c r="P10" s="3171"/>
      <c r="Q10" s="1795" t="str">
        <f t="shared" si="6"/>
        <v>土地使用年限（年）</v>
      </c>
      <c r="R10" s="769" t="s">
        <v>17</v>
      </c>
      <c r="S10" s="770">
        <f t="shared" si="0"/>
        <v>103</v>
      </c>
      <c r="T10" s="769" t="s">
        <v>17</v>
      </c>
      <c r="U10" s="770">
        <f t="shared" si="1"/>
        <v>103</v>
      </c>
      <c r="V10" s="769" t="s">
        <v>17</v>
      </c>
      <c r="W10" s="770">
        <f t="shared" si="2"/>
        <v>103</v>
      </c>
      <c r="X10" s="771"/>
      <c r="Y10" s="2997"/>
      <c r="Z10" s="54" t="str">
        <f t="shared" si="7"/>
        <v>土地使用年限（年）</v>
      </c>
      <c r="AA10" s="772">
        <f t="shared" si="3"/>
        <v>0.970873786407767</v>
      </c>
      <c r="AB10" s="772">
        <f t="shared" si="4"/>
        <v>0.970873786407767</v>
      </c>
      <c r="AC10" s="772">
        <f t="shared" si="5"/>
        <v>0.970873786407767</v>
      </c>
    </row>
    <row r="11" spans="1:30" ht="15">
      <c r="A11" s="427"/>
      <c r="B11" s="421" t="s">
        <v>2552</v>
      </c>
      <c r="C11" s="428">
        <v>4</v>
      </c>
      <c r="D11" s="135">
        <v>100</v>
      </c>
      <c r="E11" s="428">
        <f>土地案例!K24</f>
        <v>3.2</v>
      </c>
      <c r="F11" s="135">
        <f>LOOKUP(E11,80:80,81:81)-LOOKUP(C11,80:80,81:81)+100</f>
        <v>110</v>
      </c>
      <c r="G11" s="429">
        <f>土地案例!K31</f>
        <v>2.09</v>
      </c>
      <c r="H11" s="135">
        <f>LOOKUP(G11,80:80,81:81)-LOOKUP(C11,80:80,81:81)+100</f>
        <v>120</v>
      </c>
      <c r="I11" s="428">
        <f>土地案例!K32</f>
        <v>2.5</v>
      </c>
      <c r="J11" s="135">
        <f>LOOKUP(I11,80:80,81:81)-LOOKUP(C11,80:80,81:81)+100</f>
        <v>115</v>
      </c>
      <c r="K11" s="672">
        <v>5</v>
      </c>
      <c r="L11" s="1139"/>
      <c r="M11" s="1132"/>
      <c r="N11" s="1132"/>
      <c r="O11" s="1140"/>
      <c r="P11" s="3171"/>
      <c r="Q11" s="1795" t="str">
        <f t="shared" si="6"/>
        <v>容积率</v>
      </c>
      <c r="R11" s="769" t="s">
        <v>17</v>
      </c>
      <c r="S11" s="770">
        <f t="shared" si="0"/>
        <v>110</v>
      </c>
      <c r="T11" s="769" t="s">
        <v>17</v>
      </c>
      <c r="U11" s="770">
        <f t="shared" si="1"/>
        <v>120</v>
      </c>
      <c r="V11" s="769" t="s">
        <v>17</v>
      </c>
      <c r="W11" s="770">
        <f t="shared" si="2"/>
        <v>115</v>
      </c>
      <c r="X11" s="771"/>
      <c r="Y11" s="2997"/>
      <c r="Z11" s="54" t="str">
        <f t="shared" si="7"/>
        <v>容积率</v>
      </c>
      <c r="AA11" s="772">
        <f t="shared" si="3"/>
        <v>0.90909090909090906</v>
      </c>
      <c r="AB11" s="772">
        <f t="shared" si="4"/>
        <v>0.83333333333333337</v>
      </c>
      <c r="AC11" s="772">
        <f t="shared" si="5"/>
        <v>0.86956521739130432</v>
      </c>
    </row>
    <row r="12" spans="1:30" s="116" customFormat="1" ht="15">
      <c r="A12" s="430"/>
      <c r="B12" s="3306" t="s">
        <v>4192</v>
      </c>
      <c r="C12" s="3307" t="s">
        <v>4191</v>
      </c>
      <c r="D12" s="432">
        <v>100</v>
      </c>
      <c r="E12" s="3308" t="s">
        <v>4193</v>
      </c>
      <c r="F12" s="135">
        <f>SUMIF(82:82,E12,83:83)-SUMIF(82:82,C12,83:83)+100</f>
        <v>90</v>
      </c>
      <c r="G12" s="3308" t="s">
        <v>4193</v>
      </c>
      <c r="H12" s="135">
        <f>SUMIF(82:82,G12,83:83)-SUMIF(82:82,C12,83:83)+100</f>
        <v>90</v>
      </c>
      <c r="I12" s="3308" t="s">
        <v>4193</v>
      </c>
      <c r="J12" s="135">
        <f>SUMIF(82:82,I12,83:83)-SUMIF(82:82,C12,83:83)+100</f>
        <v>90</v>
      </c>
      <c r="K12" s="671"/>
      <c r="L12" s="1133"/>
      <c r="M12" s="1134"/>
      <c r="N12" s="1134"/>
      <c r="O12" s="1135"/>
      <c r="P12" s="3171"/>
      <c r="Q12" s="1795" t="str">
        <f t="shared" si="6"/>
        <v>是否需自持</v>
      </c>
      <c r="R12" s="769" t="s">
        <v>17</v>
      </c>
      <c r="S12" s="770">
        <f t="shared" si="0"/>
        <v>90</v>
      </c>
      <c r="T12" s="769" t="s">
        <v>17</v>
      </c>
      <c r="U12" s="770">
        <f t="shared" si="1"/>
        <v>90</v>
      </c>
      <c r="V12" s="769" t="s">
        <v>17</v>
      </c>
      <c r="W12" s="770">
        <f t="shared" si="2"/>
        <v>90</v>
      </c>
      <c r="X12" s="771"/>
      <c r="Y12" s="2997"/>
      <c r="Z12" s="54" t="str">
        <f t="shared" si="7"/>
        <v>是否需自持</v>
      </c>
      <c r="AA12" s="772">
        <f>D12/F12</f>
        <v>1.1111111111111112</v>
      </c>
      <c r="AB12" s="772">
        <f>D12/H12</f>
        <v>1.1111111111111112</v>
      </c>
      <c r="AC12" s="772">
        <f>D12/J12</f>
        <v>1.1111111111111112</v>
      </c>
    </row>
    <row r="13" spans="1:30" ht="15">
      <c r="A13" s="427"/>
      <c r="B13" s="2602"/>
      <c r="C13" s="433"/>
      <c r="D13" s="434">
        <v>100</v>
      </c>
      <c r="E13" s="3313" t="s">
        <v>4299</v>
      </c>
      <c r="F13" s="135">
        <f>SUMIF(84:84,E13,85:85)-SUMIF(84:84,C13,85:85)+100</f>
        <v>100</v>
      </c>
      <c r="G13" s="3313" t="s">
        <v>4299</v>
      </c>
      <c r="H13" s="434">
        <f>SUMIF(84:84,G13,85:85)-SUMIF(84:84,C13,85:85)+100</f>
        <v>100</v>
      </c>
      <c r="I13" s="3313" t="s">
        <v>4299</v>
      </c>
      <c r="J13" s="434">
        <f>SUMIF(84:84,I13,85:85)-SUMIF(84:84,C13,85:85)+100</f>
        <v>100</v>
      </c>
      <c r="K13" s="671"/>
      <c r="L13" s="1141"/>
      <c r="M13" s="1132"/>
      <c r="N13" s="1132"/>
      <c r="O13" s="1140"/>
      <c r="P13" s="3171"/>
      <c r="Q13" s="1795">
        <f t="shared" si="6"/>
        <v>0</v>
      </c>
      <c r="R13" s="769" t="s">
        <v>17</v>
      </c>
      <c r="S13" s="770">
        <f t="shared" si="0"/>
        <v>100</v>
      </c>
      <c r="T13" s="769" t="s">
        <v>17</v>
      </c>
      <c r="U13" s="770">
        <f t="shared" si="1"/>
        <v>100</v>
      </c>
      <c r="V13" s="769" t="s">
        <v>17</v>
      </c>
      <c r="W13" s="770">
        <f t="shared" si="2"/>
        <v>100</v>
      </c>
      <c r="X13" s="771"/>
      <c r="Y13" s="2997"/>
      <c r="Z13" s="54">
        <f t="shared" si="7"/>
        <v>0</v>
      </c>
      <c r="AA13" s="772">
        <f>D13/F13</f>
        <v>1</v>
      </c>
      <c r="AB13" s="772">
        <f>D13/H13</f>
        <v>1</v>
      </c>
      <c r="AC13" s="772">
        <f>D13/J13</f>
        <v>1</v>
      </c>
    </row>
    <row r="14" spans="1:30" ht="15.75" thickBot="1">
      <c r="A14" s="435"/>
      <c r="B14" s="2604"/>
      <c r="C14" s="436"/>
      <c r="D14" s="437">
        <v>100</v>
      </c>
      <c r="E14" s="3313"/>
      <c r="F14" s="437">
        <f>SUMIF(86:86,E14,87:87)-SUMIF(86:86,C14,87:87)+100</f>
        <v>100</v>
      </c>
      <c r="G14" s="3314" t="s">
        <v>4294</v>
      </c>
      <c r="H14" s="437">
        <f>SUMIF(86:86,G14,87:87)-SUMIF(86:86,C14,87:87)+100</f>
        <v>100</v>
      </c>
      <c r="I14" s="3315" t="s">
        <v>4300</v>
      </c>
      <c r="J14" s="437">
        <f>SUMIF(86:86,I14,87:87)-SUMIF(86:86,C14,87:87)+100</f>
        <v>100</v>
      </c>
      <c r="K14" s="671"/>
      <c r="L14" s="1141"/>
      <c r="M14" s="1132"/>
      <c r="N14" s="1132"/>
      <c r="O14" s="1140"/>
      <c r="P14" s="3171"/>
      <c r="Q14" s="1795">
        <f t="shared" si="6"/>
        <v>0</v>
      </c>
      <c r="R14" s="769" t="s">
        <v>17</v>
      </c>
      <c r="S14" s="770">
        <f t="shared" si="0"/>
        <v>100</v>
      </c>
      <c r="T14" s="769" t="s">
        <v>17</v>
      </c>
      <c r="U14" s="770">
        <f t="shared" si="1"/>
        <v>100</v>
      </c>
      <c r="V14" s="769" t="s">
        <v>17</v>
      </c>
      <c r="W14" s="770">
        <f t="shared" si="2"/>
        <v>100</v>
      </c>
      <c r="X14" s="771"/>
      <c r="Y14" s="2997"/>
      <c r="Z14" s="54">
        <f t="shared" si="7"/>
        <v>0</v>
      </c>
      <c r="AA14" s="772">
        <f>D14/F14</f>
        <v>1</v>
      </c>
      <c r="AB14" s="772">
        <f>D14/H14</f>
        <v>1</v>
      </c>
      <c r="AC14" s="772">
        <f>D14/J14</f>
        <v>1</v>
      </c>
    </row>
    <row r="15" spans="1:30" ht="57">
      <c r="A15" s="439" t="s">
        <v>2553</v>
      </c>
      <c r="B15" s="68" t="s">
        <v>2078</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73" t="s">
        <v>2554</v>
      </c>
      <c r="Q15" s="1810" t="str">
        <f t="shared" si="6"/>
        <v>居住社区成熟度</v>
      </c>
      <c r="R15" s="773" t="s">
        <v>17</v>
      </c>
      <c r="S15" s="774">
        <f t="shared" si="0"/>
        <v>100</v>
      </c>
      <c r="T15" s="773" t="s">
        <v>17</v>
      </c>
      <c r="U15" s="774">
        <f t="shared" si="1"/>
        <v>100</v>
      </c>
      <c r="V15" s="773" t="s">
        <v>17</v>
      </c>
      <c r="W15" s="774">
        <f t="shared" si="2"/>
        <v>100</v>
      </c>
      <c r="X15" s="1813"/>
      <c r="Y15" s="3173" t="s">
        <v>2554</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1"/>
      <c r="M16" s="1132"/>
      <c r="N16" s="1132"/>
      <c r="O16" s="1140"/>
      <c r="P16" s="3174"/>
      <c r="Q16" s="1810"/>
      <c r="R16" s="773"/>
      <c r="S16" s="774"/>
      <c r="T16" s="773"/>
      <c r="U16" s="774"/>
      <c r="V16" s="773"/>
      <c r="W16" s="774"/>
      <c r="X16" s="1813"/>
      <c r="Y16" s="3174"/>
      <c r="Z16" s="1814"/>
      <c r="AA16" s="1811">
        <v>1</v>
      </c>
      <c r="AB16" s="1811">
        <v>1</v>
      </c>
      <c r="AC16" s="1811">
        <v>1</v>
      </c>
    </row>
    <row r="17" spans="1:29" ht="42.75">
      <c r="A17" s="427"/>
      <c r="B17" s="450" t="s">
        <v>2647</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3</v>
      </c>
      <c r="L17" s="1141"/>
      <c r="M17" s="1132"/>
      <c r="N17" s="1132"/>
      <c r="O17" s="1140"/>
      <c r="P17" s="3174"/>
      <c r="Q17" s="1810" t="str">
        <f>B17</f>
        <v>商业繁华度</v>
      </c>
      <c r="R17" s="773" t="s">
        <v>17</v>
      </c>
      <c r="S17" s="774">
        <f>F17</f>
        <v>100</v>
      </c>
      <c r="T17" s="773" t="s">
        <v>17</v>
      </c>
      <c r="U17" s="774">
        <f>H17</f>
        <v>100</v>
      </c>
      <c r="V17" s="773" t="s">
        <v>17</v>
      </c>
      <c r="W17" s="774">
        <f>J17</f>
        <v>100</v>
      </c>
      <c r="X17" s="1813"/>
      <c r="Y17" s="3174"/>
      <c r="Z17" s="1814" t="str">
        <f>Q17</f>
        <v>商业繁华度</v>
      </c>
      <c r="AA17" s="1811">
        <f t="shared" si="3"/>
        <v>1</v>
      </c>
      <c r="AB17" s="1811">
        <f t="shared" si="4"/>
        <v>1</v>
      </c>
      <c r="AC17" s="1811">
        <f t="shared" si="5"/>
        <v>1</v>
      </c>
    </row>
    <row r="18" spans="1:29" ht="15">
      <c r="A18" s="427"/>
      <c r="B18" s="455"/>
      <c r="C18" s="2610" t="s">
        <v>4190</v>
      </c>
      <c r="D18" s="449"/>
      <c r="E18" s="2612" t="s">
        <v>4190</v>
      </c>
      <c r="F18" s="449"/>
      <c r="G18" s="2612" t="s">
        <v>4190</v>
      </c>
      <c r="H18" s="447"/>
      <c r="I18" s="2611" t="s">
        <v>4190</v>
      </c>
      <c r="J18" s="447"/>
      <c r="K18" s="671"/>
      <c r="L18" s="1141"/>
      <c r="M18" s="1132"/>
      <c r="N18" s="1132"/>
      <c r="O18" s="1140"/>
      <c r="P18" s="3174"/>
      <c r="Q18" s="1810"/>
      <c r="R18" s="773"/>
      <c r="S18" s="774"/>
      <c r="T18" s="773"/>
      <c r="U18" s="774"/>
      <c r="V18" s="773"/>
      <c r="W18" s="774"/>
      <c r="X18" s="1813"/>
      <c r="Y18" s="3174"/>
      <c r="Z18" s="1814"/>
      <c r="AA18" s="1811">
        <v>1</v>
      </c>
      <c r="AB18" s="1811">
        <v>1</v>
      </c>
      <c r="AC18" s="1811">
        <v>1</v>
      </c>
    </row>
    <row r="19" spans="1:29" ht="42.75">
      <c r="A19" s="427"/>
      <c r="B19" s="450" t="s">
        <v>2681</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1"/>
      <c r="M19" s="1132"/>
      <c r="N19" s="1132"/>
      <c r="O19" s="1140"/>
      <c r="P19" s="3174"/>
      <c r="Q19" s="1810" t="str">
        <f>B19</f>
        <v>办公集聚程度</v>
      </c>
      <c r="R19" s="773" t="s">
        <v>17</v>
      </c>
      <c r="S19" s="774">
        <f>F19</f>
        <v>100</v>
      </c>
      <c r="T19" s="773" t="s">
        <v>17</v>
      </c>
      <c r="U19" s="774">
        <f>H19</f>
        <v>100</v>
      </c>
      <c r="V19" s="773" t="s">
        <v>17</v>
      </c>
      <c r="W19" s="774">
        <f>J19</f>
        <v>100</v>
      </c>
      <c r="X19" s="1813"/>
      <c r="Y19" s="3174"/>
      <c r="Z19" s="1814" t="str">
        <f>Q19</f>
        <v>办公集聚程度</v>
      </c>
      <c r="AA19" s="1811">
        <f t="shared" si="3"/>
        <v>1</v>
      </c>
      <c r="AB19" s="1811">
        <f t="shared" si="4"/>
        <v>1</v>
      </c>
      <c r="AC19" s="1811">
        <f t="shared" si="5"/>
        <v>1</v>
      </c>
    </row>
    <row r="20" spans="1:29" ht="15">
      <c r="A20" s="427"/>
      <c r="B20" s="455"/>
      <c r="C20" s="446" t="s">
        <v>4190</v>
      </c>
      <c r="D20" s="447"/>
      <c r="E20" s="2607" t="s">
        <v>4190</v>
      </c>
      <c r="F20" s="447"/>
      <c r="G20" s="2607" t="s">
        <v>4190</v>
      </c>
      <c r="H20" s="447"/>
      <c r="I20" s="2606" t="s">
        <v>4190</v>
      </c>
      <c r="J20" s="447"/>
      <c r="K20" s="671"/>
      <c r="L20" s="1141"/>
      <c r="M20" s="1132"/>
      <c r="N20" s="1132"/>
      <c r="O20" s="1140"/>
      <c r="P20" s="3174"/>
      <c r="Q20" s="1810"/>
      <c r="R20" s="773"/>
      <c r="S20" s="774"/>
      <c r="T20" s="773"/>
      <c r="U20" s="774"/>
      <c r="V20" s="773"/>
      <c r="W20" s="774"/>
      <c r="X20" s="1813"/>
      <c r="Y20" s="3174"/>
      <c r="Z20" s="1814"/>
      <c r="AA20" s="1811">
        <v>1</v>
      </c>
      <c r="AB20" s="1811">
        <v>1</v>
      </c>
      <c r="AC20" s="1811">
        <v>1</v>
      </c>
    </row>
    <row r="21" spans="1:29" ht="57">
      <c r="A21" s="427"/>
      <c r="B21" s="450" t="s">
        <v>2703</v>
      </c>
      <c r="C21" s="2609" t="str">
        <f>估价对象房地状况!C18</f>
        <v>估价对象周边道路状况、公共交通通达情况、停车便捷程度，综合评价交通便捷度较好</v>
      </c>
      <c r="D21" s="449">
        <v>100</v>
      </c>
      <c r="E21" s="451"/>
      <c r="F21" s="454">
        <f>SUMIF(94:94,E22,95:95)-SUMIF(94:94,C22,95:95)+100</f>
        <v>95</v>
      </c>
      <c r="G21" s="3304" t="s">
        <v>4292</v>
      </c>
      <c r="H21" s="449">
        <f>SUMIF(94:94,G22,95:95)-SUMIF(94:94,C22,95:95)+100</f>
        <v>100</v>
      </c>
      <c r="I21" s="453"/>
      <c r="J21" s="449">
        <f>SUMIF(94:94,I22,95:95)-SUMIF(94:94,C22,95:95)+100</f>
        <v>95</v>
      </c>
      <c r="K21" s="672">
        <v>5</v>
      </c>
      <c r="L21" s="1141"/>
      <c r="M21" s="1132"/>
      <c r="N21" s="1132"/>
      <c r="O21" s="1140"/>
      <c r="P21" s="3174"/>
      <c r="Q21" s="1810" t="str">
        <f>B21</f>
        <v>交通便捷度</v>
      </c>
      <c r="R21" s="773" t="s">
        <v>17</v>
      </c>
      <c r="S21" s="774">
        <f>F21</f>
        <v>95</v>
      </c>
      <c r="T21" s="773" t="s">
        <v>17</v>
      </c>
      <c r="U21" s="774">
        <f>H21</f>
        <v>100</v>
      </c>
      <c r="V21" s="773" t="s">
        <v>17</v>
      </c>
      <c r="W21" s="774">
        <f>J21</f>
        <v>95</v>
      </c>
      <c r="X21" s="1813"/>
      <c r="Y21" s="3174"/>
      <c r="Z21" s="1814" t="str">
        <f>Q21</f>
        <v>交通便捷度</v>
      </c>
      <c r="AA21" s="1811">
        <f t="shared" si="3"/>
        <v>1.0526315789473684</v>
      </c>
      <c r="AB21" s="1811">
        <f t="shared" si="4"/>
        <v>1</v>
      </c>
      <c r="AC21" s="1811">
        <f t="shared" si="5"/>
        <v>1.0526315789473684</v>
      </c>
    </row>
    <row r="22" spans="1:29" ht="15">
      <c r="A22" s="427"/>
      <c r="B22" s="1385"/>
      <c r="C22" s="446" t="s">
        <v>4180</v>
      </c>
      <c r="D22" s="449"/>
      <c r="E22" s="2607" t="s">
        <v>4190</v>
      </c>
      <c r="F22" s="447"/>
      <c r="G22" s="2607" t="s">
        <v>4180</v>
      </c>
      <c r="H22" s="447"/>
      <c r="I22" s="2606" t="s">
        <v>4190</v>
      </c>
      <c r="J22" s="447"/>
      <c r="K22" s="671"/>
      <c r="L22" s="1141"/>
      <c r="M22" s="1132"/>
      <c r="N22" s="1132"/>
      <c r="O22" s="1140"/>
      <c r="P22" s="3174"/>
      <c r="Q22" s="1810"/>
      <c r="R22" s="773"/>
      <c r="S22" s="774"/>
      <c r="T22" s="773"/>
      <c r="U22" s="774"/>
      <c r="V22" s="773"/>
      <c r="W22" s="774"/>
      <c r="X22" s="1813"/>
      <c r="Y22" s="3174"/>
      <c r="Z22" s="1814"/>
      <c r="AA22" s="1811">
        <v>1</v>
      </c>
      <c r="AB22" s="1811">
        <v>1</v>
      </c>
      <c r="AC22" s="1811">
        <v>1</v>
      </c>
    </row>
    <row r="23" spans="1:29" ht="30" customHeight="1">
      <c r="A23" s="403"/>
      <c r="B23" s="450" t="s">
        <v>2741</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41"/>
      <c r="M23" s="1132"/>
      <c r="N23" s="1132"/>
      <c r="O23" s="1140"/>
      <c r="P23" s="3174"/>
      <c r="Q23" s="1810" t="str">
        <f t="shared" ref="Q23:Q37" si="8">B23</f>
        <v>区域土地利用方向</v>
      </c>
      <c r="R23" s="773" t="s">
        <v>17</v>
      </c>
      <c r="S23" s="774">
        <f>F23</f>
        <v>100</v>
      </c>
      <c r="T23" s="773" t="s">
        <v>17</v>
      </c>
      <c r="U23" s="774">
        <f>H23</f>
        <v>100</v>
      </c>
      <c r="V23" s="773" t="s">
        <v>17</v>
      </c>
      <c r="W23" s="774">
        <f>J23</f>
        <v>100</v>
      </c>
      <c r="X23" s="1813"/>
      <c r="Y23" s="3174"/>
      <c r="Z23" s="1814" t="str">
        <f>Q23</f>
        <v>区域土地利用方向</v>
      </c>
      <c r="AA23" s="1811">
        <f t="shared" si="3"/>
        <v>1</v>
      </c>
      <c r="AB23" s="1811">
        <f t="shared" si="4"/>
        <v>1</v>
      </c>
      <c r="AC23" s="1811">
        <f t="shared" si="5"/>
        <v>1</v>
      </c>
    </row>
    <row r="24" spans="1:29" ht="15">
      <c r="A24" s="403"/>
      <c r="B24" s="455"/>
      <c r="C24" s="615" t="s">
        <v>4180</v>
      </c>
      <c r="D24" s="447"/>
      <c r="E24" s="615" t="s">
        <v>4180</v>
      </c>
      <c r="F24" s="447"/>
      <c r="G24" s="615" t="s">
        <v>4180</v>
      </c>
      <c r="H24" s="447"/>
      <c r="I24" s="615" t="s">
        <v>4180</v>
      </c>
      <c r="J24" s="447"/>
      <c r="K24" s="810"/>
      <c r="L24" s="1141"/>
      <c r="M24" s="1132"/>
      <c r="N24" s="1132"/>
      <c r="O24" s="1140"/>
      <c r="P24" s="3174"/>
      <c r="Q24" s="1810"/>
      <c r="R24" s="773"/>
      <c r="S24" s="774"/>
      <c r="T24" s="773"/>
      <c r="U24" s="774"/>
      <c r="V24" s="773"/>
      <c r="W24" s="774"/>
      <c r="X24" s="1813"/>
      <c r="Y24" s="3174"/>
      <c r="Z24" s="1814"/>
      <c r="AA24" s="1811"/>
      <c r="AB24" s="1811"/>
      <c r="AC24" s="1811"/>
    </row>
    <row r="25" spans="1:29" ht="28.5">
      <c r="A25" s="403"/>
      <c r="B25" s="1385" t="s">
        <v>2742</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1"/>
      <c r="M25" s="1132"/>
      <c r="N25" s="1132"/>
      <c r="O25" s="1140"/>
      <c r="P25" s="3174"/>
      <c r="Q25" s="1810" t="str">
        <f t="shared" si="8"/>
        <v>自然及人文环境状况</v>
      </c>
      <c r="R25" s="773" t="s">
        <v>17</v>
      </c>
      <c r="S25" s="774">
        <f>F25</f>
        <v>100</v>
      </c>
      <c r="T25" s="773" t="s">
        <v>17</v>
      </c>
      <c r="U25" s="774">
        <f>H25</f>
        <v>100</v>
      </c>
      <c r="V25" s="773" t="s">
        <v>17</v>
      </c>
      <c r="W25" s="774">
        <f>J25</f>
        <v>100</v>
      </c>
      <c r="X25" s="1813"/>
      <c r="Y25" s="3174"/>
      <c r="Z25" s="1814" t="str">
        <f>Q25</f>
        <v>自然及人文环境状况</v>
      </c>
      <c r="AA25" s="1811">
        <f t="shared" si="3"/>
        <v>1</v>
      </c>
      <c r="AB25" s="1811">
        <f t="shared" si="4"/>
        <v>1</v>
      </c>
      <c r="AC25" s="1811">
        <f t="shared" si="5"/>
        <v>1</v>
      </c>
    </row>
    <row r="26" spans="1:29" ht="15">
      <c r="A26" s="403"/>
      <c r="B26" s="455"/>
      <c r="C26" s="446" t="s">
        <v>4180</v>
      </c>
      <c r="D26" s="447"/>
      <c r="E26" s="446" t="s">
        <v>4180</v>
      </c>
      <c r="F26" s="447"/>
      <c r="G26" s="446" t="s">
        <v>4180</v>
      </c>
      <c r="H26" s="447"/>
      <c r="I26" s="446" t="s">
        <v>4180</v>
      </c>
      <c r="J26" s="447"/>
      <c r="K26" s="671"/>
      <c r="L26" s="1141"/>
      <c r="M26" s="1132"/>
      <c r="N26" s="1132"/>
      <c r="O26" s="1140"/>
      <c r="P26" s="3174"/>
      <c r="Q26" s="1810"/>
      <c r="R26" s="773"/>
      <c r="S26" s="774"/>
      <c r="T26" s="773"/>
      <c r="U26" s="774"/>
      <c r="V26" s="773"/>
      <c r="W26" s="774"/>
      <c r="X26" s="1813"/>
      <c r="Y26" s="3174"/>
      <c r="Z26" s="1814"/>
      <c r="AA26" s="1811">
        <v>1</v>
      </c>
      <c r="AB26" s="1811">
        <v>1</v>
      </c>
      <c r="AC26" s="1811">
        <v>1</v>
      </c>
    </row>
    <row r="27" spans="1:29" s="116" customFormat="1" ht="28.5">
      <c r="A27" s="648"/>
      <c r="B27" s="1385" t="s">
        <v>2648</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3"/>
      <c r="M27" s="1134"/>
      <c r="N27" s="1134"/>
      <c r="O27" s="1135"/>
      <c r="P27" s="3174"/>
      <c r="Q27" s="1795" t="str">
        <f t="shared" si="8"/>
        <v>公共配套设施</v>
      </c>
      <c r="R27" s="769" t="s">
        <v>17</v>
      </c>
      <c r="S27" s="770">
        <f>F27</f>
        <v>100</v>
      </c>
      <c r="T27" s="769" t="s">
        <v>17</v>
      </c>
      <c r="U27" s="770">
        <f>H27</f>
        <v>100</v>
      </c>
      <c r="V27" s="769" t="s">
        <v>17</v>
      </c>
      <c r="W27" s="770">
        <f>J27</f>
        <v>100</v>
      </c>
      <c r="X27" s="771"/>
      <c r="Y27" s="3174"/>
      <c r="Z27" s="54" t="str">
        <f>Q27</f>
        <v>公共配套设施</v>
      </c>
      <c r="AA27" s="1811">
        <f>D27/F27</f>
        <v>1</v>
      </c>
      <c r="AB27" s="1811">
        <f>D27/H27</f>
        <v>1</v>
      </c>
      <c r="AC27" s="1811">
        <f>D27/J27</f>
        <v>1</v>
      </c>
    </row>
    <row r="28" spans="1:29" s="116" customFormat="1" ht="15">
      <c r="A28" s="648"/>
      <c r="B28" s="455"/>
      <c r="C28" s="2702" t="s">
        <v>4180</v>
      </c>
      <c r="D28" s="447"/>
      <c r="E28" s="2702" t="s">
        <v>4180</v>
      </c>
      <c r="F28" s="447"/>
      <c r="G28" s="2702" t="s">
        <v>4180</v>
      </c>
      <c r="H28" s="447"/>
      <c r="I28" s="2702" t="s">
        <v>4180</v>
      </c>
      <c r="J28" s="447"/>
      <c r="K28" s="671"/>
      <c r="L28" s="1133"/>
      <c r="M28" s="1134"/>
      <c r="N28" s="1134"/>
      <c r="O28" s="1135"/>
      <c r="P28" s="3174"/>
      <c r="Q28" s="1795"/>
      <c r="R28" s="769"/>
      <c r="S28" s="770"/>
      <c r="T28" s="769"/>
      <c r="U28" s="770"/>
      <c r="V28" s="769"/>
      <c r="W28" s="770"/>
      <c r="X28" s="771"/>
      <c r="Y28" s="3174"/>
      <c r="Z28" s="54"/>
      <c r="AA28" s="1811">
        <v>1</v>
      </c>
      <c r="AB28" s="1811">
        <v>1</v>
      </c>
      <c r="AC28" s="1811">
        <v>1</v>
      </c>
    </row>
    <row r="29" spans="1:29" s="116" customFormat="1" ht="28.5">
      <c r="A29" s="648"/>
      <c r="B29" s="1385" t="s">
        <v>2649</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3"/>
      <c r="M29" s="1134"/>
      <c r="N29" s="1134"/>
      <c r="O29" s="1135"/>
      <c r="P29" s="3174"/>
      <c r="Q29" s="1795" t="str">
        <f t="shared" ref="Q29" si="9">B29</f>
        <v>基础设施水平</v>
      </c>
      <c r="R29" s="769" t="s">
        <v>17</v>
      </c>
      <c r="S29" s="770">
        <f>F29</f>
        <v>100</v>
      </c>
      <c r="T29" s="769" t="s">
        <v>17</v>
      </c>
      <c r="U29" s="770">
        <f>H29</f>
        <v>100</v>
      </c>
      <c r="V29" s="769" t="s">
        <v>17</v>
      </c>
      <c r="W29" s="770">
        <f>J29</f>
        <v>100</v>
      </c>
      <c r="X29" s="771"/>
      <c r="Y29" s="3174"/>
      <c r="Z29" s="54" t="str">
        <f>Q29</f>
        <v>基础设施水平</v>
      </c>
      <c r="AA29" s="1811">
        <f>D29/F29</f>
        <v>1</v>
      </c>
      <c r="AB29" s="1811">
        <f>D29/H29</f>
        <v>1</v>
      </c>
      <c r="AC29" s="1811">
        <f>D29/J29</f>
        <v>1</v>
      </c>
    </row>
    <row r="30" spans="1:29" s="116" customFormat="1" ht="15">
      <c r="A30" s="648"/>
      <c r="B30" s="455"/>
      <c r="C30" s="2702" t="s">
        <v>4188</v>
      </c>
      <c r="D30" s="447"/>
      <c r="E30" s="2702" t="s">
        <v>4188</v>
      </c>
      <c r="F30" s="447"/>
      <c r="G30" s="2702" t="s">
        <v>4188</v>
      </c>
      <c r="H30" s="447"/>
      <c r="I30" s="2702" t="s">
        <v>4188</v>
      </c>
      <c r="J30" s="447"/>
      <c r="K30" s="671"/>
      <c r="L30" s="1133"/>
      <c r="M30" s="1134"/>
      <c r="N30" s="1134"/>
      <c r="O30" s="1135"/>
      <c r="P30" s="3174"/>
      <c r="Q30" s="1795"/>
      <c r="R30" s="769"/>
      <c r="S30" s="770"/>
      <c r="T30" s="769"/>
      <c r="U30" s="770"/>
      <c r="V30" s="769"/>
      <c r="W30" s="770"/>
      <c r="X30" s="771"/>
      <c r="Y30" s="3174"/>
      <c r="Z30" s="54"/>
      <c r="AA30" s="1811">
        <v>1</v>
      </c>
      <c r="AB30" s="1811">
        <v>1</v>
      </c>
      <c r="AC30" s="1811">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74"/>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174"/>
      <c r="Z31" s="1814" t="str">
        <f t="shared" ref="Z31:Z45" si="13">Q31</f>
        <v>临街状况</v>
      </c>
      <c r="AA31" s="1811">
        <f t="shared" si="3"/>
        <v>1</v>
      </c>
      <c r="AB31" s="1811">
        <f t="shared" si="4"/>
        <v>1</v>
      </c>
      <c r="AC31" s="1811">
        <f t="shared" si="5"/>
        <v>1</v>
      </c>
    </row>
    <row r="32" spans="1:29" ht="27">
      <c r="A32" s="427"/>
      <c r="B32" s="1385" t="s">
        <v>2685</v>
      </c>
      <c r="C32" s="453"/>
      <c r="D32" s="449">
        <v>100</v>
      </c>
      <c r="E32" s="451"/>
      <c r="F32" s="449">
        <f>SUMIF(106:106,E33,107:107)-SUMIF(106:106,C33,107:107)+100</f>
        <v>100</v>
      </c>
      <c r="G32" s="3304" t="s">
        <v>4293</v>
      </c>
      <c r="H32" s="449">
        <f>SUMIF(106:106,G33,107:107)-SUMIF(106:106,C33,107:107)+100</f>
        <v>100</v>
      </c>
      <c r="I32" s="3305" t="s">
        <v>4295</v>
      </c>
      <c r="J32" s="449">
        <f>SUMIF(106:106,I33,107:107)-SUMIF(106:106,C33,107:107)+100</f>
        <v>100</v>
      </c>
      <c r="K32" s="672">
        <v>2</v>
      </c>
      <c r="L32" s="1141"/>
      <c r="M32" s="1132"/>
      <c r="N32" s="1132"/>
      <c r="O32" s="1140"/>
      <c r="P32" s="3174"/>
      <c r="Q32" s="1810" t="str">
        <f t="shared" si="8"/>
        <v>毗邻道路的类型与等级</v>
      </c>
      <c r="R32" s="773" t="s">
        <v>17</v>
      </c>
      <c r="S32" s="774">
        <f t="shared" si="10"/>
        <v>100</v>
      </c>
      <c r="T32" s="773" t="s">
        <v>17</v>
      </c>
      <c r="U32" s="774">
        <f t="shared" si="11"/>
        <v>100</v>
      </c>
      <c r="V32" s="773" t="s">
        <v>17</v>
      </c>
      <c r="W32" s="774">
        <f t="shared" si="12"/>
        <v>100</v>
      </c>
      <c r="X32" s="1813"/>
      <c r="Y32" s="3174"/>
      <c r="Z32" s="1814" t="str">
        <f t="shared" si="13"/>
        <v>毗邻道路的类型与等级</v>
      </c>
      <c r="AA32" s="1811">
        <f t="shared" si="3"/>
        <v>1</v>
      </c>
      <c r="AB32" s="1811">
        <f t="shared" si="4"/>
        <v>1</v>
      </c>
      <c r="AC32" s="1811">
        <f t="shared" si="5"/>
        <v>1</v>
      </c>
    </row>
    <row r="33" spans="1:29" ht="15">
      <c r="A33" s="427"/>
      <c r="B33" s="455"/>
      <c r="C33" s="446" t="s">
        <v>4186</v>
      </c>
      <c r="D33" s="447"/>
      <c r="E33" s="2613" t="s">
        <v>4186</v>
      </c>
      <c r="F33" s="447"/>
      <c r="G33" s="2613" t="s">
        <v>4186</v>
      </c>
      <c r="H33" s="447"/>
      <c r="I33" s="446" t="s">
        <v>4186</v>
      </c>
      <c r="J33" s="447"/>
      <c r="K33" s="612"/>
      <c r="L33" s="1141"/>
      <c r="M33" s="1132"/>
      <c r="N33" s="1132"/>
      <c r="O33" s="1140"/>
      <c r="P33" s="3174"/>
      <c r="Q33" s="1810"/>
      <c r="R33" s="773"/>
      <c r="S33" s="774"/>
      <c r="T33" s="773"/>
      <c r="U33" s="774"/>
      <c r="V33" s="773"/>
      <c r="W33" s="774"/>
      <c r="X33" s="1813"/>
      <c r="Y33" s="3174"/>
      <c r="Z33" s="1814"/>
      <c r="AA33" s="1811">
        <v>1</v>
      </c>
      <c r="AB33" s="1811">
        <v>1</v>
      </c>
      <c r="AC33" s="1811">
        <v>1</v>
      </c>
    </row>
    <row r="34" spans="1:29" ht="15.75" thickBot="1">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74"/>
      <c r="Q34" s="1810" t="str">
        <f t="shared" si="8"/>
        <v>土地级别</v>
      </c>
      <c r="R34" s="773" t="s">
        <v>17</v>
      </c>
      <c r="S34" s="774">
        <f t="shared" si="10"/>
        <v>100</v>
      </c>
      <c r="T34" s="773" t="s">
        <v>17</v>
      </c>
      <c r="U34" s="774">
        <f t="shared" si="11"/>
        <v>100</v>
      </c>
      <c r="V34" s="773" t="s">
        <v>17</v>
      </c>
      <c r="W34" s="774">
        <f t="shared" si="12"/>
        <v>100</v>
      </c>
      <c r="X34" s="1813"/>
      <c r="Y34" s="3174"/>
      <c r="Z34" s="1814" t="str">
        <f t="shared" si="13"/>
        <v>土地级别</v>
      </c>
      <c r="AA34" s="1811">
        <f t="shared" si="3"/>
        <v>1</v>
      </c>
      <c r="AB34" s="1811">
        <f t="shared" si="4"/>
        <v>1</v>
      </c>
      <c r="AC34" s="1811">
        <f t="shared" si="5"/>
        <v>1</v>
      </c>
    </row>
    <row r="35" spans="1:29" ht="15" hidden="1">
      <c r="A35" s="403"/>
      <c r="B35" s="1387"/>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74"/>
      <c r="Q35" s="1810">
        <f t="shared" si="8"/>
        <v>0</v>
      </c>
      <c r="R35" s="773" t="s">
        <v>17</v>
      </c>
      <c r="S35" s="774">
        <f t="shared" si="10"/>
        <v>100</v>
      </c>
      <c r="T35" s="773" t="s">
        <v>17</v>
      </c>
      <c r="U35" s="774">
        <f t="shared" si="11"/>
        <v>100</v>
      </c>
      <c r="V35" s="773" t="s">
        <v>17</v>
      </c>
      <c r="W35" s="774">
        <f t="shared" si="12"/>
        <v>100</v>
      </c>
      <c r="X35" s="1813"/>
      <c r="Y35" s="3174"/>
      <c r="Z35" s="1814">
        <f t="shared" si="13"/>
        <v>0</v>
      </c>
      <c r="AA35" s="1811">
        <f t="shared" si="3"/>
        <v>1</v>
      </c>
      <c r="AB35" s="1811">
        <f t="shared" si="4"/>
        <v>1</v>
      </c>
      <c r="AC35" s="1811">
        <f t="shared" si="5"/>
        <v>1</v>
      </c>
    </row>
    <row r="36" spans="1:29" ht="15" hidden="1">
      <c r="A36" s="674"/>
      <c r="B36" s="1388"/>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29" t="s">
        <v>2559</v>
      </c>
      <c r="Q36" s="1810">
        <f t="shared" si="8"/>
        <v>0</v>
      </c>
      <c r="R36" s="773" t="s">
        <v>17</v>
      </c>
      <c r="S36" s="774">
        <f t="shared" si="10"/>
        <v>100</v>
      </c>
      <c r="T36" s="773" t="s">
        <v>17</v>
      </c>
      <c r="U36" s="774">
        <f t="shared" si="11"/>
        <v>100</v>
      </c>
      <c r="V36" s="773" t="s">
        <v>17</v>
      </c>
      <c r="W36" s="774">
        <f t="shared" si="12"/>
        <v>100</v>
      </c>
      <c r="X36" s="1813"/>
      <c r="Y36" s="3178" t="s">
        <v>2559</v>
      </c>
      <c r="Z36" s="1814">
        <f t="shared" si="13"/>
        <v>0</v>
      </c>
      <c r="AA36" s="1811">
        <f t="shared" si="3"/>
        <v>1</v>
      </c>
      <c r="AB36" s="1811">
        <f t="shared" si="4"/>
        <v>1</v>
      </c>
      <c r="AC36" s="1811">
        <f t="shared" si="5"/>
        <v>1</v>
      </c>
    </row>
    <row r="37" spans="1:29" s="470" customFormat="1" ht="15.75" hidden="1" thickBot="1">
      <c r="A37" s="675"/>
      <c r="B37" s="1389"/>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78"/>
      <c r="Q37" s="1810">
        <f t="shared" si="8"/>
        <v>0</v>
      </c>
      <c r="R37" s="776" t="s">
        <v>17</v>
      </c>
      <c r="S37" s="777">
        <f t="shared" si="10"/>
        <v>100</v>
      </c>
      <c r="T37" s="776" t="s">
        <v>17</v>
      </c>
      <c r="U37" s="777">
        <f t="shared" si="11"/>
        <v>100</v>
      </c>
      <c r="V37" s="776" t="s">
        <v>17</v>
      </c>
      <c r="W37" s="777">
        <f t="shared" si="12"/>
        <v>100</v>
      </c>
      <c r="X37" s="778"/>
      <c r="Y37" s="3178"/>
      <c r="Z37" s="779">
        <f t="shared" si="13"/>
        <v>0</v>
      </c>
      <c r="AA37" s="1811">
        <f t="shared" si="3"/>
        <v>1</v>
      </c>
      <c r="AB37" s="1811">
        <f t="shared" si="4"/>
        <v>1</v>
      </c>
      <c r="AC37" s="1811">
        <f t="shared" si="5"/>
        <v>1</v>
      </c>
    </row>
    <row r="38" spans="1:29" ht="15">
      <c r="A38" s="471" t="s">
        <v>2557</v>
      </c>
      <c r="B38" s="455" t="s">
        <v>2744</v>
      </c>
      <c r="C38" s="678">
        <v>33986.97</v>
      </c>
      <c r="D38" s="466">
        <v>100</v>
      </c>
      <c r="E38" s="678">
        <f>土地案例!I24</f>
        <v>18303.330000000002</v>
      </c>
      <c r="F38" s="466">
        <f>LOOKUP(E38,117:117,118:118)-LOOKUP(C38,117:117,118:118)+100</f>
        <v>100</v>
      </c>
      <c r="G38" s="678">
        <f>土地案例!I31</f>
        <v>85709</v>
      </c>
      <c r="H38" s="466">
        <f>LOOKUP(G38,117:117,118:118)-LOOKUP(C38,117:117,118:118)+100</f>
        <v>101</v>
      </c>
      <c r="I38" s="529">
        <f>土地案例!I32</f>
        <v>10384</v>
      </c>
      <c r="J38" s="466">
        <f>LOOKUP(I38,117:117,118:118)-LOOKUP(C38,117:117,118:118)+100</f>
        <v>100</v>
      </c>
      <c r="K38" s="612"/>
      <c r="L38" s="1141"/>
      <c r="M38" s="1132"/>
      <c r="N38" s="1132"/>
      <c r="O38" s="1140"/>
      <c r="P38" s="3178"/>
      <c r="Q38" s="1810" t="str">
        <f>B38</f>
        <v>宗地面积</v>
      </c>
      <c r="R38" s="773" t="s">
        <v>17</v>
      </c>
      <c r="S38" s="774">
        <f t="shared" si="10"/>
        <v>100</v>
      </c>
      <c r="T38" s="773" t="s">
        <v>17</v>
      </c>
      <c r="U38" s="774">
        <f t="shared" si="11"/>
        <v>101</v>
      </c>
      <c r="V38" s="773" t="s">
        <v>17</v>
      </c>
      <c r="W38" s="774">
        <f t="shared" si="12"/>
        <v>100</v>
      </c>
      <c r="X38" s="1813"/>
      <c r="Y38" s="3178"/>
      <c r="Z38" s="1814" t="str">
        <f t="shared" si="13"/>
        <v>宗地面积</v>
      </c>
      <c r="AA38" s="1811">
        <f t="shared" si="3"/>
        <v>1</v>
      </c>
      <c r="AB38" s="1811">
        <f t="shared" si="4"/>
        <v>0.99009900990099009</v>
      </c>
      <c r="AC38" s="1811">
        <f t="shared" si="5"/>
        <v>1</v>
      </c>
    </row>
    <row r="39" spans="1:29" ht="15">
      <c r="A39" s="471"/>
      <c r="B39" s="421" t="s">
        <v>2745</v>
      </c>
      <c r="C39" s="2615" t="s">
        <v>4171</v>
      </c>
      <c r="D39" s="434">
        <v>100</v>
      </c>
      <c r="E39" s="2615" t="s">
        <v>4171</v>
      </c>
      <c r="F39" s="434">
        <f>SUMIF(119:119,E39,120:120)-SUMIF(119:119,C39,120:120)+100</f>
        <v>100</v>
      </c>
      <c r="G39" s="2615" t="s">
        <v>4171</v>
      </c>
      <c r="H39" s="434">
        <f>SUMIF(119:119,G39,120:120)-SUMIF(119:119,C39,120:120)+100</f>
        <v>100</v>
      </c>
      <c r="I39" s="2615" t="s">
        <v>4171</v>
      </c>
      <c r="J39" s="434">
        <f>SUMIF(119:119,I39,120:120)-SUMIF(119:119,C39,120:120)+100</f>
        <v>100</v>
      </c>
      <c r="K39" s="611">
        <v>2</v>
      </c>
      <c r="L39" s="1141"/>
      <c r="M39" s="1132"/>
      <c r="N39" s="1132"/>
      <c r="O39" s="1140"/>
      <c r="P39" s="3178"/>
      <c r="Q39" s="1810" t="str">
        <f t="shared" ref="Q39:Q45" si="14">B39</f>
        <v>宗地形状</v>
      </c>
      <c r="R39" s="773" t="s">
        <v>17</v>
      </c>
      <c r="S39" s="774">
        <f t="shared" si="10"/>
        <v>100</v>
      </c>
      <c r="T39" s="773" t="s">
        <v>17</v>
      </c>
      <c r="U39" s="774">
        <f t="shared" si="11"/>
        <v>100</v>
      </c>
      <c r="V39" s="773" t="s">
        <v>17</v>
      </c>
      <c r="W39" s="774">
        <f t="shared" si="12"/>
        <v>100</v>
      </c>
      <c r="X39" s="1813"/>
      <c r="Y39" s="3178"/>
      <c r="Z39" s="1814" t="str">
        <f t="shared" si="13"/>
        <v>宗地形状</v>
      </c>
      <c r="AA39" s="1811">
        <f t="shared" si="3"/>
        <v>1</v>
      </c>
      <c r="AB39" s="1811">
        <f t="shared" si="4"/>
        <v>1</v>
      </c>
      <c r="AC39" s="1811">
        <f t="shared" si="5"/>
        <v>1</v>
      </c>
    </row>
    <row r="40" spans="1:29" ht="15">
      <c r="A40" s="471"/>
      <c r="B40" s="421" t="s">
        <v>2746</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178"/>
      <c r="Q40" s="1810" t="str">
        <f t="shared" si="14"/>
        <v>临街宽度及深度</v>
      </c>
      <c r="R40" s="773" t="s">
        <v>17</v>
      </c>
      <c r="S40" s="774">
        <f t="shared" si="10"/>
        <v>100</v>
      </c>
      <c r="T40" s="773" t="s">
        <v>17</v>
      </c>
      <c r="U40" s="774">
        <f t="shared" si="11"/>
        <v>100</v>
      </c>
      <c r="V40" s="773" t="s">
        <v>17</v>
      </c>
      <c r="W40" s="774">
        <f t="shared" si="12"/>
        <v>100</v>
      </c>
      <c r="X40" s="1813"/>
      <c r="Y40" s="3178"/>
      <c r="Z40" s="1814" t="str">
        <f t="shared" si="13"/>
        <v>临街宽度及深度</v>
      </c>
      <c r="AA40" s="1811">
        <f t="shared" si="3"/>
        <v>1</v>
      </c>
      <c r="AB40" s="1811">
        <f t="shared" si="4"/>
        <v>1</v>
      </c>
      <c r="AC40" s="1811">
        <f t="shared" si="5"/>
        <v>1</v>
      </c>
    </row>
    <row r="41" spans="1:29" s="116" customFormat="1" ht="15">
      <c r="A41" s="472"/>
      <c r="B41" s="421" t="s">
        <v>2747</v>
      </c>
      <c r="C41" s="2704" t="s">
        <v>4175</v>
      </c>
      <c r="D41" s="135">
        <v>100</v>
      </c>
      <c r="E41" s="2704" t="s">
        <v>4178</v>
      </c>
      <c r="F41" s="434">
        <f>SUMIF(123:123,E41,124:124)-SUMIF(123:123,C41,124:124)+100</f>
        <v>96</v>
      </c>
      <c r="G41" s="2704" t="s">
        <v>4178</v>
      </c>
      <c r="H41" s="434">
        <f>SUMIF(123:123,G41,124:124)-SUMIF(123:123,C41,124:124)+100</f>
        <v>96</v>
      </c>
      <c r="I41" s="2704" t="s">
        <v>4178</v>
      </c>
      <c r="J41" s="434">
        <f>SUMIF(123:123,I41,124:124)-SUMIF(123:123,C41,124:124)+100</f>
        <v>96</v>
      </c>
      <c r="K41" s="611">
        <v>2</v>
      </c>
      <c r="L41" s="1133"/>
      <c r="M41" s="1134"/>
      <c r="N41" s="1134"/>
      <c r="O41" s="1135"/>
      <c r="P41" s="3178"/>
      <c r="Q41" s="1810" t="str">
        <f t="shared" si="14"/>
        <v>宗地开发程度</v>
      </c>
      <c r="R41" s="769" t="s">
        <v>17</v>
      </c>
      <c r="S41" s="770">
        <f t="shared" si="10"/>
        <v>96</v>
      </c>
      <c r="T41" s="769" t="s">
        <v>17</v>
      </c>
      <c r="U41" s="770">
        <f t="shared" si="11"/>
        <v>96</v>
      </c>
      <c r="V41" s="769" t="s">
        <v>17</v>
      </c>
      <c r="W41" s="770">
        <f t="shared" si="12"/>
        <v>96</v>
      </c>
      <c r="X41" s="771"/>
      <c r="Y41" s="3178"/>
      <c r="Z41" s="54" t="str">
        <f t="shared" si="13"/>
        <v>宗地开发程度</v>
      </c>
      <c r="AA41" s="772">
        <f t="shared" si="3"/>
        <v>1.0416666666666667</v>
      </c>
      <c r="AB41" s="772">
        <f t="shared" si="4"/>
        <v>1.0416666666666667</v>
      </c>
      <c r="AC41" s="772">
        <f t="shared" si="5"/>
        <v>1.0416666666666667</v>
      </c>
    </row>
    <row r="42" spans="1:29" ht="15.75" thickBot="1">
      <c r="A42" s="471"/>
      <c r="B42" s="421" t="s">
        <v>2748</v>
      </c>
      <c r="C42" s="2615" t="s">
        <v>4180</v>
      </c>
      <c r="D42" s="434">
        <v>100</v>
      </c>
      <c r="E42" s="2615" t="s">
        <v>4180</v>
      </c>
      <c r="F42" s="434">
        <f>SUMIF(125:125,E42,126:126)-SUMIF(125:125,C42,126:126)+100</f>
        <v>100</v>
      </c>
      <c r="G42" s="2615" t="s">
        <v>4180</v>
      </c>
      <c r="H42" s="434">
        <f>SUMIF(125:125,G42,126:126)-SUMIF(125:125,C42,126:126)+100</f>
        <v>100</v>
      </c>
      <c r="I42" s="2615" t="s">
        <v>4180</v>
      </c>
      <c r="J42" s="434">
        <f>SUMIF(125:125,I42,126:126)-SUMIF(125:125,C42,126:126)+100</f>
        <v>100</v>
      </c>
      <c r="K42" s="611">
        <v>2</v>
      </c>
      <c r="L42" s="1141"/>
      <c r="M42" s="1132"/>
      <c r="N42" s="1132"/>
      <c r="O42" s="1140"/>
      <c r="P42" s="3178" t="s">
        <v>2559</v>
      </c>
      <c r="Q42" s="1810" t="str">
        <f t="shared" si="14"/>
        <v>工程地质条件</v>
      </c>
      <c r="R42" s="773" t="s">
        <v>17</v>
      </c>
      <c r="S42" s="774">
        <f t="shared" si="10"/>
        <v>100</v>
      </c>
      <c r="T42" s="773" t="s">
        <v>17</v>
      </c>
      <c r="U42" s="774">
        <f t="shared" si="11"/>
        <v>100</v>
      </c>
      <c r="V42" s="773" t="s">
        <v>17</v>
      </c>
      <c r="W42" s="774">
        <f t="shared" si="12"/>
        <v>100</v>
      </c>
      <c r="X42" s="1813"/>
      <c r="Y42" s="3178" t="s">
        <v>2559</v>
      </c>
      <c r="Z42" s="1814" t="str">
        <f t="shared" si="13"/>
        <v>工程地质条件</v>
      </c>
      <c r="AA42" s="1811">
        <f t="shared" si="3"/>
        <v>1</v>
      </c>
      <c r="AB42" s="1811">
        <f t="shared" si="4"/>
        <v>1</v>
      </c>
      <c r="AC42" s="1811">
        <f t="shared" si="5"/>
        <v>1</v>
      </c>
    </row>
    <row r="43" spans="1:29" ht="15" hidden="1">
      <c r="A43" s="471"/>
      <c r="B43" s="1388"/>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78"/>
      <c r="Q43" s="1810">
        <f t="shared" si="14"/>
        <v>0</v>
      </c>
      <c r="R43" s="773" t="s">
        <v>17</v>
      </c>
      <c r="S43" s="774">
        <f t="shared" si="10"/>
        <v>100</v>
      </c>
      <c r="T43" s="773" t="s">
        <v>17</v>
      </c>
      <c r="U43" s="774">
        <f t="shared" si="11"/>
        <v>100</v>
      </c>
      <c r="V43" s="773" t="s">
        <v>17</v>
      </c>
      <c r="W43" s="774">
        <f t="shared" si="12"/>
        <v>100</v>
      </c>
      <c r="X43" s="1813"/>
      <c r="Y43" s="3178"/>
      <c r="Z43" s="1814">
        <f t="shared" si="13"/>
        <v>0</v>
      </c>
      <c r="AA43" s="1811">
        <f t="shared" si="3"/>
        <v>1</v>
      </c>
      <c r="AB43" s="1811">
        <f t="shared" si="4"/>
        <v>1</v>
      </c>
      <c r="AC43" s="1811">
        <f t="shared" si="5"/>
        <v>1</v>
      </c>
    </row>
    <row r="44" spans="1:29" ht="15" hidden="1">
      <c r="A44" s="471"/>
      <c r="B44" s="1388"/>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78"/>
      <c r="Q44" s="1810">
        <f t="shared" si="14"/>
        <v>0</v>
      </c>
      <c r="R44" s="773" t="s">
        <v>17</v>
      </c>
      <c r="S44" s="774">
        <f t="shared" si="10"/>
        <v>100</v>
      </c>
      <c r="T44" s="773" t="s">
        <v>17</v>
      </c>
      <c r="U44" s="774">
        <f t="shared" si="11"/>
        <v>100</v>
      </c>
      <c r="V44" s="773" t="s">
        <v>17</v>
      </c>
      <c r="W44" s="774">
        <f t="shared" si="12"/>
        <v>100</v>
      </c>
      <c r="X44" s="1813"/>
      <c r="Y44" s="3178"/>
      <c r="Z44" s="1814">
        <f t="shared" si="13"/>
        <v>0</v>
      </c>
      <c r="AA44" s="1811">
        <f t="shared" si="3"/>
        <v>1</v>
      </c>
      <c r="AB44" s="1811">
        <f t="shared" si="4"/>
        <v>1</v>
      </c>
      <c r="AC44" s="1811">
        <f t="shared" si="5"/>
        <v>1</v>
      </c>
    </row>
    <row r="45" spans="1:29" s="470" customFormat="1" ht="15.75" hidden="1" thickBot="1">
      <c r="A45" s="467"/>
      <c r="B45" s="1388"/>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78"/>
      <c r="Q45" s="1810">
        <f t="shared" si="14"/>
        <v>0</v>
      </c>
      <c r="R45" s="776" t="s">
        <v>17</v>
      </c>
      <c r="S45" s="777">
        <f t="shared" si="10"/>
        <v>100</v>
      </c>
      <c r="T45" s="776" t="s">
        <v>17</v>
      </c>
      <c r="U45" s="777">
        <f t="shared" si="11"/>
        <v>100</v>
      </c>
      <c r="V45" s="776" t="s">
        <v>17</v>
      </c>
      <c r="W45" s="777">
        <f t="shared" si="12"/>
        <v>100</v>
      </c>
      <c r="X45" s="778"/>
      <c r="Y45" s="3178"/>
      <c r="Z45" s="779">
        <f t="shared" si="13"/>
        <v>0</v>
      </c>
      <c r="AA45" s="1811">
        <f t="shared" si="3"/>
        <v>1</v>
      </c>
      <c r="AB45" s="1811">
        <f t="shared" si="4"/>
        <v>1</v>
      </c>
      <c r="AC45" s="1811">
        <f t="shared" si="5"/>
        <v>1</v>
      </c>
    </row>
    <row r="46" spans="1:29" ht="15">
      <c r="A46" s="478" t="s">
        <v>2714</v>
      </c>
      <c r="B46" s="2706" t="s">
        <v>2749</v>
      </c>
      <c r="C46" s="681" t="s">
        <v>1</v>
      </c>
      <c r="D46" s="480"/>
      <c r="E46" s="481">
        <v>22024</v>
      </c>
      <c r="F46" s="482"/>
      <c r="G46" s="483">
        <v>21102</v>
      </c>
      <c r="H46" s="484"/>
      <c r="I46" s="481">
        <v>19761</v>
      </c>
      <c r="J46" s="484"/>
      <c r="K46" s="782"/>
      <c r="L46" s="1144"/>
      <c r="M46" s="1145"/>
      <c r="N46" s="1132"/>
      <c r="O46" s="1145"/>
      <c r="P46" s="3171" t="str">
        <f>A46</f>
        <v>成交单价</v>
      </c>
      <c r="Q46" s="3171"/>
      <c r="R46" s="3202">
        <f>E46</f>
        <v>22024</v>
      </c>
      <c r="S46" s="3202"/>
      <c r="T46" s="3202">
        <f>G46</f>
        <v>21102</v>
      </c>
      <c r="U46" s="3202"/>
      <c r="V46" s="3202">
        <f>I46</f>
        <v>19761</v>
      </c>
      <c r="W46" s="3202"/>
      <c r="X46" s="758"/>
      <c r="Y46" s="780"/>
      <c r="Z46" s="758"/>
      <c r="AA46" s="758"/>
      <c r="AB46" s="758"/>
      <c r="AC46" s="758"/>
    </row>
    <row r="47" spans="1:29" ht="15.75" thickBot="1">
      <c r="A47" s="485" t="s">
        <v>2663</v>
      </c>
      <c r="B47" s="682"/>
      <c r="C47" s="489">
        <f>R48</f>
        <v>23100</v>
      </c>
      <c r="D47" s="488"/>
      <c r="E47" s="489">
        <f>R47</f>
        <v>25465</v>
      </c>
      <c r="F47" s="490"/>
      <c r="G47" s="487">
        <f>T47</f>
        <v>21500</v>
      </c>
      <c r="H47" s="488"/>
      <c r="I47" s="489">
        <f>V47</f>
        <v>22335</v>
      </c>
      <c r="J47" s="488"/>
      <c r="K47" s="783"/>
      <c r="L47" s="1144"/>
      <c r="M47" s="1145"/>
      <c r="N47" s="1145"/>
      <c r="O47" s="1145"/>
      <c r="P47" s="3171" t="str">
        <f>A47</f>
        <v>比较价值（元/平方米）</v>
      </c>
      <c r="Q47" s="3171"/>
      <c r="R47" s="3230">
        <f>ROUND(PRODUCT(R46,AA7:AA45),0)</f>
        <v>25465</v>
      </c>
      <c r="S47" s="3230"/>
      <c r="T47" s="3230">
        <f>ROUND(PRODUCT(T46,AB7:AB45),0)</f>
        <v>21500</v>
      </c>
      <c r="U47" s="3230"/>
      <c r="V47" s="3230">
        <f>ROUND(PRODUCT(V46,AC7:AC45),0)</f>
        <v>22335</v>
      </c>
      <c r="W47" s="3230"/>
      <c r="X47" s="758"/>
      <c r="Y47" s="758"/>
      <c r="Z47" s="758"/>
      <c r="AA47" s="758"/>
      <c r="AB47" s="758"/>
      <c r="AC47" s="758"/>
    </row>
    <row r="48" spans="1:29" ht="15.75" thickBot="1">
      <c r="A48" s="491" t="s">
        <v>2750</v>
      </c>
      <c r="B48" s="492"/>
      <c r="C48" s="493">
        <f>R48</f>
        <v>23100</v>
      </c>
      <c r="D48" s="493"/>
      <c r="E48" s="493"/>
      <c r="F48" s="493"/>
      <c r="G48" s="493"/>
      <c r="H48" s="493"/>
      <c r="I48" s="493"/>
      <c r="J48" s="493"/>
      <c r="K48" s="784"/>
      <c r="L48" s="1144"/>
      <c r="M48" s="1145"/>
      <c r="N48" s="1145"/>
      <c r="O48" s="1145"/>
      <c r="P48" s="3168" t="str">
        <f>A48</f>
        <v>估价对象XX用房的比较价值（楼面单价，元/平方米）</v>
      </c>
      <c r="Q48" s="3169"/>
      <c r="R48" s="3231">
        <f>ROUND(AVERAGE(R47:V47),0)</f>
        <v>23100</v>
      </c>
      <c r="S48" s="3231"/>
      <c r="T48" s="3231"/>
      <c r="U48" s="3231"/>
      <c r="V48" s="3231"/>
      <c r="W48" s="3231"/>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2665</v>
      </c>
      <c r="D51" s="497"/>
      <c r="E51" s="498">
        <f>IF(E46&lt;E47,E47/E46-1,E46/E47-1)</f>
        <v>0.1562386487468217</v>
      </c>
      <c r="F51" s="499" t="str">
        <f>IF(OR(E51&gt;=0.3,E51&lt;=-0.3),"超过30%","")</f>
        <v/>
      </c>
      <c r="G51" s="498">
        <f>IF(G46&lt;G47,G47/G46-1,G46/G47-1)</f>
        <v>1.8860771490853967E-2</v>
      </c>
      <c r="H51" s="499" t="str">
        <f>IF(OR(G51&gt;=0.3,G51&lt;=-0.3),"超过30%","")</f>
        <v/>
      </c>
      <c r="I51" s="498">
        <f>IF(I46&lt;I47,I47/I46-1,I46/I47-1)</f>
        <v>0.13025656596326107</v>
      </c>
      <c r="J51" s="499" t="str">
        <f>IF(OR(I51&gt;=0.3,I51&lt;=-0.3),"超过30%","")</f>
        <v/>
      </c>
      <c r="K51" s="1106"/>
      <c r="L51" s="1107"/>
      <c r="M51" s="1145"/>
      <c r="N51" s="1145"/>
      <c r="O51" s="1145"/>
    </row>
    <row r="52" spans="1:15" ht="13.5" customHeight="1">
      <c r="A52" s="1145"/>
      <c r="B52" s="1145"/>
      <c r="C52" s="496" t="s">
        <v>2666</v>
      </c>
      <c r="D52" s="500"/>
      <c r="E52" s="498">
        <f>IF(E47&lt;G47,G47/E47-1,E47/G47-1)</f>
        <v>0.18441860465116289</v>
      </c>
      <c r="F52" s="499" t="str">
        <f>IF(OR(E52&gt;=0.2,E52&lt;=-0.2),"超过20%","")</f>
        <v/>
      </c>
      <c r="G52" s="498">
        <f>IF(G47&lt;I47,I47/G47-1,G47/I47-1)</f>
        <v>3.8837209302325482E-2</v>
      </c>
      <c r="H52" s="499" t="str">
        <f>IF(OR(G52&gt;=0.2,G52&lt;=-0.2),"超过20%","")</f>
        <v/>
      </c>
      <c r="I52" s="498">
        <f>IF(I47&lt;E47,E47/I47-1,I47/E47-1)</f>
        <v>0.14013879561226772</v>
      </c>
      <c r="J52" s="499" t="str">
        <f>IF(OR(I52&gt;=0.2,I52&lt;=-0.2),"超过20%","")</f>
        <v/>
      </c>
      <c r="K52" s="1106"/>
      <c r="L52" s="1107"/>
      <c r="M52" s="1145"/>
      <c r="N52" s="1145"/>
      <c r="O52" s="1145"/>
    </row>
    <row r="53" spans="1:15" s="501" customFormat="1" ht="13.5" customHeight="1">
      <c r="A53" s="1146"/>
      <c r="B53" s="1146"/>
      <c r="C53" s="496" t="s">
        <v>2667</v>
      </c>
      <c r="D53" s="500"/>
      <c r="E53" s="498">
        <f>IF(E46&lt;G46,G46/E46-1,E46/G46-1)</f>
        <v>4.3692540991375317E-2</v>
      </c>
      <c r="F53" s="499" t="str">
        <f>IF(OR(E53&gt;=0.3,E53&lt;=-0.3),"超过30%","")</f>
        <v/>
      </c>
      <c r="G53" s="498">
        <f>IF(G46&lt;I46,I46/G46-1,G46/I46-1)</f>
        <v>6.7860938211628863E-2</v>
      </c>
      <c r="H53" s="499" t="str">
        <f>IF(OR(G53&gt;=0.3,G53&lt;=-0.3),"超过30%","")</f>
        <v/>
      </c>
      <c r="I53" s="498">
        <f>IF(I46&lt;E46,E46/I46-1,I46/E46-1)</f>
        <v>0.11451849602752895</v>
      </c>
      <c r="J53" s="499" t="str">
        <f>IF(OR(I53&gt;=0.3,I53&lt;=-0.3),"超过30%","")</f>
        <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2751</v>
      </c>
      <c r="B55" s="684" t="s">
        <v>2752</v>
      </c>
      <c r="C55" s="2707" t="s">
        <v>2753</v>
      </c>
      <c r="D55" s="2708" t="s">
        <v>2754</v>
      </c>
      <c r="E55" s="685" t="s">
        <v>2755</v>
      </c>
      <c r="F55" s="1108" t="s">
        <v>2756</v>
      </c>
      <c r="G55" s="3186" t="s">
        <v>2757</v>
      </c>
      <c r="H55" s="3232"/>
      <c r="I55" s="143" t="s">
        <v>2758</v>
      </c>
      <c r="J55" s="2709">
        <f>项目基本情况!F35</f>
        <v>0</v>
      </c>
      <c r="K55" s="2710" t="s">
        <v>2759</v>
      </c>
      <c r="L55" s="1107"/>
      <c r="M55" s="1145"/>
      <c r="N55" s="1145"/>
      <c r="O55" s="1145"/>
    </row>
    <row r="56" spans="1:15" s="691" customFormat="1">
      <c r="A56" s="687" t="s">
        <v>2760</v>
      </c>
      <c r="B56" s="688">
        <f>C48</f>
        <v>23100</v>
      </c>
      <c r="C56" s="689">
        <v>1</v>
      </c>
      <c r="D56" s="1164">
        <v>1</v>
      </c>
      <c r="E56" s="689">
        <f>'数据-汇总表'!E8+'数据-汇总表'!E9</f>
        <v>49991.200000000012</v>
      </c>
      <c r="F56" s="1104">
        <f t="shared" ref="F56:F65" si="15">ROUND(B56*E56/10000,0)</f>
        <v>115480</v>
      </c>
      <c r="G56" s="3182"/>
      <c r="H56" s="3171"/>
      <c r="I56" s="1109">
        <v>1</v>
      </c>
      <c r="J56" s="1112">
        <v>1</v>
      </c>
      <c r="K56" s="1146"/>
      <c r="L56" s="942"/>
      <c r="M56" s="942"/>
      <c r="N56" s="942"/>
      <c r="O56" s="942"/>
    </row>
    <row r="57" spans="1:15" s="691" customFormat="1">
      <c r="A57" s="692" t="s">
        <v>2761</v>
      </c>
      <c r="B57" s="261">
        <f>ROUND($C$48*C57*D57,0)</f>
        <v>0</v>
      </c>
      <c r="C57" s="199">
        <f t="shared" ref="C57:C65" si="16">IF($C$55="北京市系数",I57,J57)</f>
        <v>0</v>
      </c>
      <c r="D57" s="1165">
        <v>0.25</v>
      </c>
      <c r="E57" s="693"/>
      <c r="F57" s="1104">
        <f t="shared" si="15"/>
        <v>0</v>
      </c>
      <c r="G57" s="3233" t="s">
        <v>2762</v>
      </c>
      <c r="H57" s="1105">
        <f>项目基本情况!B37</f>
        <v>0</v>
      </c>
      <c r="I57" s="1109">
        <f>SUMIF(修正!A45:A56,H57,修正!B45:B56)</f>
        <v>0</v>
      </c>
      <c r="J57" s="1113"/>
      <c r="K57" s="1145"/>
      <c r="L57" s="942"/>
      <c r="M57" s="942"/>
      <c r="N57" s="942"/>
      <c r="O57" s="942"/>
    </row>
    <row r="58" spans="1:15" s="691" customFormat="1">
      <c r="A58" s="692" t="s">
        <v>2763</v>
      </c>
      <c r="B58" s="261">
        <f t="shared" ref="B58:B65" si="17">ROUND($C$48*C58*D58,0)</f>
        <v>0</v>
      </c>
      <c r="C58" s="199">
        <f t="shared" si="16"/>
        <v>0</v>
      </c>
      <c r="D58" s="1165">
        <v>0.25</v>
      </c>
      <c r="E58" s="693"/>
      <c r="F58" s="1104">
        <f t="shared" si="15"/>
        <v>0</v>
      </c>
      <c r="G58" s="3233"/>
      <c r="H58" s="1105">
        <f>项目基本情况!B37</f>
        <v>0</v>
      </c>
      <c r="I58" s="1109">
        <f>SUMIF(修正!A45:A56,H58,修正!C45:C56)</f>
        <v>0</v>
      </c>
      <c r="J58" s="1113"/>
      <c r="K58" s="1146"/>
      <c r="L58" s="942"/>
      <c r="M58" s="942"/>
      <c r="N58" s="942"/>
      <c r="O58" s="942"/>
    </row>
    <row r="59" spans="1:15" s="691" customFormat="1">
      <c r="A59" s="692" t="s">
        <v>2764</v>
      </c>
      <c r="B59" s="261">
        <f t="shared" si="17"/>
        <v>0</v>
      </c>
      <c r="C59" s="199">
        <f t="shared" si="16"/>
        <v>0</v>
      </c>
      <c r="D59" s="1165">
        <v>0.25</v>
      </c>
      <c r="E59" s="693"/>
      <c r="F59" s="1104">
        <f t="shared" si="15"/>
        <v>0</v>
      </c>
      <c r="G59" s="3233"/>
      <c r="H59" s="1105">
        <f>项目基本情况!B37</f>
        <v>0</v>
      </c>
      <c r="I59" s="1109">
        <f>SUMIF(修正!A45:A56,H59,修正!D45:D56)</f>
        <v>0</v>
      </c>
      <c r="J59" s="1113"/>
      <c r="K59" s="1145"/>
      <c r="L59" s="942"/>
      <c r="M59" s="942"/>
      <c r="N59" s="942"/>
      <c r="O59" s="942"/>
    </row>
    <row r="60" spans="1:15" s="691" customFormat="1">
      <c r="A60" s="692" t="s">
        <v>2765</v>
      </c>
      <c r="B60" s="261">
        <f t="shared" si="17"/>
        <v>0</v>
      </c>
      <c r="C60" s="199">
        <f t="shared" si="16"/>
        <v>0</v>
      </c>
      <c r="D60" s="1165">
        <v>0.25</v>
      </c>
      <c r="E60" s="693"/>
      <c r="F60" s="1104">
        <f t="shared" si="15"/>
        <v>0</v>
      </c>
      <c r="G60" s="3233"/>
      <c r="H60" s="1105">
        <f>项目基本情况!B37</f>
        <v>0</v>
      </c>
      <c r="I60" s="1109">
        <f>SUMIF(修正!A45:A56,H60,修正!E45:E56)</f>
        <v>0</v>
      </c>
      <c r="J60" s="1113"/>
      <c r="K60" s="1146"/>
      <c r="L60" s="942"/>
      <c r="M60" s="942"/>
      <c r="N60" s="942"/>
      <c r="O60" s="942"/>
    </row>
    <row r="61" spans="1:15" s="691" customFormat="1">
      <c r="A61" s="692" t="s">
        <v>2766</v>
      </c>
      <c r="B61" s="261">
        <f t="shared" si="17"/>
        <v>0</v>
      </c>
      <c r="C61" s="199">
        <f t="shared" si="16"/>
        <v>0</v>
      </c>
      <c r="D61" s="1165">
        <v>0.25</v>
      </c>
      <c r="E61" s="260">
        <f>'数据-汇总表'!E11</f>
        <v>0</v>
      </c>
      <c r="F61" s="1104">
        <f t="shared" si="15"/>
        <v>0</v>
      </c>
      <c r="G61" s="2711" t="s">
        <v>2767</v>
      </c>
      <c r="H61" s="1105">
        <f>项目基本情况!C37</f>
        <v>0</v>
      </c>
      <c r="I61" s="1109">
        <f>SUMIF(修正!A45:A56,H61,修正!F45:F56)</f>
        <v>0</v>
      </c>
      <c r="J61" s="1113"/>
      <c r="K61" s="1145"/>
      <c r="L61" s="942"/>
      <c r="M61" s="942"/>
      <c r="N61" s="942"/>
      <c r="O61" s="942"/>
    </row>
    <row r="62" spans="1:15" s="691" customFormat="1">
      <c r="A62" s="692" t="s">
        <v>2768</v>
      </c>
      <c r="B62" s="261">
        <f t="shared" si="17"/>
        <v>0</v>
      </c>
      <c r="C62" s="199">
        <f t="shared" si="16"/>
        <v>0</v>
      </c>
      <c r="D62" s="1165">
        <v>0.25</v>
      </c>
      <c r="E62" s="260">
        <f>'数据-汇总表'!E12</f>
        <v>0</v>
      </c>
      <c r="F62" s="1104">
        <f t="shared" si="15"/>
        <v>0</v>
      </c>
      <c r="G62" s="1110" t="s">
        <v>2769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2770</v>
      </c>
      <c r="B63" s="261">
        <f t="shared" si="17"/>
        <v>0</v>
      </c>
      <c r="C63" s="199">
        <f t="shared" si="16"/>
        <v>0</v>
      </c>
      <c r="D63" s="1165">
        <v>0.25</v>
      </c>
      <c r="E63" s="260">
        <f>'数据-汇总表'!E13</f>
        <v>0</v>
      </c>
      <c r="F63" s="1104">
        <f t="shared" si="15"/>
        <v>0</v>
      </c>
      <c r="G63" s="1110" t="s">
        <v>2771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2772</v>
      </c>
      <c r="B64" s="261">
        <f t="shared" si="17"/>
        <v>0</v>
      </c>
      <c r="C64" s="199">
        <f t="shared" si="16"/>
        <v>0</v>
      </c>
      <c r="D64" s="1165">
        <v>0.25</v>
      </c>
      <c r="E64" s="260">
        <f>'数据-汇总表'!E14</f>
        <v>0</v>
      </c>
      <c r="F64" s="1104">
        <f t="shared" si="15"/>
        <v>0</v>
      </c>
      <c r="G64" s="2711" t="s">
        <v>2762</v>
      </c>
      <c r="H64" s="1105">
        <f>项目基本情况!B37</f>
        <v>0</v>
      </c>
      <c r="I64" s="1109">
        <f>SUMIF(修正!A45:A56,H64,修正!H45:H56)</f>
        <v>0</v>
      </c>
      <c r="J64" s="1113"/>
      <c r="K64" s="1146"/>
      <c r="L64" s="942"/>
      <c r="M64" s="942"/>
      <c r="N64" s="942"/>
      <c r="O64" s="942"/>
    </row>
    <row r="65" spans="1:19" s="691" customFormat="1" ht="15" thickBot="1">
      <c r="A65" s="692" t="s">
        <v>2773</v>
      </c>
      <c r="B65" s="261">
        <f t="shared" si="17"/>
        <v>0</v>
      </c>
      <c r="C65" s="199">
        <f t="shared" si="16"/>
        <v>0</v>
      </c>
      <c r="D65" s="1165">
        <v>0.25</v>
      </c>
      <c r="E65" s="260">
        <f>'数据-汇总表'!E15</f>
        <v>0</v>
      </c>
      <c r="F65" s="1104">
        <f t="shared" si="15"/>
        <v>0</v>
      </c>
      <c r="G65" s="2712" t="s">
        <v>2767</v>
      </c>
      <c r="H65" s="1115">
        <f>项目基本情况!C37</f>
        <v>0</v>
      </c>
      <c r="I65" s="1111">
        <f>SUMIF(修正!A45:A56,H65,修正!H45:H56)</f>
        <v>0</v>
      </c>
      <c r="J65" s="1114"/>
      <c r="K65" s="1145"/>
      <c r="L65" s="942"/>
      <c r="M65" s="942"/>
      <c r="N65" s="942"/>
      <c r="O65" s="942"/>
    </row>
    <row r="66" spans="1:19" s="691" customFormat="1" ht="13.5" thickBot="1">
      <c r="A66" s="694" t="s">
        <v>2774</v>
      </c>
      <c r="B66" s="695" t="s">
        <v>28</v>
      </c>
      <c r="C66" s="695" t="s">
        <v>29</v>
      </c>
      <c r="D66" s="695" t="s">
        <v>1026</v>
      </c>
      <c r="E66" s="695">
        <f>IF(B46="楼面地价",SUM(E56:E65),'数据-汇总表'!D3)</f>
        <v>49991.200000000012</v>
      </c>
      <c r="F66" s="696">
        <f>IF(B46="楼面地价",SUM(F56:F65),ROUND(C48*E66/10000,0))</f>
        <v>115480</v>
      </c>
      <c r="G66" s="786"/>
      <c r="H66" s="786"/>
      <c r="I66" s="786"/>
      <c r="J66" s="786"/>
      <c r="K66" s="1159"/>
      <c r="L66" s="942"/>
      <c r="M66" s="942"/>
      <c r="N66" s="942"/>
      <c r="O66" s="942"/>
    </row>
    <row r="67" spans="1:19">
      <c r="A67" s="758"/>
      <c r="B67" s="760"/>
      <c r="C67" s="761"/>
      <c r="D67" s="758"/>
      <c r="E67" s="758"/>
      <c r="F67" s="758"/>
      <c r="G67" s="758"/>
      <c r="H67" s="758"/>
      <c r="I67" s="758"/>
      <c r="J67" s="1145"/>
      <c r="K67" s="1106"/>
      <c r="L67" s="1107"/>
      <c r="M67" s="1145"/>
      <c r="N67" s="1145"/>
      <c r="O67" s="1145"/>
    </row>
    <row r="68" spans="1:19">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c r="P68" s="3310">
        <v>42278</v>
      </c>
      <c r="Q68" s="3310">
        <v>42186</v>
      </c>
      <c r="R68" s="3310">
        <v>42095</v>
      </c>
      <c r="S68" s="3310">
        <v>42005</v>
      </c>
    </row>
    <row r="69" spans="1:19" ht="21.75" thickBot="1">
      <c r="A69" s="762" t="s">
        <v>2668</v>
      </c>
      <c r="B69" s="758"/>
      <c r="C69" s="763"/>
      <c r="D69" s="763"/>
      <c r="E69" s="763"/>
      <c r="F69" s="764"/>
      <c r="G69" s="764"/>
      <c r="H69" s="763"/>
      <c r="I69" s="763"/>
      <c r="J69" s="1160"/>
      <c r="K69" s="1161"/>
      <c r="L69" s="1162"/>
      <c r="M69" s="1160"/>
      <c r="N69" s="1160"/>
      <c r="O69" s="1160"/>
      <c r="P69" s="502"/>
      <c r="Q69" s="503"/>
    </row>
    <row r="70" spans="1:19" s="507" customFormat="1" ht="15">
      <c r="A70" s="2713" t="s">
        <v>2775</v>
      </c>
      <c r="B70" s="1360"/>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3310">
        <v>42278</v>
      </c>
      <c r="Q70" s="3310">
        <v>42186</v>
      </c>
      <c r="R70" s="3310">
        <v>42095</v>
      </c>
      <c r="S70" s="3310">
        <v>42005</v>
      </c>
    </row>
    <row r="71" spans="1:19" s="116" customFormat="1" ht="30" customHeight="1">
      <c r="A71" s="2714" t="s">
        <v>1373</v>
      </c>
      <c r="B71" s="331" t="str">
        <f>"北京市平均增长率"&amp;TEXT(SUMIF(基准地价修正!N21:N25,A71,基准地价修正!P21:P25),"0.00%")</f>
        <v>北京市平均增长率1.51%</v>
      </c>
      <c r="C71" s="602">
        <v>100</v>
      </c>
      <c r="D71" s="594">
        <f>C71-$C$72</f>
        <v>99</v>
      </c>
      <c r="E71" s="594">
        <f t="shared" ref="E71:S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94">
        <f t="shared" si="20"/>
        <v>87</v>
      </c>
      <c r="Q71" s="594">
        <f t="shared" si="20"/>
        <v>86</v>
      </c>
      <c r="R71" s="594">
        <f t="shared" si="20"/>
        <v>85</v>
      </c>
      <c r="S71" s="594">
        <f t="shared" si="20"/>
        <v>84</v>
      </c>
    </row>
    <row r="72" spans="1:19" s="116" customFormat="1" ht="15.75" thickBot="1">
      <c r="A72" s="514" t="s">
        <v>2579</v>
      </c>
      <c r="B72" s="515"/>
      <c r="C72" s="516">
        <v>1</v>
      </c>
      <c r="D72" s="517"/>
      <c r="E72" s="517"/>
      <c r="F72" s="517"/>
      <c r="G72" s="517"/>
      <c r="H72" s="517"/>
      <c r="I72" s="517"/>
      <c r="J72" s="517"/>
      <c r="K72" s="517"/>
      <c r="L72" s="517"/>
      <c r="M72" s="518"/>
      <c r="N72" s="517"/>
      <c r="O72" s="1163"/>
      <c r="P72" s="503"/>
      <c r="Q72" s="503"/>
    </row>
    <row r="73" spans="1:19" s="116" customFormat="1" ht="15">
      <c r="A73" s="520" t="s">
        <v>2544</v>
      </c>
      <c r="B73" s="509"/>
      <c r="C73" s="521" t="s">
        <v>2646</v>
      </c>
      <c r="D73" s="522"/>
      <c r="E73" s="522"/>
      <c r="F73" s="522"/>
      <c r="G73" s="522"/>
      <c r="H73" s="522"/>
      <c r="I73" s="522"/>
      <c r="J73" s="522"/>
      <c r="K73" s="522"/>
      <c r="L73" s="523"/>
      <c r="M73" s="524"/>
      <c r="N73" s="1152"/>
      <c r="O73" s="1152"/>
      <c r="P73" s="525"/>
      <c r="Q73" s="503"/>
    </row>
    <row r="74" spans="1:19" s="116" customFormat="1" ht="15.75" thickBot="1">
      <c r="A74" s="520"/>
      <c r="B74" s="509"/>
      <c r="C74" s="638">
        <v>100</v>
      </c>
      <c r="D74" s="511"/>
      <c r="E74" s="511"/>
      <c r="F74" s="511"/>
      <c r="G74" s="511"/>
      <c r="H74" s="511"/>
      <c r="I74" s="511"/>
      <c r="J74" s="511"/>
      <c r="K74" s="511"/>
      <c r="L74" s="511"/>
      <c r="M74" s="513"/>
      <c r="N74" s="1152"/>
      <c r="O74" s="1152"/>
      <c r="P74" s="503"/>
      <c r="Q74" s="503"/>
    </row>
    <row r="75" spans="1:19">
      <c r="A75" s="526" t="s">
        <v>2582</v>
      </c>
      <c r="B75" s="527" t="s">
        <v>2548</v>
      </c>
      <c r="C75" s="660" t="str">
        <f>项目基本情况!B16</f>
        <v>商业、商务办公</v>
      </c>
      <c r="D75" s="529" t="str">
        <f>土地案例!H24</f>
        <v>F3其他类多功能用地</v>
      </c>
      <c r="E75" s="529" t="str">
        <f>土地案例!H31</f>
        <v>B4综合性商业金融服务业、S32公交场站设施用地</v>
      </c>
      <c r="F75" s="529" t="str">
        <f>土地案例!H32</f>
        <v>B4综合性商业金融服务业用地</v>
      </c>
      <c r="G75" s="529"/>
      <c r="H75" s="529"/>
      <c r="I75" s="529"/>
      <c r="J75" s="529"/>
      <c r="K75" s="530"/>
      <c r="L75" s="531"/>
      <c r="M75" s="532"/>
      <c r="N75" s="1153"/>
      <c r="O75" s="1153"/>
      <c r="P75" s="44"/>
      <c r="Q75" s="503"/>
    </row>
    <row r="76" spans="1:19" ht="15.75" thickBot="1">
      <c r="A76" s="533"/>
      <c r="B76" s="534"/>
      <c r="C76" s="535">
        <v>100</v>
      </c>
      <c r="D76" s="535">
        <v>100</v>
      </c>
      <c r="E76" s="535">
        <v>100</v>
      </c>
      <c r="F76" s="535">
        <v>100</v>
      </c>
      <c r="G76" s="535"/>
      <c r="H76" s="535"/>
      <c r="I76" s="535"/>
      <c r="J76" s="535"/>
      <c r="K76" s="535"/>
      <c r="L76" s="535"/>
      <c r="M76" s="536"/>
      <c r="N76" s="1154"/>
      <c r="O76" s="1154"/>
      <c r="P76" s="44"/>
      <c r="Q76" s="503"/>
    </row>
    <row r="77" spans="1:19" ht="27.75" thickTop="1">
      <c r="A77" s="533"/>
      <c r="B77" s="537" t="s">
        <v>2551</v>
      </c>
      <c r="C77" s="538"/>
      <c r="D77" s="538"/>
      <c r="E77" s="538"/>
      <c r="F77" s="538"/>
      <c r="G77" s="538"/>
      <c r="H77" s="538"/>
      <c r="I77" s="538"/>
      <c r="J77" s="538"/>
      <c r="K77" s="539"/>
      <c r="L77" s="540"/>
      <c r="M77" s="541"/>
      <c r="N77" s="1153"/>
      <c r="O77" s="1153"/>
      <c r="P77" s="44"/>
      <c r="Q77" s="503"/>
    </row>
    <row r="78" spans="1:19" ht="15.75" thickBot="1">
      <c r="A78" s="533"/>
      <c r="B78" s="542"/>
      <c r="C78" s="543"/>
      <c r="D78" s="543"/>
      <c r="E78" s="543"/>
      <c r="F78" s="543"/>
      <c r="G78" s="543"/>
      <c r="H78" s="543"/>
      <c r="I78" s="543"/>
      <c r="J78" s="543"/>
      <c r="K78" s="543"/>
      <c r="L78" s="543"/>
      <c r="M78" s="544"/>
      <c r="N78" s="1154"/>
      <c r="O78" s="1154"/>
      <c r="P78" s="44"/>
      <c r="Q78" s="503"/>
    </row>
    <row r="79" spans="1:19" ht="15.75" thickTop="1">
      <c r="A79" s="533"/>
      <c r="B79" s="545" t="s">
        <v>2552</v>
      </c>
      <c r="C79" s="546" t="str">
        <f>C80&amp;"（含）"&amp;"-"&amp;D80</f>
        <v>2（含）-2.5</v>
      </c>
      <c r="D79" s="546" t="str">
        <f t="shared" ref="D79:L79" si="21">D80&amp;"（含）"&amp;"-"&amp;E80</f>
        <v>2.5（含）-3</v>
      </c>
      <c r="E79" s="546" t="str">
        <f t="shared" si="21"/>
        <v>3（含）-3.5</v>
      </c>
      <c r="F79" s="546" t="str">
        <f t="shared" si="21"/>
        <v>3.5（含）-4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4"/>
      <c r="O79" s="1154"/>
      <c r="P79" s="44"/>
      <c r="Q79" s="503"/>
    </row>
    <row r="80" spans="1:19" ht="15">
      <c r="A80" s="533"/>
      <c r="B80" s="547"/>
      <c r="C80" s="548">
        <v>2</v>
      </c>
      <c r="D80" s="548">
        <v>2.5</v>
      </c>
      <c r="E80" s="548">
        <v>3</v>
      </c>
      <c r="F80" s="548">
        <v>3.5</v>
      </c>
      <c r="G80" s="548">
        <v>4</v>
      </c>
      <c r="H80" s="548"/>
      <c r="I80" s="548"/>
      <c r="J80" s="548"/>
      <c r="K80" s="549"/>
      <c r="L80" s="550"/>
      <c r="M80" s="551"/>
      <c r="N80" s="1153"/>
      <c r="O80" s="1153"/>
      <c r="P80" s="44"/>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4"/>
      <c r="O81" s="1154"/>
      <c r="P81" s="44"/>
      <c r="Q81" s="503"/>
    </row>
    <row r="82" spans="1:17" s="470" customFormat="1" ht="15.75" thickTop="1">
      <c r="A82" s="552"/>
      <c r="B82" s="537" t="str">
        <f>B12</f>
        <v>是否需自持</v>
      </c>
      <c r="C82" s="3298" t="s">
        <v>4191</v>
      </c>
      <c r="D82" s="3298" t="s">
        <v>4194</v>
      </c>
      <c r="E82" s="553"/>
      <c r="F82" s="553"/>
      <c r="G82" s="553"/>
      <c r="H82" s="554"/>
      <c r="I82" s="554"/>
      <c r="J82" s="554"/>
      <c r="K82" s="554"/>
      <c r="L82" s="555"/>
      <c r="M82" s="556"/>
      <c r="N82" s="1155"/>
      <c r="O82" s="1155"/>
      <c r="P82" s="557"/>
      <c r="Q82" s="558"/>
    </row>
    <row r="83" spans="1:17" s="470" customFormat="1" ht="15.75" thickBot="1">
      <c r="A83" s="552"/>
      <c r="B83" s="542"/>
      <c r="C83" s="559">
        <v>100</v>
      </c>
      <c r="D83" s="535">
        <v>90</v>
      </c>
      <c r="E83" s="535"/>
      <c r="F83" s="535"/>
      <c r="G83" s="535"/>
      <c r="H83" s="535"/>
      <c r="I83" s="535"/>
      <c r="J83" s="535"/>
      <c r="K83" s="535"/>
      <c r="L83" s="535"/>
      <c r="M83" s="536"/>
      <c r="N83" s="1154"/>
      <c r="O83" s="1154"/>
      <c r="P83" s="557"/>
      <c r="Q83" s="558"/>
    </row>
    <row r="84" spans="1:17" s="470" customFormat="1" ht="15.75" hidden="1" thickTop="1">
      <c r="A84" s="552"/>
      <c r="B84" s="537">
        <f>B13</f>
        <v>0</v>
      </c>
      <c r="C84" s="553"/>
      <c r="D84" s="553"/>
      <c r="E84" s="553"/>
      <c r="F84" s="553"/>
      <c r="G84" s="553"/>
      <c r="H84" s="554"/>
      <c r="I84" s="554"/>
      <c r="J84" s="554"/>
      <c r="K84" s="554"/>
      <c r="L84" s="555"/>
      <c r="M84" s="556"/>
      <c r="N84" s="1155"/>
      <c r="O84" s="1155"/>
      <c r="P84" s="469"/>
      <c r="Q84" s="560"/>
    </row>
    <row r="85" spans="1:17" s="470" customFormat="1" ht="15.75" hidden="1" thickBot="1">
      <c r="A85" s="552"/>
      <c r="B85" s="542"/>
      <c r="C85" s="559"/>
      <c r="D85" s="559"/>
      <c r="E85" s="559"/>
      <c r="F85" s="559"/>
      <c r="G85" s="559"/>
      <c r="H85" s="561"/>
      <c r="I85" s="561"/>
      <c r="J85" s="561"/>
      <c r="K85" s="561"/>
      <c r="L85" s="561"/>
      <c r="M85" s="562"/>
      <c r="N85" s="1155"/>
      <c r="O85" s="1155"/>
      <c r="P85" s="557"/>
      <c r="Q85" s="558"/>
    </row>
    <row r="86" spans="1:17" s="470" customFormat="1" ht="15.75" hidden="1" thickTop="1">
      <c r="A86" s="552"/>
      <c r="B86" s="545">
        <f>B14</f>
        <v>0</v>
      </c>
      <c r="C86" s="522"/>
      <c r="D86" s="522"/>
      <c r="E86" s="522"/>
      <c r="F86" s="522"/>
      <c r="G86" s="522"/>
      <c r="H86" s="563"/>
      <c r="I86" s="563"/>
      <c r="J86" s="563"/>
      <c r="K86" s="563"/>
      <c r="L86" s="564"/>
      <c r="M86" s="565"/>
      <c r="N86" s="1155"/>
      <c r="O86" s="1155"/>
      <c r="P86" s="566"/>
      <c r="Q86" s="558"/>
    </row>
    <row r="87" spans="1:17" s="470" customFormat="1" ht="15.75" hidden="1" thickBot="1">
      <c r="A87" s="567"/>
      <c r="B87" s="568"/>
      <c r="C87" s="569"/>
      <c r="D87" s="569"/>
      <c r="E87" s="569"/>
      <c r="F87" s="569"/>
      <c r="G87" s="569"/>
      <c r="H87" s="570"/>
      <c r="I87" s="570"/>
      <c r="J87" s="570"/>
      <c r="K87" s="570"/>
      <c r="L87" s="570"/>
      <c r="M87" s="571"/>
      <c r="N87" s="1155"/>
      <c r="O87" s="1155"/>
      <c r="P87" s="557"/>
      <c r="Q87" s="558"/>
    </row>
    <row r="88" spans="1:17" ht="15" thickTop="1">
      <c r="A88" s="526" t="s">
        <v>2553</v>
      </c>
      <c r="B88" s="527" t="s">
        <v>2590</v>
      </c>
      <c r="C88" s="572" t="s">
        <v>2591</v>
      </c>
      <c r="D88" s="572" t="s">
        <v>2592</v>
      </c>
      <c r="E88" s="572" t="s">
        <v>2593</v>
      </c>
      <c r="F88" s="572" t="s">
        <v>2594</v>
      </c>
      <c r="G88" s="572" t="s">
        <v>2595</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2776</v>
      </c>
      <c r="C90" s="577" t="s">
        <v>2591</v>
      </c>
      <c r="D90" s="577" t="s">
        <v>2592</v>
      </c>
      <c r="E90" s="577" t="s">
        <v>2593</v>
      </c>
      <c r="F90" s="577" t="s">
        <v>2594</v>
      </c>
      <c r="G90" s="577" t="s">
        <v>2595</v>
      </c>
      <c r="H90" s="538"/>
      <c r="I90" s="538"/>
      <c r="J90" s="538"/>
      <c r="K90" s="539"/>
      <c r="L90" s="540"/>
      <c r="M90" s="541"/>
      <c r="N90" s="1153"/>
      <c r="O90" s="1153"/>
      <c r="P90" s="44"/>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4"/>
      <c r="O91" s="1154"/>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3"/>
      <c r="O92" s="1153"/>
      <c r="P92" s="44"/>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4"/>
      <c r="O93" s="1154"/>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3"/>
      <c r="O94" s="1153"/>
      <c r="P94" s="44"/>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54"/>
      <c r="O95" s="1154"/>
      <c r="P95" s="44"/>
      <c r="Q95" s="503"/>
    </row>
    <row r="96" spans="1:17" s="116" customFormat="1" ht="15.75" thickTop="1">
      <c r="A96" s="578"/>
      <c r="B96" s="537" t="s">
        <v>2777</v>
      </c>
      <c r="C96" s="577" t="s">
        <v>2591</v>
      </c>
      <c r="D96" s="577" t="s">
        <v>2592</v>
      </c>
      <c r="E96" s="577" t="s">
        <v>2593</v>
      </c>
      <c r="F96" s="577" t="s">
        <v>2594</v>
      </c>
      <c r="G96" s="577" t="s">
        <v>2595</v>
      </c>
      <c r="H96" s="577"/>
      <c r="I96" s="577"/>
      <c r="J96" s="577"/>
      <c r="K96" s="577"/>
      <c r="L96" s="697"/>
      <c r="M96" s="621"/>
      <c r="N96" s="1152"/>
      <c r="O96" s="1152"/>
      <c r="P96" s="44"/>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4"/>
      <c r="O97" s="1154"/>
      <c r="P97" s="44"/>
      <c r="Q97" s="503"/>
    </row>
    <row r="98" spans="1:17" s="116" customFormat="1" ht="27.75" thickTop="1">
      <c r="A98" s="578"/>
      <c r="B98" s="537" t="s">
        <v>2778</v>
      </c>
      <c r="C98" s="572" t="s">
        <v>2591</v>
      </c>
      <c r="D98" s="572" t="s">
        <v>2592</v>
      </c>
      <c r="E98" s="572" t="s">
        <v>2593</v>
      </c>
      <c r="F98" s="572" t="s">
        <v>2594</v>
      </c>
      <c r="G98" s="572" t="s">
        <v>2595</v>
      </c>
      <c r="H98" s="577"/>
      <c r="I98" s="577"/>
      <c r="J98" s="577"/>
      <c r="K98" s="577"/>
      <c r="L98" s="577"/>
      <c r="M98" s="621"/>
      <c r="N98" s="1152"/>
      <c r="O98" s="1152"/>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4"/>
      <c r="O99" s="1154"/>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5"/>
      <c r="O100" s="1155"/>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5"/>
      <c r="O101" s="1155"/>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6"/>
      <c r="N102" s="1155"/>
      <c r="O102" s="1155"/>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6"/>
      <c r="N103" s="1155"/>
      <c r="O103" s="1155"/>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4"/>
      <c r="O105" s="1154"/>
      <c r="P105" s="44"/>
      <c r="Q105" s="503"/>
    </row>
    <row r="106" spans="1:17" ht="27.75" thickTop="1">
      <c r="A106" s="533"/>
      <c r="B106" s="537" t="s">
        <v>2685</v>
      </c>
      <c r="C106" s="3298" t="s">
        <v>4182</v>
      </c>
      <c r="D106" s="3298" t="s">
        <v>4183</v>
      </c>
      <c r="E106" s="3298" t="s">
        <v>4184</v>
      </c>
      <c r="F106" s="3298" t="s">
        <v>4185</v>
      </c>
      <c r="G106" s="3298" t="s">
        <v>4187</v>
      </c>
      <c r="H106" s="582"/>
      <c r="I106" s="582"/>
      <c r="J106" s="582"/>
      <c r="K106" s="583"/>
      <c r="L106" s="584"/>
      <c r="M106" s="585"/>
      <c r="N106" s="1153"/>
      <c r="O106" s="1153"/>
      <c r="P106" s="44"/>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4"/>
      <c r="O107" s="1154"/>
      <c r="P107" s="44"/>
      <c r="Q107" s="503"/>
    </row>
    <row r="108" spans="1:17" ht="15.75" thickTop="1">
      <c r="A108" s="533"/>
      <c r="B108" s="537" t="s">
        <v>2743</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4"/>
      <c r="O109" s="1154"/>
      <c r="P109" s="44"/>
      <c r="Q109" s="503"/>
    </row>
    <row r="110" spans="1:17" ht="15.75" hidden="1" thickTop="1">
      <c r="A110" s="533"/>
      <c r="B110" s="545">
        <f>B35</f>
        <v>0</v>
      </c>
      <c r="C110" s="553"/>
      <c r="D110" s="553"/>
      <c r="E110" s="553"/>
      <c r="F110" s="553"/>
      <c r="G110" s="586"/>
      <c r="H110" s="586"/>
      <c r="I110" s="586"/>
      <c r="J110" s="586"/>
      <c r="K110" s="587"/>
      <c r="L110" s="588"/>
      <c r="M110" s="589"/>
      <c r="N110" s="1153"/>
      <c r="O110" s="1153"/>
      <c r="P110" s="44"/>
      <c r="Q110" s="503"/>
    </row>
    <row r="111" spans="1:17" ht="15.75" hidden="1" thickBot="1">
      <c r="A111" s="533"/>
      <c r="B111" s="568"/>
      <c r="C111" s="559"/>
      <c r="D111" s="559"/>
      <c r="E111" s="559"/>
      <c r="F111" s="559"/>
      <c r="G111" s="590"/>
      <c r="H111" s="590"/>
      <c r="I111" s="590"/>
      <c r="J111" s="590"/>
      <c r="K111" s="590"/>
      <c r="L111" s="590"/>
      <c r="M111" s="591"/>
      <c r="N111" s="1154"/>
      <c r="O111" s="1154"/>
      <c r="P111" s="44"/>
      <c r="Q111" s="503"/>
    </row>
    <row r="112" spans="1:17" ht="15" hidden="1" thickTop="1">
      <c r="A112" s="674"/>
      <c r="B112" s="537">
        <f>B36</f>
        <v>0</v>
      </c>
      <c r="C112" s="522"/>
      <c r="D112" s="522"/>
      <c r="E112" s="522"/>
      <c r="F112" s="522"/>
      <c r="G112" s="582"/>
      <c r="H112" s="582"/>
      <c r="I112" s="582"/>
      <c r="J112" s="582"/>
      <c r="K112" s="583"/>
      <c r="L112" s="584"/>
      <c r="M112" s="585"/>
      <c r="N112" s="1153"/>
      <c r="O112" s="1153"/>
      <c r="P112" s="44"/>
      <c r="Q112" s="503"/>
    </row>
    <row r="113" spans="1:17" ht="15.75" hidden="1" thickBot="1">
      <c r="A113" s="533"/>
      <c r="B113" s="542"/>
      <c r="C113" s="569"/>
      <c r="D113" s="569"/>
      <c r="E113" s="569"/>
      <c r="F113" s="569"/>
      <c r="G113" s="535"/>
      <c r="H113" s="535"/>
      <c r="I113" s="535"/>
      <c r="J113" s="535"/>
      <c r="K113" s="535"/>
      <c r="L113" s="535"/>
      <c r="M113" s="536"/>
      <c r="N113" s="1154"/>
      <c r="O113" s="1154"/>
      <c r="P113" s="44"/>
      <c r="Q113" s="503"/>
    </row>
    <row r="114" spans="1:17" s="470" customFormat="1" ht="15" hidden="1" thickTop="1">
      <c r="A114" s="592"/>
      <c r="B114" s="593">
        <f>B37</f>
        <v>0</v>
      </c>
      <c r="C114" s="594"/>
      <c r="D114" s="594"/>
      <c r="E114" s="594"/>
      <c r="F114" s="594"/>
      <c r="G114" s="594"/>
      <c r="H114" s="594"/>
      <c r="I114" s="594"/>
      <c r="J114" s="595"/>
      <c r="K114" s="595"/>
      <c r="L114" s="596"/>
      <c r="M114" s="597"/>
      <c r="N114" s="1155"/>
      <c r="O114" s="1155"/>
      <c r="P114" s="557"/>
      <c r="Q114" s="558"/>
    </row>
    <row r="115" spans="1:17" s="470" customFormat="1" ht="15.75" hidden="1" thickBot="1">
      <c r="A115" s="552"/>
      <c r="B115" s="545"/>
      <c r="C115" s="511"/>
      <c r="D115" s="676"/>
      <c r="E115" s="676"/>
      <c r="F115" s="676"/>
      <c r="G115" s="676"/>
      <c r="H115" s="676"/>
      <c r="I115" s="676"/>
      <c r="J115" s="676"/>
      <c r="K115" s="676"/>
      <c r="L115" s="676"/>
      <c r="M115" s="698"/>
      <c r="N115" s="1154"/>
      <c r="O115" s="1154"/>
      <c r="P115" s="557"/>
      <c r="Q115" s="558"/>
    </row>
    <row r="116" spans="1:17" ht="15" thickTop="1">
      <c r="A116" s="526" t="s">
        <v>2557</v>
      </c>
      <c r="B116" s="527" t="s">
        <v>2783</v>
      </c>
      <c r="C116" s="528" t="str">
        <f>C117&amp;"(含)"&amp;"-"&amp;D117</f>
        <v>0(含)-50000</v>
      </c>
      <c r="D116" s="528" t="str">
        <f t="shared" ref="D116:M116" si="26">D117&amp;"(含)"&amp;"-"&amp;E117</f>
        <v>50000(含)-</v>
      </c>
      <c r="E116" s="528" t="str">
        <f t="shared" si="26"/>
        <v>(含)-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3"/>
      <c r="O116" s="1153"/>
      <c r="P116" s="44"/>
      <c r="Q116" s="503"/>
    </row>
    <row r="117" spans="1:17" ht="15">
      <c r="A117" s="533"/>
      <c r="B117" s="545"/>
      <c r="C117" s="594">
        <v>0</v>
      </c>
      <c r="D117" s="594">
        <v>50000</v>
      </c>
      <c r="E117" s="594"/>
      <c r="F117" s="594"/>
      <c r="G117" s="594"/>
      <c r="H117" s="594"/>
      <c r="I117" s="594"/>
      <c r="J117" s="595"/>
      <c r="K117" s="595"/>
      <c r="L117" s="596"/>
      <c r="M117" s="597"/>
      <c r="N117" s="1153"/>
      <c r="O117" s="1153"/>
      <c r="P117" s="44"/>
      <c r="Q117" s="503"/>
    </row>
    <row r="118" spans="1:17" ht="15.75" thickBot="1">
      <c r="A118" s="533"/>
      <c r="B118" s="542"/>
      <c r="C118" s="569">
        <v>100</v>
      </c>
      <c r="D118" s="590">
        <v>101</v>
      </c>
      <c r="E118" s="590"/>
      <c r="F118" s="590"/>
      <c r="G118" s="590"/>
      <c r="H118" s="590"/>
      <c r="I118" s="590"/>
      <c r="J118" s="590"/>
      <c r="K118" s="590"/>
      <c r="L118" s="590"/>
      <c r="M118" s="591"/>
      <c r="N118" s="1154"/>
      <c r="O118" s="1154"/>
      <c r="P118" s="44"/>
      <c r="Q118" s="503"/>
    </row>
    <row r="119" spans="1:17" ht="15" thickTop="1">
      <c r="A119" s="598"/>
      <c r="B119" s="537" t="s">
        <v>2784</v>
      </c>
      <c r="C119" s="3297" t="s">
        <v>4172</v>
      </c>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4"/>
      <c r="O120" s="1154"/>
      <c r="P120" s="44"/>
      <c r="Q120" s="503"/>
    </row>
    <row r="121" spans="1:17" ht="15" thickTop="1">
      <c r="A121" s="598"/>
      <c r="B121" s="537" t="s">
        <v>2785</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4"/>
      <c r="O122" s="1154"/>
      <c r="P122" s="44"/>
      <c r="Q122" s="503"/>
    </row>
    <row r="123" spans="1:17" s="470" customFormat="1" ht="15" thickTop="1">
      <c r="A123" s="592"/>
      <c r="B123" s="537" t="s">
        <v>2786</v>
      </c>
      <c r="C123" s="3298" t="s">
        <v>4173</v>
      </c>
      <c r="D123" s="3298" t="s">
        <v>4174</v>
      </c>
      <c r="E123" s="3298" t="s">
        <v>4176</v>
      </c>
      <c r="F123" s="3298" t="s">
        <v>4177</v>
      </c>
      <c r="G123" s="3298" t="s">
        <v>4179</v>
      </c>
      <c r="H123" s="582"/>
      <c r="I123" s="582"/>
      <c r="J123" s="582"/>
      <c r="K123" s="583"/>
      <c r="L123" s="584"/>
      <c r="M123" s="585"/>
      <c r="N123" s="1155"/>
      <c r="O123" s="1155"/>
      <c r="P123" s="557"/>
      <c r="Q123" s="558"/>
    </row>
    <row r="124" spans="1:17" s="470" customFormat="1" ht="15.75"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5"/>
      <c r="O124" s="1155"/>
      <c r="P124" s="557"/>
      <c r="Q124" s="558"/>
    </row>
    <row r="125" spans="1:17" ht="15" thickTop="1">
      <c r="A125" s="598"/>
      <c r="B125" s="537" t="s">
        <v>2787</v>
      </c>
      <c r="C125" s="3298" t="s">
        <v>4181</v>
      </c>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4"/>
      <c r="O126" s="1154"/>
      <c r="P126" s="44"/>
      <c r="Q126" s="503"/>
    </row>
    <row r="127" spans="1:17" ht="15" hidden="1" thickTop="1">
      <c r="A127" s="598"/>
      <c r="B127" s="537">
        <f>B43</f>
        <v>0</v>
      </c>
      <c r="C127" s="553"/>
      <c r="D127" s="553"/>
      <c r="E127" s="553"/>
      <c r="F127" s="553"/>
      <c r="G127" s="553"/>
      <c r="H127" s="582"/>
      <c r="I127" s="582"/>
      <c r="J127" s="582"/>
      <c r="K127" s="583"/>
      <c r="L127" s="584"/>
      <c r="M127" s="585"/>
      <c r="N127" s="1153"/>
      <c r="O127" s="1153"/>
      <c r="P127" s="44"/>
      <c r="Q127" s="503"/>
    </row>
    <row r="128" spans="1:17" ht="15.75" hidden="1" thickBot="1">
      <c r="A128" s="533"/>
      <c r="B128" s="542"/>
      <c r="C128" s="559"/>
      <c r="D128" s="559"/>
      <c r="E128" s="559"/>
      <c r="F128" s="559"/>
      <c r="G128" s="535"/>
      <c r="H128" s="535"/>
      <c r="I128" s="535"/>
      <c r="J128" s="535"/>
      <c r="K128" s="535"/>
      <c r="L128" s="535"/>
      <c r="M128" s="536"/>
      <c r="N128" s="1154"/>
      <c r="O128" s="1154"/>
      <c r="P128" s="44"/>
      <c r="Q128" s="503"/>
    </row>
    <row r="129" spans="1:17" ht="15" hidden="1" thickTop="1">
      <c r="A129" s="598"/>
      <c r="B129" s="537">
        <f>B44</f>
        <v>0</v>
      </c>
      <c r="C129" s="522"/>
      <c r="D129" s="522"/>
      <c r="E129" s="522"/>
      <c r="F129" s="522"/>
      <c r="G129" s="582"/>
      <c r="H129" s="582"/>
      <c r="I129" s="582"/>
      <c r="J129" s="582"/>
      <c r="K129" s="583"/>
      <c r="L129" s="584"/>
      <c r="M129" s="585"/>
      <c r="N129" s="1153"/>
      <c r="O129" s="1153"/>
      <c r="P129" s="44"/>
      <c r="Q129" s="503"/>
    </row>
    <row r="130" spans="1:17" ht="15.75" hidden="1" thickBot="1">
      <c r="A130" s="533"/>
      <c r="B130" s="542"/>
      <c r="C130" s="569"/>
      <c r="D130" s="569"/>
      <c r="E130" s="569"/>
      <c r="F130" s="569"/>
      <c r="G130" s="535"/>
      <c r="H130" s="535"/>
      <c r="I130" s="535"/>
      <c r="J130" s="535"/>
      <c r="K130" s="535"/>
      <c r="L130" s="535"/>
      <c r="M130" s="536"/>
      <c r="N130" s="1154"/>
      <c r="O130" s="1154"/>
      <c r="P130" s="44"/>
      <c r="Q130" s="503"/>
    </row>
    <row r="131" spans="1:17" s="470" customFormat="1" ht="15" hidden="1" thickTop="1">
      <c r="A131" s="592"/>
      <c r="B131" s="537">
        <f>B45</f>
        <v>0</v>
      </c>
      <c r="C131" s="522"/>
      <c r="D131" s="522"/>
      <c r="E131" s="522"/>
      <c r="F131" s="522"/>
      <c r="G131" s="554"/>
      <c r="H131" s="554"/>
      <c r="I131" s="554"/>
      <c r="J131" s="554"/>
      <c r="K131" s="554"/>
      <c r="L131" s="555"/>
      <c r="M131" s="556"/>
      <c r="N131" s="1155"/>
      <c r="O131" s="1155"/>
      <c r="P131" s="557"/>
      <c r="Q131" s="558"/>
    </row>
    <row r="132" spans="1:17" s="470" customFormat="1" ht="15.75" hidden="1" thickBot="1">
      <c r="A132" s="567"/>
      <c r="B132" s="699"/>
      <c r="C132" s="569"/>
      <c r="D132" s="569"/>
      <c r="E132" s="569"/>
      <c r="F132" s="569"/>
      <c r="G132" s="590"/>
      <c r="H132" s="590"/>
      <c r="I132" s="590"/>
      <c r="J132" s="590"/>
      <c r="K132" s="590"/>
      <c r="L132" s="590"/>
      <c r="M132" s="591"/>
      <c r="N132" s="1155"/>
      <c r="O132" s="1155"/>
      <c r="P132" s="557"/>
      <c r="Q132" s="558"/>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2453</v>
      </c>
      <c r="B1" s="1581"/>
      <c r="C1" s="1582"/>
      <c r="D1" s="1580"/>
      <c r="E1" s="319"/>
      <c r="F1" s="319"/>
      <c r="G1" s="1581"/>
      <c r="H1" s="319"/>
      <c r="I1" s="319"/>
      <c r="J1" s="319"/>
      <c r="K1" s="319">
        <f>MATCH(C1,'数据-取费表'!A6:A16,0)+5</f>
        <v>9</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7" customFormat="1" ht="16.5" customHeight="1">
      <c r="A4" s="954" t="s">
        <v>2456</v>
      </c>
      <c r="B4" s="955"/>
      <c r="C4" s="997">
        <f>SUM(C8:K8)</f>
        <v>0</v>
      </c>
      <c r="D4" s="955"/>
      <c r="E4" s="955"/>
      <c r="F4" s="955"/>
      <c r="G4" s="955"/>
      <c r="H4" s="955"/>
      <c r="I4" s="955"/>
      <c r="J4" s="955"/>
      <c r="K4" s="956"/>
    </row>
    <row r="5" spans="1:33" s="961" customFormat="1" ht="24.75">
      <c r="A5" s="958" t="s">
        <v>2457</v>
      </c>
      <c r="B5" s="959" t="s">
        <v>2458</v>
      </c>
      <c r="C5" s="2556" t="s">
        <v>2459</v>
      </c>
      <c r="D5" s="2556" t="s">
        <v>2460</v>
      </c>
      <c r="E5" s="2556" t="s">
        <v>2461</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2465</v>
      </c>
      <c r="B8" s="176" t="s">
        <v>2466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2467</v>
      </c>
      <c r="B9" s="955"/>
      <c r="C9" s="955"/>
      <c r="D9" s="955"/>
      <c r="E9" s="955"/>
      <c r="F9" s="955"/>
      <c r="G9" s="955"/>
      <c r="H9" s="955"/>
      <c r="I9" s="955"/>
      <c r="J9" s="955"/>
      <c r="K9" s="956"/>
    </row>
    <row r="10" spans="1:33" s="971" customFormat="1" ht="13.5" customHeight="1">
      <c r="A10" s="958" t="s">
        <v>2468</v>
      </c>
      <c r="B10" s="8" t="s">
        <v>2469</v>
      </c>
      <c r="C10" s="967" t="s">
        <v>2470</v>
      </c>
      <c r="D10" s="968" t="s">
        <v>2471</v>
      </c>
      <c r="E10" s="968" t="s">
        <v>2472</v>
      </c>
      <c r="F10" s="968" t="s">
        <v>2473</v>
      </c>
      <c r="G10" s="8"/>
      <c r="H10" s="969"/>
      <c r="I10" s="969"/>
      <c r="J10" s="969"/>
      <c r="K10" s="970"/>
    </row>
    <row r="11" spans="1:33" s="976" customFormat="1" ht="13.5" customHeight="1">
      <c r="A11" s="972" t="s">
        <v>1330</v>
      </c>
      <c r="B11" s="973" t="s">
        <v>2474</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1331</v>
      </c>
      <c r="B12" s="973" t="s">
        <v>2475</v>
      </c>
      <c r="C12" s="23">
        <f ca="1">ROUND(C11*F12,0)</f>
        <v>0</v>
      </c>
      <c r="D12" s="974"/>
      <c r="E12" s="374"/>
      <c r="F12" s="977">
        <f>'数据-取费表'!B33</f>
        <v>0.03</v>
      </c>
      <c r="G12" s="8" t="s">
        <v>2476</v>
      </c>
      <c r="H12" s="969"/>
      <c r="I12" s="969"/>
      <c r="J12" s="969"/>
      <c r="K12" s="970"/>
    </row>
    <row r="13" spans="1:33" s="976" customFormat="1" ht="13.5" customHeight="1">
      <c r="A13" s="972" t="s">
        <v>1332</v>
      </c>
      <c r="B13" s="973" t="s">
        <v>2477</v>
      </c>
      <c r="C13" s="23">
        <f ca="1">ROUND(IF(C1="",SUMIF('数据-取费表'!C:C,"住宅",'数据-取费表'!P:P)*F13,IF(INDIRECT("'数据-取费表'!c"&amp;$K$1)="住宅",INDIRECT("'数据-取费表'!P"&amp;$K$1)*F13,0)),0)</f>
        <v>0</v>
      </c>
      <c r="D13" s="1034"/>
      <c r="E13" s="374"/>
      <c r="F13" s="977">
        <f>'数据-取费表'!B34</f>
        <v>0</v>
      </c>
      <c r="G13" s="8" t="s">
        <v>2478</v>
      </c>
      <c r="H13" s="969"/>
      <c r="I13" s="969"/>
      <c r="J13" s="969"/>
      <c r="K13" s="970"/>
    </row>
    <row r="14" spans="1:33" s="978" customFormat="1" ht="13.5" customHeight="1">
      <c r="A14" s="972" t="s">
        <v>1333</v>
      </c>
      <c r="B14" s="973" t="s">
        <v>2479</v>
      </c>
      <c r="C14" s="23">
        <f ca="1">ROUND(D14*E14*F11/10000,0)</f>
        <v>0</v>
      </c>
      <c r="D14" s="1034">
        <f ca="1">IF(C1="",'数据-汇总表'!E3,INDIRECT("'数据-取费表'!K"&amp;$K$1)+INDIRECT("'数据-取费表'!S"&amp;$K$1))</f>
        <v>49991.200000000004</v>
      </c>
      <c r="E14" s="23">
        <f>'数据-取费表'!B35</f>
        <v>200</v>
      </c>
      <c r="F14" s="977"/>
      <c r="G14" s="8" t="s">
        <v>2480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2481</v>
      </c>
      <c r="C15" s="984">
        <f ca="1">ROUND(C11*F15,0)</f>
        <v>0</v>
      </c>
      <c r="D15" s="979"/>
      <c r="E15" s="984"/>
      <c r="F15" s="985">
        <f>'数据-取费表'!B36</f>
        <v>1.4999999999999999E-2</v>
      </c>
      <c r="G15" s="139" t="s">
        <v>2482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2483</v>
      </c>
      <c r="C16" s="984">
        <f ca="1">SUM(C11:C15)</f>
        <v>0</v>
      </c>
      <c r="D16" s="979"/>
      <c r="E16" s="984"/>
      <c r="F16" s="985"/>
      <c r="G16" s="139"/>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2484</v>
      </c>
      <c r="C17" s="23">
        <f ca="1">ROUND(D17*E17/10000,0)</f>
        <v>0</v>
      </c>
      <c r="D17" s="1034">
        <f ca="1">D14</f>
        <v>49991.200000000004</v>
      </c>
      <c r="E17" s="23">
        <f>'数据-取费表'!B32</f>
        <v>0</v>
      </c>
      <c r="F17" s="979"/>
      <c r="G17" s="139" t="s">
        <v>2485</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2486</v>
      </c>
      <c r="C18" s="23">
        <f ca="1">C19+C20-IF(C1="",'数据-取费表'!B29,IF(G18="已全部缴纳",C19+C20,H18))</f>
        <v>0</v>
      </c>
      <c r="D18" s="1034"/>
      <c r="E18" s="23"/>
      <c r="F18" s="977"/>
      <c r="G18" s="2558"/>
      <c r="H18" s="1577"/>
      <c r="I18" s="2559" t="s">
        <v>2487</v>
      </c>
      <c r="J18" s="980"/>
      <c r="K18" s="981"/>
    </row>
    <row r="19" spans="1:33" s="976" customFormat="1" ht="13.5" customHeight="1">
      <c r="A19" s="972" t="s">
        <v>805</v>
      </c>
      <c r="B19" s="973" t="s">
        <v>2488</v>
      </c>
      <c r="C19" s="23">
        <f ca="1">ROUND(D19*E19/10000,0)</f>
        <v>0</v>
      </c>
      <c r="D19" s="1034">
        <f ca="1">IF(C1="",'数据-汇总表'!E5,IF(INDIRECT("'数据-取费表'!c"&amp;$K$1)="住宅",INDIRECT("'数据-取费表'!k"&amp;$K$1),0))</f>
        <v>0</v>
      </c>
      <c r="E19" s="23">
        <f>'数据-取费表'!B27</f>
        <v>160</v>
      </c>
      <c r="F19" s="977"/>
      <c r="G19" s="14"/>
      <c r="H19" s="1579"/>
      <c r="I19" s="982"/>
      <c r="J19" s="982"/>
      <c r="K19" s="983"/>
    </row>
    <row r="20" spans="1:33" s="976" customFormat="1" ht="13.5" customHeight="1">
      <c r="A20" s="972" t="s">
        <v>806</v>
      </c>
      <c r="B20" s="973" t="s">
        <v>2489</v>
      </c>
      <c r="C20" s="23">
        <f ca="1">ROUND(D20*E20/10000,0)</f>
        <v>1000</v>
      </c>
      <c r="D20" s="1034">
        <f ca="1">IF(C1="",'数据-汇总表'!E6,IF(INDIRECT("'数据-取费表'!c"&amp;$K$1)="住宅",INDIRECT("'数据-取费表'!s"&amp;$K$1),INDIRECT("'数据-取费表'!k"&amp;$K$1)+INDIRECT("'数据-取费表'!s"&amp;$K$1)))</f>
        <v>49991.200000000004</v>
      </c>
      <c r="E20" s="23">
        <f>'数据-取费表'!B28</f>
        <v>200</v>
      </c>
      <c r="F20" s="977"/>
      <c r="G20" s="14"/>
      <c r="H20" s="982"/>
      <c r="I20" s="982"/>
      <c r="J20" s="982"/>
      <c r="K20" s="983"/>
    </row>
    <row r="21" spans="1:33" s="976" customFormat="1" ht="13.5" customHeight="1">
      <c r="A21" s="962" t="s">
        <v>802</v>
      </c>
      <c r="B21" s="986" t="s">
        <v>2490</v>
      </c>
      <c r="C21" s="987">
        <f ca="1">C16+C17+C18</f>
        <v>0</v>
      </c>
      <c r="D21" s="988"/>
      <c r="E21" s="324"/>
      <c r="F21" s="324"/>
      <c r="G21" s="139" t="s">
        <v>2491</v>
      </c>
      <c r="H21" s="980"/>
      <c r="I21" s="980"/>
      <c r="J21" s="980"/>
      <c r="K21" s="981"/>
    </row>
    <row r="22" spans="1:33" s="976" customFormat="1" ht="13.5" customHeight="1">
      <c r="A22" s="962" t="s">
        <v>2463</v>
      </c>
      <c r="B22" s="986" t="s">
        <v>2492</v>
      </c>
      <c r="C22" s="987">
        <f ca="1">ROUND(C21*F22,0)</f>
        <v>0</v>
      </c>
      <c r="D22" s="324"/>
      <c r="E22" s="324"/>
      <c r="F22" s="989">
        <f>'数据-取费表'!B37</f>
        <v>1.4999999999999999E-2</v>
      </c>
      <c r="G22" s="8" t="s">
        <v>2493</v>
      </c>
      <c r="H22" s="969"/>
      <c r="I22" s="969"/>
      <c r="J22" s="969"/>
      <c r="K22" s="970"/>
    </row>
    <row r="23" spans="1:33" s="976" customFormat="1" ht="13.5" customHeight="1">
      <c r="A23" s="962" t="s">
        <v>2465</v>
      </c>
      <c r="B23" s="986" t="s">
        <v>2494</v>
      </c>
      <c r="C23" s="987">
        <f ca="1">ROUND(C4*F23*F11,0)</f>
        <v>0</v>
      </c>
      <c r="D23" s="324"/>
      <c r="E23" s="324"/>
      <c r="F23" s="989">
        <f>'数据-取费表'!B38</f>
        <v>2.5000000000000001E-2</v>
      </c>
      <c r="G23" s="8" t="s">
        <v>2495</v>
      </c>
      <c r="H23" s="969"/>
      <c r="I23" s="969"/>
      <c r="J23" s="969"/>
      <c r="K23" s="970"/>
    </row>
    <row r="24" spans="1:33" s="976" customFormat="1" ht="13.5" customHeight="1">
      <c r="A24" s="962" t="s">
        <v>2496</v>
      </c>
      <c r="B24" s="986" t="s">
        <v>2497</v>
      </c>
      <c r="C24" s="323">
        <f>ROUND(F24/(1+'数据-取费表'!C42),4)</f>
        <v>2.9000000000000001E-2</v>
      </c>
      <c r="D24" s="324" t="s">
        <v>15</v>
      </c>
      <c r="E24" s="324"/>
      <c r="F24" s="989">
        <f>'数据-取费表'!B48+'数据-取费表'!B49</f>
        <v>3.0499999999999999E-2</v>
      </c>
      <c r="G24" s="8" t="s">
        <v>2498</v>
      </c>
      <c r="H24" s="991"/>
      <c r="I24" s="991"/>
      <c r="J24" s="991"/>
      <c r="K24" s="992"/>
    </row>
    <row r="25" spans="1:33" s="976" customFormat="1" ht="13.5" customHeight="1">
      <c r="A25" s="962" t="s">
        <v>2499</v>
      </c>
      <c r="B25" s="988" t="s">
        <v>2500</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2501</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2502</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0"/>
      <c r="I27" s="980"/>
      <c r="J27" s="980"/>
      <c r="K27" s="981"/>
    </row>
    <row r="28" spans="1:33" s="332" customFormat="1" ht="13.5" customHeight="1">
      <c r="A28" s="962" t="s">
        <v>2503</v>
      </c>
      <c r="B28" s="2561" t="s">
        <v>2504</v>
      </c>
      <c r="C28" s="330">
        <f ca="1">C30</f>
        <v>0</v>
      </c>
      <c r="D28" s="323">
        <f ca="1">C29</f>
        <v>0</v>
      </c>
      <c r="E28" s="325" t="s">
        <v>15</v>
      </c>
      <c r="F28" s="331">
        <f ca="1">IF(C1="",'数据-取费表'!Q16,INDIRECT("'数据-取费表'!q"&amp;$K$1))</f>
        <v>0.1</v>
      </c>
      <c r="G28" s="990"/>
      <c r="H28" s="991"/>
      <c r="I28" s="991"/>
      <c r="J28" s="991"/>
      <c r="K28" s="992"/>
    </row>
    <row r="29" spans="1:33" s="334" customFormat="1" ht="13.5" customHeight="1">
      <c r="A29" s="972" t="s">
        <v>803</v>
      </c>
      <c r="B29" s="995" t="s">
        <v>2505</v>
      </c>
      <c r="C29" s="327">
        <f ca="1">ROUND((1+C24)*F28*'数据-取费表'!B24/'数据-取费表'!B20,4)</f>
        <v>0</v>
      </c>
      <c r="D29" s="327"/>
      <c r="E29" s="328"/>
      <c r="F29" s="333"/>
      <c r="G29" s="139" t="s">
        <v>2506</v>
      </c>
      <c r="H29" s="980"/>
      <c r="I29" s="980"/>
      <c r="J29" s="980"/>
      <c r="K29" s="981"/>
    </row>
    <row r="30" spans="1:33" s="334" customFormat="1" ht="13.5" customHeight="1">
      <c r="A30" s="972" t="s">
        <v>804</v>
      </c>
      <c r="B30" s="995" t="s">
        <v>2507</v>
      </c>
      <c r="C30" s="335">
        <f ca="1">ROUND((C21+C22+C23)*F28,0)</f>
        <v>0</v>
      </c>
      <c r="D30" s="327"/>
      <c r="E30" s="328"/>
      <c r="F30" s="333"/>
      <c r="G30" s="139"/>
      <c r="H30" s="980"/>
      <c r="I30" s="980"/>
      <c r="J30" s="980"/>
      <c r="K30" s="981"/>
    </row>
    <row r="31" spans="1:33" s="976" customFormat="1" ht="13.5" customHeight="1" thickBot="1">
      <c r="A31" s="2562" t="s">
        <v>2508</v>
      </c>
      <c r="B31" s="1006" t="s">
        <v>2509</v>
      </c>
      <c r="C31" s="1007">
        <f>ROUND(C4*F31/(1+'数据-取费表'!C42),0)</f>
        <v>0</v>
      </c>
      <c r="D31" s="1008"/>
      <c r="E31" s="1009"/>
      <c r="F31" s="1010">
        <f>'数据-取费表'!B41</f>
        <v>5.6000000000000001E-2</v>
      </c>
      <c r="G31" s="1011" t="s">
        <v>2510</v>
      </c>
      <c r="H31" s="1012"/>
      <c r="I31" s="1012"/>
      <c r="J31" s="1012"/>
      <c r="K31" s="1013"/>
    </row>
    <row r="32" spans="1:33" s="971" customFormat="1" ht="13.5" customHeight="1" thickBot="1">
      <c r="A32" s="1001" t="s">
        <v>2511</v>
      </c>
      <c r="B32" s="1002"/>
      <c r="C32" s="1003">
        <f ca="1">ROUND((C4-C21-C22-C23-C25-C28-C31)/(1+C24+D25+D28),0)</f>
        <v>0</v>
      </c>
      <c r="D32" s="1002"/>
      <c r="E32" s="1002"/>
      <c r="F32" s="1002"/>
      <c r="G32" s="1004" t="s">
        <v>2512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c r="D1" s="1820"/>
      <c r="E1" s="1821" t="s">
        <v>1383</v>
      </c>
      <c r="F1" s="1284" t="b">
        <f>J53</f>
        <v>0</v>
      </c>
      <c r="G1" s="1836">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3"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3">
        <f ca="1">C6+C10+C12</f>
        <v>0</v>
      </c>
      <c r="D5" s="1822" t="s">
        <v>1597</v>
      </c>
      <c r="E5" s="1294"/>
      <c r="F5" s="1295"/>
      <c r="G5" s="1851"/>
      <c r="H5" s="343">
        <v>1</v>
      </c>
      <c r="I5" s="344" t="s">
        <v>1596</v>
      </c>
      <c r="J5" s="1293">
        <f ca="1">J6+J10+J12</f>
        <v>0</v>
      </c>
      <c r="K5" s="1822" t="s">
        <v>1597</v>
      </c>
      <c r="L5" s="1294"/>
      <c r="M5" s="1295"/>
    </row>
    <row r="6" spans="1:37" ht="18" customHeight="1">
      <c r="A6" s="1292" t="s">
        <v>1032</v>
      </c>
      <c r="B6" s="3143" t="s">
        <v>1399</v>
      </c>
      <c r="C6" s="1297">
        <f ca="1">ROUND(F6*F8*F7*(1-F9),0)</f>
        <v>0</v>
      </c>
      <c r="D6" s="163" t="s">
        <v>3023</v>
      </c>
      <c r="E6" s="346" t="s">
        <v>1401</v>
      </c>
      <c r="F6" s="347">
        <f ca="1">INDIRECT("'数据-取费表'!u"&amp;$G$1)</f>
        <v>0</v>
      </c>
      <c r="G6" s="1851"/>
      <c r="H6" s="1292" t="s">
        <v>1032</v>
      </c>
      <c r="I6" s="3143" t="s">
        <v>1399</v>
      </c>
      <c r="J6" s="345">
        <f ca="1">ROUND(M6*M8*M7*(1-M9),0)</f>
        <v>0</v>
      </c>
      <c r="K6" s="1834" t="s">
        <v>3024</v>
      </c>
      <c r="L6" s="346" t="s">
        <v>1401</v>
      </c>
      <c r="M6" s="347">
        <f ca="1">INDIRECT("'数据-取费表'!z"&amp;$G$1)</f>
        <v>0</v>
      </c>
    </row>
    <row r="7" spans="1:37" ht="18" customHeight="1">
      <c r="A7" s="1296"/>
      <c r="B7" s="3144"/>
      <c r="C7" s="1298"/>
      <c r="D7" s="351"/>
      <c r="E7" s="1299" t="s">
        <v>1402</v>
      </c>
      <c r="F7" s="347">
        <f ca="1">IF(INDIRECT("'数据-取费表'!ah"&amp;$G$1)="",INDIRECT("'数据-取费表'!k"&amp;$G$1),INDIRECT("'数据-取费表'!ah"&amp;$G$1))</f>
        <v>0</v>
      </c>
      <c r="G7" s="1851"/>
      <c r="H7" s="348"/>
      <c r="I7" s="3144"/>
      <c r="J7" s="350"/>
      <c r="K7" s="351"/>
      <c r="L7" s="346" t="s">
        <v>1402</v>
      </c>
      <c r="M7" s="347">
        <f ca="1">F7</f>
        <v>0</v>
      </c>
    </row>
    <row r="8" spans="1:37" ht="18" customHeight="1">
      <c r="A8" s="348"/>
      <c r="B8" s="3144"/>
      <c r="C8" s="350"/>
      <c r="D8" s="351"/>
      <c r="E8" s="346" t="s">
        <v>1403</v>
      </c>
      <c r="F8" s="347">
        <f ca="1">INDIRECT("'数据-取费表'!ai"&amp;$G$1)</f>
        <v>0</v>
      </c>
      <c r="G8" s="1851"/>
      <c r="H8" s="348"/>
      <c r="I8" s="3144"/>
      <c r="J8" s="350"/>
      <c r="K8" s="351"/>
      <c r="L8" s="346" t="s">
        <v>1403</v>
      </c>
      <c r="M8" s="347">
        <f ca="1">INDIRECT("'数据-取费表'!ai"&amp;$G$1)</f>
        <v>0</v>
      </c>
    </row>
    <row r="9" spans="1:37" ht="18" customHeight="1">
      <c r="A9" s="348"/>
      <c r="B9" s="3145"/>
      <c r="C9" s="350"/>
      <c r="D9" s="351"/>
      <c r="E9" s="346" t="s">
        <v>1404</v>
      </c>
      <c r="F9" s="356">
        <f ca="1">INDIRECT("'数据-取费表'!w"&amp;$G$1)</f>
        <v>0</v>
      </c>
      <c r="G9" s="1851"/>
      <c r="H9" s="348"/>
      <c r="I9" s="3145"/>
      <c r="J9" s="350"/>
      <c r="K9" s="351"/>
      <c r="L9" s="357" t="s">
        <v>1404</v>
      </c>
      <c r="M9" s="358">
        <f ca="1">INDIRECT("'数据-取费表'!ab"&amp;$G$1)</f>
        <v>0</v>
      </c>
    </row>
    <row r="10" spans="1:37" ht="18"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35" t="s">
        <v>3036</v>
      </c>
      <c r="L10" s="357" t="s">
        <v>1406</v>
      </c>
      <c r="M10" s="1367"/>
    </row>
    <row r="11" spans="1:37" ht="18" customHeight="1">
      <c r="A11" s="352"/>
      <c r="B11" s="1825" t="s">
        <v>1598</v>
      </c>
      <c r="C11" s="1179"/>
      <c r="D11" s="351"/>
      <c r="E11" s="357" t="s">
        <v>1408</v>
      </c>
      <c r="F11" s="358">
        <f ca="1">'数据-取费表'!B39</f>
        <v>1.4999999999999999E-2</v>
      </c>
      <c r="G11" s="1851"/>
      <c r="H11" s="1300"/>
      <c r="I11" s="1825" t="s">
        <v>1599</v>
      </c>
      <c r="J11" s="1179"/>
      <c r="K11" s="747"/>
      <c r="L11" s="357" t="s">
        <v>1408</v>
      </c>
      <c r="M11" s="1057">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4">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6" t="s">
        <v>1413</v>
      </c>
      <c r="C14" s="362">
        <f ca="1">ROUND(INDIRECT("'数据-取费表'!l"&amp;$G$1)*F43+'数据-取费表'!L14*INDIRECT("'数据-取费表'!S"&amp;$G$1),0)</f>
        <v>0</v>
      </c>
      <c r="D14" s="1800" t="s">
        <v>1414</v>
      </c>
      <c r="E14" s="1794"/>
      <c r="F14" s="363"/>
      <c r="G14" s="1851"/>
      <c r="H14" s="1202" t="s">
        <v>1032</v>
      </c>
      <c r="I14" s="346" t="s">
        <v>1415</v>
      </c>
      <c r="J14" s="23">
        <f ca="1">C29</f>
        <v>0</v>
      </c>
      <c r="K14" s="14"/>
      <c r="L14" s="980"/>
      <c r="M14" s="981"/>
    </row>
    <row r="15" spans="1:37" s="1858" customFormat="1" ht="18" customHeight="1" thickBot="1">
      <c r="A15" s="1202" t="s">
        <v>1033</v>
      </c>
      <c r="B15" s="346" t="s">
        <v>1416</v>
      </c>
      <c r="C15" s="23">
        <f ca="1">ROUND(C14*F15,0)</f>
        <v>0</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ROUND(INDIRECT("'数据-取费表'!l"&amp;$G$1)*F43*F16,0)</f>
        <v>0</v>
      </c>
      <c r="D16" s="346" t="s">
        <v>1417</v>
      </c>
      <c r="E16" s="346" t="s">
        <v>1418</v>
      </c>
      <c r="F16" s="366">
        <f ca="1">IF(INDIRECT("'数据-取费表'!c"&amp;$G$1)="住宅",'数据-取费表'!B34,0)</f>
        <v>0</v>
      </c>
      <c r="G16" s="1851"/>
      <c r="H16" s="1330" t="s">
        <v>1027</v>
      </c>
      <c r="I16" s="1331" t="s">
        <v>1420</v>
      </c>
      <c r="J16" s="354">
        <f ca="1">ROUND(J17+J22+J23+J24,0)</f>
        <v>0</v>
      </c>
      <c r="K16" s="1338" t="s">
        <v>1421</v>
      </c>
      <c r="L16" s="1339"/>
      <c r="M16" s="1295"/>
    </row>
    <row r="17" spans="1:37" s="1858" customFormat="1" ht="18" customHeight="1">
      <c r="A17" s="1202" t="s">
        <v>1386</v>
      </c>
      <c r="B17" s="346" t="s">
        <v>1422</v>
      </c>
      <c r="C17" s="23">
        <f ca="1">ROUND(F17*(F43+INDIRECT("'数据-取费表'!S"&amp;$G$1)),0)</f>
        <v>0</v>
      </c>
      <c r="D17" s="346" t="s">
        <v>1423</v>
      </c>
      <c r="E17" s="346" t="s">
        <v>1424</v>
      </c>
      <c r="F17" s="25">
        <f>'数据-取费表'!B35</f>
        <v>200</v>
      </c>
      <c r="G17" s="1854"/>
      <c r="H17" s="1202" t="s">
        <v>1032</v>
      </c>
      <c r="I17" s="346" t="s">
        <v>1425</v>
      </c>
      <c r="J17" s="23">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0</v>
      </c>
      <c r="D18" s="346" t="s">
        <v>1417</v>
      </c>
      <c r="E18" s="346" t="s">
        <v>1418</v>
      </c>
      <c r="F18" s="366">
        <f>'数据-取费表'!B36</f>
        <v>1.4999999999999999E-2</v>
      </c>
      <c r="G18" s="1854"/>
      <c r="H18" s="1202" t="s">
        <v>1031</v>
      </c>
      <c r="I18" s="346" t="s">
        <v>1429</v>
      </c>
      <c r="J18" s="23">
        <f ca="1">ROUND(J5*M18/(1+'数据-取费表'!C42),0)</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0</v>
      </c>
      <c r="D19" s="139" t="s">
        <v>1432</v>
      </c>
      <c r="E19" s="1818"/>
      <c r="F19" s="25"/>
      <c r="G19" s="1851"/>
      <c r="H19" s="1202" t="s">
        <v>1033</v>
      </c>
      <c r="I19" s="346" t="s">
        <v>1433</v>
      </c>
      <c r="J19" s="23">
        <f ca="1">IF(K19="按租金收入计税",ROUND(J5*M19,0),ROUND(C29*M19*0.7,0))</f>
        <v>0</v>
      </c>
      <c r="K19" s="1828" t="s">
        <v>1434</v>
      </c>
      <c r="L19" s="346" t="s">
        <v>1418</v>
      </c>
      <c r="M19" s="366">
        <f>IF(K19="按租金收入计税",'数据-取费表'!B51,'数据-取费表'!B50)</f>
        <v>1.2E-2</v>
      </c>
    </row>
    <row r="20" spans="1:37" s="1858" customFormat="1" ht="18" customHeight="1">
      <c r="A20" s="1202" t="s">
        <v>1036</v>
      </c>
      <c r="B20" s="346" t="s">
        <v>1435</v>
      </c>
      <c r="C20" s="23">
        <f ca="1">ROUND(C19*F20,0)</f>
        <v>0</v>
      </c>
      <c r="D20" s="368" t="s">
        <v>1436</v>
      </c>
      <c r="E20" s="346" t="s">
        <v>1418</v>
      </c>
      <c r="F20" s="366">
        <f>'数据-取费表'!B37</f>
        <v>1.4999999999999999E-2</v>
      </c>
      <c r="G20" s="1854"/>
      <c r="H20" s="1202" t="s">
        <v>1385</v>
      </c>
      <c r="I20" s="163" t="s">
        <v>1437</v>
      </c>
      <c r="J20" s="24">
        <f ca="1">ROUND(M20*M21,0)</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v>
      </c>
      <c r="D21" s="368" t="s">
        <v>1441</v>
      </c>
      <c r="E21" s="346" t="s">
        <v>1442</v>
      </c>
      <c r="F21" s="366">
        <f>'数据-取费表'!B38</f>
        <v>2.5000000000000001E-2</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ROUND(J14*M22,0)</f>
        <v>0</v>
      </c>
      <c r="K22" s="1798" t="s">
        <v>1446</v>
      </c>
      <c r="L22" s="346" t="s">
        <v>1418</v>
      </c>
      <c r="M22" s="373">
        <f ca="1">INDIRECT("'数据-取费表'!Ak"&amp;$G$1)</f>
        <v>0</v>
      </c>
    </row>
    <row r="23" spans="1:37" s="1858" customFormat="1" ht="18" customHeight="1">
      <c r="A23" s="1202"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ROUND(J13*M23,0)</f>
        <v>0</v>
      </c>
      <c r="K23" s="1798" t="s">
        <v>1450</v>
      </c>
      <c r="L23" s="346" t="s">
        <v>1451</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6" t="s">
        <v>1457</v>
      </c>
      <c r="C25" s="23"/>
      <c r="D25" s="139" t="s">
        <v>1458</v>
      </c>
      <c r="E25" s="1818"/>
      <c r="F25" s="25"/>
      <c r="G25" s="1851"/>
      <c r="H25" s="1330" t="s">
        <v>1028</v>
      </c>
      <c r="I25" s="1345" t="s">
        <v>1459</v>
      </c>
      <c r="J25" s="354">
        <f ca="1">J5-J16</f>
        <v>0</v>
      </c>
      <c r="K25" s="1346" t="s">
        <v>1460</v>
      </c>
      <c r="L25" s="1347"/>
      <c r="M25" s="1348"/>
    </row>
    <row r="26" spans="1:37" ht="18" customHeight="1">
      <c r="A26" s="1202"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2"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0</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ROUND(IF(项目基本情况!B11="自然人",C5*F31,C32+C33+C34),0)</f>
        <v>0</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IF(项目基本情况!B11="自然人","——",ROUND(C5*F32/(1+'数据-取费表'!C42),0))</f>
        <v>0</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2" t="s">
        <v>1385</v>
      </c>
      <c r="B34" s="163" t="s">
        <v>1437</v>
      </c>
      <c r="C34" s="24">
        <f ca="1">IF(项目基本情况!B11="自然人","——",ROUND(F34*F35,))</f>
        <v>0</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0</v>
      </c>
      <c r="G35" s="1851"/>
      <c r="H35" s="744"/>
      <c r="I35" s="1860"/>
      <c r="J35" s="1861"/>
      <c r="K35" s="1862"/>
      <c r="L35" s="1859"/>
      <c r="M35" s="1859"/>
    </row>
    <row r="36" spans="1:18" ht="18" customHeight="1">
      <c r="A36" s="1353" t="s">
        <v>1036</v>
      </c>
      <c r="B36" s="346" t="s">
        <v>1445</v>
      </c>
      <c r="C36" s="23">
        <f ca="1">ROUND(C29*F36,0)</f>
        <v>0</v>
      </c>
      <c r="D36" s="1798" t="s">
        <v>1478</v>
      </c>
      <c r="E36" s="346" t="s">
        <v>1418</v>
      </c>
      <c r="F36" s="373">
        <f ca="1">INDIRECT("'数据-取费表'!Ak"&amp;$G$1)</f>
        <v>0</v>
      </c>
      <c r="G36" s="1851"/>
      <c r="H36" s="1859"/>
      <c r="I36" s="1860"/>
      <c r="J36" s="1861"/>
      <c r="K36" s="750"/>
      <c r="L36" s="1859"/>
      <c r="M36" s="1859"/>
    </row>
    <row r="37" spans="1:18" ht="18" customHeight="1">
      <c r="A37" s="1202" t="s">
        <v>1072</v>
      </c>
      <c r="B37" s="346" t="s">
        <v>1449</v>
      </c>
      <c r="C37" s="23">
        <f ca="1">ROUND(C13*F37,0)</f>
        <v>0</v>
      </c>
      <c r="D37" s="1798" t="s">
        <v>1450</v>
      </c>
      <c r="E37" s="346" t="s">
        <v>1451</v>
      </c>
      <c r="F37" s="375">
        <f ca="1">INDIRECT("'数据-取费表'!Al"&amp;$G$1)</f>
        <v>0</v>
      </c>
      <c r="G37" s="1851"/>
      <c r="H37" s="1859"/>
      <c r="I37" s="1860"/>
      <c r="J37" s="1861"/>
      <c r="K37" s="750"/>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4">
        <f ca="1">C5-C30</f>
        <v>0</v>
      </c>
      <c r="D39" s="1346" t="s">
        <v>1480</v>
      </c>
      <c r="E39" s="1347"/>
      <c r="F39" s="1348"/>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1473</v>
      </c>
      <c r="F42" s="356">
        <f ca="1">INDIRECT("'数据-取费表'!v"&amp;$G$1)</f>
        <v>0</v>
      </c>
      <c r="G42" s="1851"/>
      <c r="H42" s="731"/>
      <c r="I42" s="1860"/>
      <c r="J42" s="1861"/>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1"/>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4" t="s">
        <v>1397</v>
      </c>
      <c r="C48" s="1817">
        <f ca="1">C49+C53+C55</f>
        <v>0</v>
      </c>
      <c r="D48" s="1363"/>
      <c r="E48" s="1364"/>
      <c r="F48" s="1182"/>
      <c r="G48" s="791"/>
      <c r="H48" s="792"/>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2"/>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2"/>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8" t="s">
        <v>1405</v>
      </c>
      <c r="C53" s="360">
        <f ca="1">ROUND(IF(F53="押一",C49/12*F11,IF(F53="押二",C49/12*2*F11,IF(F53="押三",C49/12*3*F11,C54*F11))),0)</f>
        <v>0</v>
      </c>
      <c r="D53" s="1824" t="s">
        <v>3037</v>
      </c>
      <c r="E53" s="357"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141" t="s">
        <v>1544</v>
      </c>
      <c r="L53" s="3142"/>
      <c r="O53" s="1884" t="s">
        <v>1043</v>
      </c>
      <c r="P53" s="1885" t="s">
        <v>1545</v>
      </c>
      <c r="Q53" s="1886" t="e">
        <f ca="1">Q47+Q48</f>
        <v>#DIV/0!</v>
      </c>
      <c r="R53" s="1886" t="s">
        <v>1044</v>
      </c>
    </row>
    <row r="54" spans="1:18" s="1842" customFormat="1" ht="13.5"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5">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70" t="s">
        <v>1474</v>
      </c>
      <c r="C57" s="281">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9" t="s">
        <v>1027</v>
      </c>
      <c r="B58" s="1178" t="s">
        <v>1420</v>
      </c>
      <c r="C58" s="360">
        <f ca="1">ROUND(C59+C64+C65+C66,0)</f>
        <v>0</v>
      </c>
      <c r="D58" s="1180" t="s">
        <v>1421</v>
      </c>
      <c r="E58" s="1181"/>
      <c r="F58" s="1182"/>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ROUND(IF(项目基本情况!B11="自然人",C48*F59,C60+C61+C62),0)</f>
        <v>0</v>
      </c>
      <c r="D59" s="1183" t="s">
        <v>1426</v>
      </c>
      <c r="E59" s="1184" t="s">
        <v>1427</v>
      </c>
      <c r="F59" s="367"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IF(项目基本情况!B11="自然人","——",ROUND(C48*F60/(1+'数据-取费表'!C42),0))</f>
        <v>0</v>
      </c>
      <c r="D60" s="1184" t="s">
        <v>1430</v>
      </c>
      <c r="E60" s="1170" t="s">
        <v>1418</v>
      </c>
      <c r="F60" s="376">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IF(项目基本情况!B11="自然人","——",IF(D61="按租金收入计税",ROUND(C48*F61,0),IF(D61="按房产原值计税",ROUND(C57*F61*0.7,0),INDIRECT("'数据-取费表'!Aj"&amp;$G$1))))</f>
        <v>0</v>
      </c>
      <c r="D61" s="1828" t="s">
        <v>1434</v>
      </c>
      <c r="E61" s="1170" t="s">
        <v>1490</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2" t="s">
        <v>1491</v>
      </c>
      <c r="B62" s="1169" t="s">
        <v>1492</v>
      </c>
      <c r="C62" s="24">
        <f ca="1">IF(项目基本情况!B11="自然人","——",ROUND(F62*F63,0))</f>
        <v>0</v>
      </c>
      <c r="D62" s="1185" t="s">
        <v>1493</v>
      </c>
      <c r="E62" s="1170" t="s">
        <v>1494</v>
      </c>
      <c r="F62" s="370">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1"/>
      <c r="B63" s="1176"/>
      <c r="C63" s="28"/>
      <c r="D63" s="1186"/>
      <c r="E63" s="1170"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ROUND(C57*F64,0)</f>
        <v>0</v>
      </c>
      <c r="D64" s="1184" t="s">
        <v>1498</v>
      </c>
      <c r="E64" s="1170" t="s">
        <v>1490</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ROUND(C56*F65,0)</f>
        <v>0</v>
      </c>
      <c r="D65" s="1184" t="s">
        <v>1450</v>
      </c>
      <c r="E65" s="1170" t="s">
        <v>1451</v>
      </c>
      <c r="F65" s="375">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2" t="s">
        <v>1500</v>
      </c>
      <c r="B66" s="1170" t="s">
        <v>1435</v>
      </c>
      <c r="C66" s="23">
        <f ca="1">ROUND(C48*F66,0)</f>
        <v>0</v>
      </c>
      <c r="D66" s="1184" t="s">
        <v>1501</v>
      </c>
      <c r="E66" s="1170" t="s">
        <v>1418</v>
      </c>
      <c r="F66" s="356">
        <f t="shared" ca="1" si="0"/>
        <v>0</v>
      </c>
      <c r="O66" s="1884" t="s">
        <v>1038</v>
      </c>
      <c r="P66" s="1885" t="s">
        <v>1554</v>
      </c>
      <c r="Q66" s="1886" t="e">
        <f ca="1">L60</f>
        <v>#DIV/0!</v>
      </c>
      <c r="R66" s="1886" t="s">
        <v>1577</v>
      </c>
    </row>
    <row r="67" spans="1:18" s="1842" customFormat="1" ht="16.5" thickBot="1">
      <c r="A67" s="1177" t="s">
        <v>1028</v>
      </c>
      <c r="B67" s="1187" t="s">
        <v>1459</v>
      </c>
      <c r="C67" s="360">
        <f ca="1">C48-C58</f>
        <v>0</v>
      </c>
      <c r="D67" s="1183" t="s">
        <v>1460</v>
      </c>
      <c r="E67" s="1188"/>
      <c r="F67" s="1189"/>
      <c r="O67" s="1894" t="s">
        <v>1039</v>
      </c>
      <c r="P67" s="1885" t="s">
        <v>1558</v>
      </c>
      <c r="Q67" s="1933">
        <f ca="1">L51</f>
        <v>0</v>
      </c>
      <c r="R67" s="1886" t="s">
        <v>1578</v>
      </c>
    </row>
    <row r="68" spans="1:18" s="1842" customFormat="1" ht="16.5" thickBot="1">
      <c r="A68" s="1167" t="s">
        <v>1029</v>
      </c>
      <c r="B68" s="1168" t="s">
        <v>1481</v>
      </c>
      <c r="C68" s="345" t="e">
        <f ca="1">ROUND(C67*(1-((1+F70)/(1+F68))^F69)/(F68-F70),0)</f>
        <v>#DIV/0!</v>
      </c>
      <c r="D68" s="1185" t="s">
        <v>1465</v>
      </c>
      <c r="E68" s="1170" t="s">
        <v>1466</v>
      </c>
      <c r="F68" s="356">
        <f ca="1">F40</f>
        <v>0</v>
      </c>
      <c r="O68" s="1894" t="s">
        <v>1040</v>
      </c>
      <c r="P68" s="1934" t="s">
        <v>1579</v>
      </c>
      <c r="Q68" s="1886">
        <f ca="1">ROUND(Q69-Q70*Q71,0)</f>
        <v>0</v>
      </c>
      <c r="R68" s="1886" t="s">
        <v>1048</v>
      </c>
    </row>
    <row r="69" spans="1:18" s="1842" customFormat="1" ht="13.5" thickBot="1">
      <c r="A69" s="1171"/>
      <c r="B69" s="1172"/>
      <c r="C69" s="350"/>
      <c r="D69" s="1190" t="s">
        <v>1469</v>
      </c>
      <c r="E69" s="1170" t="s">
        <v>1470</v>
      </c>
      <c r="F69" s="378">
        <f ca="1">F41</f>
        <v>0</v>
      </c>
      <c r="O69" s="1894" t="s">
        <v>1045</v>
      </c>
      <c r="P69" s="1934" t="s">
        <v>1580</v>
      </c>
      <c r="Q69" s="1886">
        <f ca="1">C39</f>
        <v>0</v>
      </c>
      <c r="R69" s="1886" t="s">
        <v>1525</v>
      </c>
    </row>
    <row r="70" spans="1:18" s="1842" customFormat="1" ht="13.5" thickBot="1">
      <c r="A70" s="1174"/>
      <c r="B70" s="1175"/>
      <c r="C70" s="354"/>
      <c r="D70" s="1186"/>
      <c r="E70" s="1170" t="s">
        <v>1473</v>
      </c>
      <c r="F70" s="1276">
        <f ca="1">F42</f>
        <v>0</v>
      </c>
      <c r="O70" s="1894" t="s">
        <v>1046</v>
      </c>
      <c r="P70" s="1934" t="s">
        <v>1581</v>
      </c>
      <c r="Q70" s="1886">
        <f ca="1">C13</f>
        <v>0</v>
      </c>
      <c r="R70" s="1886" t="s">
        <v>1525</v>
      </c>
    </row>
    <row r="71" spans="1:18" s="1842" customFormat="1" ht="13.5" thickBot="1">
      <c r="A71" s="1191" t="s">
        <v>1030</v>
      </c>
      <c r="B71" s="1192" t="s">
        <v>1483</v>
      </c>
      <c r="C71" s="381" t="e">
        <f ca="1">ROUND(C68/F71,0)</f>
        <v>#DIV/0!</v>
      </c>
      <c r="D71" s="1193" t="s">
        <v>1484</v>
      </c>
      <c r="E71" s="1194" t="s">
        <v>1485</v>
      </c>
      <c r="F71" s="384">
        <f ca="1">F43</f>
        <v>0</v>
      </c>
      <c r="O71" s="1894" t="s">
        <v>1047</v>
      </c>
      <c r="P71" s="1934" t="s">
        <v>1582</v>
      </c>
      <c r="Q71" s="1897">
        <f ca="1">C76</f>
        <v>0</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2"/>
  <sheetViews>
    <sheetView workbookViewId="0">
      <pane xSplit="6" ySplit="1" topLeftCell="I5" activePane="bottomRight" state="frozen"/>
      <selection pane="topRight" activeCell="G1" sqref="G1"/>
      <selection pane="bottomLeft" activeCell="A2" sqref="A2"/>
      <selection pane="bottomRight" activeCell="A39" sqref="A39"/>
    </sheetView>
  </sheetViews>
  <sheetFormatPr defaultRowHeight="12.75"/>
  <cols>
    <col min="1" max="1" width="52.75" style="3309" customWidth="1"/>
    <col min="2" max="2" width="6.25" style="3293" hidden="1" customWidth="1"/>
    <col min="3" max="3" width="11.75" style="3293" hidden="1" customWidth="1"/>
    <col min="4" max="4" width="4.625" style="3293" hidden="1" customWidth="1"/>
    <col min="5" max="5" width="86.875" style="3293" hidden="1" customWidth="1"/>
    <col min="6" max="6" width="7.875" style="3293" hidden="1" customWidth="1"/>
    <col min="7" max="7" width="21.125" style="3293" customWidth="1"/>
    <col min="8" max="8" width="103.5" style="3293" customWidth="1"/>
    <col min="9" max="10" width="13.875" style="3293" customWidth="1"/>
    <col min="11" max="11" width="6.75" style="3293" customWidth="1"/>
    <col min="12" max="12" width="9" style="3293" customWidth="1"/>
    <col min="13" max="13" width="21.125" style="3293" customWidth="1"/>
    <col min="14" max="14" width="145" style="3293" customWidth="1"/>
    <col min="15" max="15" width="10.625" style="3293" customWidth="1"/>
    <col min="16" max="16" width="16" style="3293" customWidth="1"/>
    <col min="17" max="17" width="14.375" style="3293" customWidth="1"/>
    <col min="18" max="18" width="6.25" style="3293" customWidth="1"/>
    <col min="19" max="19" width="23" style="3293" customWidth="1"/>
    <col min="20" max="20" width="7.875" style="3293" customWidth="1"/>
    <col min="21" max="256" width="9" style="3293"/>
    <col min="257" max="257" width="90" style="3293" customWidth="1"/>
    <col min="258" max="258" width="6.25" style="3293" customWidth="1"/>
    <col min="259" max="259" width="11.75" style="3293" customWidth="1"/>
    <col min="260" max="260" width="4.625" style="3293" customWidth="1"/>
    <col min="261" max="261" width="86.875" style="3293" customWidth="1"/>
    <col min="262" max="262" width="7.875" style="3293" customWidth="1"/>
    <col min="263" max="263" width="21.125" style="3293" customWidth="1"/>
    <col min="264" max="264" width="103.5" style="3293" customWidth="1"/>
    <col min="265" max="266" width="13.875" style="3293" customWidth="1"/>
    <col min="267" max="267" width="6.75" style="3293" customWidth="1"/>
    <col min="268" max="268" width="9" style="3293" customWidth="1"/>
    <col min="269" max="269" width="21.125" style="3293" customWidth="1"/>
    <col min="270" max="270" width="145" style="3293" customWidth="1"/>
    <col min="271" max="271" width="10.625" style="3293" customWidth="1"/>
    <col min="272" max="272" width="16" style="3293" customWidth="1"/>
    <col min="273" max="273" width="14.375" style="3293" customWidth="1"/>
    <col min="274" max="274" width="6.25" style="3293" customWidth="1"/>
    <col min="275" max="275" width="23" style="3293" customWidth="1"/>
    <col min="276" max="276" width="7.875" style="3293" customWidth="1"/>
    <col min="277" max="512" width="9" style="3293"/>
    <col min="513" max="513" width="90" style="3293" customWidth="1"/>
    <col min="514" max="514" width="6.25" style="3293" customWidth="1"/>
    <col min="515" max="515" width="11.75" style="3293" customWidth="1"/>
    <col min="516" max="516" width="4.625" style="3293" customWidth="1"/>
    <col min="517" max="517" width="86.875" style="3293" customWidth="1"/>
    <col min="518" max="518" width="7.875" style="3293" customWidth="1"/>
    <col min="519" max="519" width="21.125" style="3293" customWidth="1"/>
    <col min="520" max="520" width="103.5" style="3293" customWidth="1"/>
    <col min="521" max="522" width="13.875" style="3293" customWidth="1"/>
    <col min="523" max="523" width="6.75" style="3293" customWidth="1"/>
    <col min="524" max="524" width="9" style="3293" customWidth="1"/>
    <col min="525" max="525" width="21.125" style="3293" customWidth="1"/>
    <col min="526" max="526" width="145" style="3293" customWidth="1"/>
    <col min="527" max="527" width="10.625" style="3293" customWidth="1"/>
    <col min="528" max="528" width="16" style="3293" customWidth="1"/>
    <col min="529" max="529" width="14.375" style="3293" customWidth="1"/>
    <col min="530" max="530" width="6.25" style="3293" customWidth="1"/>
    <col min="531" max="531" width="23" style="3293" customWidth="1"/>
    <col min="532" max="532" width="7.875" style="3293" customWidth="1"/>
    <col min="533" max="768" width="9" style="3293"/>
    <col min="769" max="769" width="90" style="3293" customWidth="1"/>
    <col min="770" max="770" width="6.25" style="3293" customWidth="1"/>
    <col min="771" max="771" width="11.75" style="3293" customWidth="1"/>
    <col min="772" max="772" width="4.625" style="3293" customWidth="1"/>
    <col min="773" max="773" width="86.875" style="3293" customWidth="1"/>
    <col min="774" max="774" width="7.875" style="3293" customWidth="1"/>
    <col min="775" max="775" width="21.125" style="3293" customWidth="1"/>
    <col min="776" max="776" width="103.5" style="3293" customWidth="1"/>
    <col min="777" max="778" width="13.875" style="3293" customWidth="1"/>
    <col min="779" max="779" width="6.75" style="3293" customWidth="1"/>
    <col min="780" max="780" width="9" style="3293" customWidth="1"/>
    <col min="781" max="781" width="21.125" style="3293" customWidth="1"/>
    <col min="782" max="782" width="145" style="3293" customWidth="1"/>
    <col min="783" max="783" width="10.625" style="3293" customWidth="1"/>
    <col min="784" max="784" width="16" style="3293" customWidth="1"/>
    <col min="785" max="785" width="14.375" style="3293" customWidth="1"/>
    <col min="786" max="786" width="6.25" style="3293" customWidth="1"/>
    <col min="787" max="787" width="23" style="3293" customWidth="1"/>
    <col min="788" max="788" width="7.875" style="3293" customWidth="1"/>
    <col min="789" max="1024" width="9" style="3293"/>
    <col min="1025" max="1025" width="90" style="3293" customWidth="1"/>
    <col min="1026" max="1026" width="6.25" style="3293" customWidth="1"/>
    <col min="1027" max="1027" width="11.75" style="3293" customWidth="1"/>
    <col min="1028" max="1028" width="4.625" style="3293" customWidth="1"/>
    <col min="1029" max="1029" width="86.875" style="3293" customWidth="1"/>
    <col min="1030" max="1030" width="7.875" style="3293" customWidth="1"/>
    <col min="1031" max="1031" width="21.125" style="3293" customWidth="1"/>
    <col min="1032" max="1032" width="103.5" style="3293" customWidth="1"/>
    <col min="1033" max="1034" width="13.875" style="3293" customWidth="1"/>
    <col min="1035" max="1035" width="6.75" style="3293" customWidth="1"/>
    <col min="1036" max="1036" width="9" style="3293" customWidth="1"/>
    <col min="1037" max="1037" width="21.125" style="3293" customWidth="1"/>
    <col min="1038" max="1038" width="145" style="3293" customWidth="1"/>
    <col min="1039" max="1039" width="10.625" style="3293" customWidth="1"/>
    <col min="1040" max="1040" width="16" style="3293" customWidth="1"/>
    <col min="1041" max="1041" width="14.375" style="3293" customWidth="1"/>
    <col min="1042" max="1042" width="6.25" style="3293" customWidth="1"/>
    <col min="1043" max="1043" width="23" style="3293" customWidth="1"/>
    <col min="1044" max="1044" width="7.875" style="3293" customWidth="1"/>
    <col min="1045" max="1280" width="9" style="3293"/>
    <col min="1281" max="1281" width="90" style="3293" customWidth="1"/>
    <col min="1282" max="1282" width="6.25" style="3293" customWidth="1"/>
    <col min="1283" max="1283" width="11.75" style="3293" customWidth="1"/>
    <col min="1284" max="1284" width="4.625" style="3293" customWidth="1"/>
    <col min="1285" max="1285" width="86.875" style="3293" customWidth="1"/>
    <col min="1286" max="1286" width="7.875" style="3293" customWidth="1"/>
    <col min="1287" max="1287" width="21.125" style="3293" customWidth="1"/>
    <col min="1288" max="1288" width="103.5" style="3293" customWidth="1"/>
    <col min="1289" max="1290" width="13.875" style="3293" customWidth="1"/>
    <col min="1291" max="1291" width="6.75" style="3293" customWidth="1"/>
    <col min="1292" max="1292" width="9" style="3293" customWidth="1"/>
    <col min="1293" max="1293" width="21.125" style="3293" customWidth="1"/>
    <col min="1294" max="1294" width="145" style="3293" customWidth="1"/>
    <col min="1295" max="1295" width="10.625" style="3293" customWidth="1"/>
    <col min="1296" max="1296" width="16" style="3293" customWidth="1"/>
    <col min="1297" max="1297" width="14.375" style="3293" customWidth="1"/>
    <col min="1298" max="1298" width="6.25" style="3293" customWidth="1"/>
    <col min="1299" max="1299" width="23" style="3293" customWidth="1"/>
    <col min="1300" max="1300" width="7.875" style="3293" customWidth="1"/>
    <col min="1301" max="1536" width="9" style="3293"/>
    <col min="1537" max="1537" width="90" style="3293" customWidth="1"/>
    <col min="1538" max="1538" width="6.25" style="3293" customWidth="1"/>
    <col min="1539" max="1539" width="11.75" style="3293" customWidth="1"/>
    <col min="1540" max="1540" width="4.625" style="3293" customWidth="1"/>
    <col min="1541" max="1541" width="86.875" style="3293" customWidth="1"/>
    <col min="1542" max="1542" width="7.875" style="3293" customWidth="1"/>
    <col min="1543" max="1543" width="21.125" style="3293" customWidth="1"/>
    <col min="1544" max="1544" width="103.5" style="3293" customWidth="1"/>
    <col min="1545" max="1546" width="13.875" style="3293" customWidth="1"/>
    <col min="1547" max="1547" width="6.75" style="3293" customWidth="1"/>
    <col min="1548" max="1548" width="9" style="3293" customWidth="1"/>
    <col min="1549" max="1549" width="21.125" style="3293" customWidth="1"/>
    <col min="1550" max="1550" width="145" style="3293" customWidth="1"/>
    <col min="1551" max="1551" width="10.625" style="3293" customWidth="1"/>
    <col min="1552" max="1552" width="16" style="3293" customWidth="1"/>
    <col min="1553" max="1553" width="14.375" style="3293" customWidth="1"/>
    <col min="1554" max="1554" width="6.25" style="3293" customWidth="1"/>
    <col min="1555" max="1555" width="23" style="3293" customWidth="1"/>
    <col min="1556" max="1556" width="7.875" style="3293" customWidth="1"/>
    <col min="1557" max="1792" width="9" style="3293"/>
    <col min="1793" max="1793" width="90" style="3293" customWidth="1"/>
    <col min="1794" max="1794" width="6.25" style="3293" customWidth="1"/>
    <col min="1795" max="1795" width="11.75" style="3293" customWidth="1"/>
    <col min="1796" max="1796" width="4.625" style="3293" customWidth="1"/>
    <col min="1797" max="1797" width="86.875" style="3293" customWidth="1"/>
    <col min="1798" max="1798" width="7.875" style="3293" customWidth="1"/>
    <col min="1799" max="1799" width="21.125" style="3293" customWidth="1"/>
    <col min="1800" max="1800" width="103.5" style="3293" customWidth="1"/>
    <col min="1801" max="1802" width="13.875" style="3293" customWidth="1"/>
    <col min="1803" max="1803" width="6.75" style="3293" customWidth="1"/>
    <col min="1804" max="1804" width="9" style="3293" customWidth="1"/>
    <col min="1805" max="1805" width="21.125" style="3293" customWidth="1"/>
    <col min="1806" max="1806" width="145" style="3293" customWidth="1"/>
    <col min="1807" max="1807" width="10.625" style="3293" customWidth="1"/>
    <col min="1808" max="1808" width="16" style="3293" customWidth="1"/>
    <col min="1809" max="1809" width="14.375" style="3293" customWidth="1"/>
    <col min="1810" max="1810" width="6.25" style="3293" customWidth="1"/>
    <col min="1811" max="1811" width="23" style="3293" customWidth="1"/>
    <col min="1812" max="1812" width="7.875" style="3293" customWidth="1"/>
    <col min="1813" max="2048" width="9" style="3293"/>
    <col min="2049" max="2049" width="90" style="3293" customWidth="1"/>
    <col min="2050" max="2050" width="6.25" style="3293" customWidth="1"/>
    <col min="2051" max="2051" width="11.75" style="3293" customWidth="1"/>
    <col min="2052" max="2052" width="4.625" style="3293" customWidth="1"/>
    <col min="2053" max="2053" width="86.875" style="3293" customWidth="1"/>
    <col min="2054" max="2054" width="7.875" style="3293" customWidth="1"/>
    <col min="2055" max="2055" width="21.125" style="3293" customWidth="1"/>
    <col min="2056" max="2056" width="103.5" style="3293" customWidth="1"/>
    <col min="2057" max="2058" width="13.875" style="3293" customWidth="1"/>
    <col min="2059" max="2059" width="6.75" style="3293" customWidth="1"/>
    <col min="2060" max="2060" width="9" style="3293" customWidth="1"/>
    <col min="2061" max="2061" width="21.125" style="3293" customWidth="1"/>
    <col min="2062" max="2062" width="145" style="3293" customWidth="1"/>
    <col min="2063" max="2063" width="10.625" style="3293" customWidth="1"/>
    <col min="2064" max="2064" width="16" style="3293" customWidth="1"/>
    <col min="2065" max="2065" width="14.375" style="3293" customWidth="1"/>
    <col min="2066" max="2066" width="6.25" style="3293" customWidth="1"/>
    <col min="2067" max="2067" width="23" style="3293" customWidth="1"/>
    <col min="2068" max="2068" width="7.875" style="3293" customWidth="1"/>
    <col min="2069" max="2304" width="9" style="3293"/>
    <col min="2305" max="2305" width="90" style="3293" customWidth="1"/>
    <col min="2306" max="2306" width="6.25" style="3293" customWidth="1"/>
    <col min="2307" max="2307" width="11.75" style="3293" customWidth="1"/>
    <col min="2308" max="2308" width="4.625" style="3293" customWidth="1"/>
    <col min="2309" max="2309" width="86.875" style="3293" customWidth="1"/>
    <col min="2310" max="2310" width="7.875" style="3293" customWidth="1"/>
    <col min="2311" max="2311" width="21.125" style="3293" customWidth="1"/>
    <col min="2312" max="2312" width="103.5" style="3293" customWidth="1"/>
    <col min="2313" max="2314" width="13.875" style="3293" customWidth="1"/>
    <col min="2315" max="2315" width="6.75" style="3293" customWidth="1"/>
    <col min="2316" max="2316" width="9" style="3293" customWidth="1"/>
    <col min="2317" max="2317" width="21.125" style="3293" customWidth="1"/>
    <col min="2318" max="2318" width="145" style="3293" customWidth="1"/>
    <col min="2319" max="2319" width="10.625" style="3293" customWidth="1"/>
    <col min="2320" max="2320" width="16" style="3293" customWidth="1"/>
    <col min="2321" max="2321" width="14.375" style="3293" customWidth="1"/>
    <col min="2322" max="2322" width="6.25" style="3293" customWidth="1"/>
    <col min="2323" max="2323" width="23" style="3293" customWidth="1"/>
    <col min="2324" max="2324" width="7.875" style="3293" customWidth="1"/>
    <col min="2325" max="2560" width="9" style="3293"/>
    <col min="2561" max="2561" width="90" style="3293" customWidth="1"/>
    <col min="2562" max="2562" width="6.25" style="3293" customWidth="1"/>
    <col min="2563" max="2563" width="11.75" style="3293" customWidth="1"/>
    <col min="2564" max="2564" width="4.625" style="3293" customWidth="1"/>
    <col min="2565" max="2565" width="86.875" style="3293" customWidth="1"/>
    <col min="2566" max="2566" width="7.875" style="3293" customWidth="1"/>
    <col min="2567" max="2567" width="21.125" style="3293" customWidth="1"/>
    <col min="2568" max="2568" width="103.5" style="3293" customWidth="1"/>
    <col min="2569" max="2570" width="13.875" style="3293" customWidth="1"/>
    <col min="2571" max="2571" width="6.75" style="3293" customWidth="1"/>
    <col min="2572" max="2572" width="9" style="3293" customWidth="1"/>
    <col min="2573" max="2573" width="21.125" style="3293" customWidth="1"/>
    <col min="2574" max="2574" width="145" style="3293" customWidth="1"/>
    <col min="2575" max="2575" width="10.625" style="3293" customWidth="1"/>
    <col min="2576" max="2576" width="16" style="3293" customWidth="1"/>
    <col min="2577" max="2577" width="14.375" style="3293" customWidth="1"/>
    <col min="2578" max="2578" width="6.25" style="3293" customWidth="1"/>
    <col min="2579" max="2579" width="23" style="3293" customWidth="1"/>
    <col min="2580" max="2580" width="7.875" style="3293" customWidth="1"/>
    <col min="2581" max="2816" width="9" style="3293"/>
    <col min="2817" max="2817" width="90" style="3293" customWidth="1"/>
    <col min="2818" max="2818" width="6.25" style="3293" customWidth="1"/>
    <col min="2819" max="2819" width="11.75" style="3293" customWidth="1"/>
    <col min="2820" max="2820" width="4.625" style="3293" customWidth="1"/>
    <col min="2821" max="2821" width="86.875" style="3293" customWidth="1"/>
    <col min="2822" max="2822" width="7.875" style="3293" customWidth="1"/>
    <col min="2823" max="2823" width="21.125" style="3293" customWidth="1"/>
    <col min="2824" max="2824" width="103.5" style="3293" customWidth="1"/>
    <col min="2825" max="2826" width="13.875" style="3293" customWidth="1"/>
    <col min="2827" max="2827" width="6.75" style="3293" customWidth="1"/>
    <col min="2828" max="2828" width="9" style="3293" customWidth="1"/>
    <col min="2829" max="2829" width="21.125" style="3293" customWidth="1"/>
    <col min="2830" max="2830" width="145" style="3293" customWidth="1"/>
    <col min="2831" max="2831" width="10.625" style="3293" customWidth="1"/>
    <col min="2832" max="2832" width="16" style="3293" customWidth="1"/>
    <col min="2833" max="2833" width="14.375" style="3293" customWidth="1"/>
    <col min="2834" max="2834" width="6.25" style="3293" customWidth="1"/>
    <col min="2835" max="2835" width="23" style="3293" customWidth="1"/>
    <col min="2836" max="2836" width="7.875" style="3293" customWidth="1"/>
    <col min="2837" max="3072" width="9" style="3293"/>
    <col min="3073" max="3073" width="90" style="3293" customWidth="1"/>
    <col min="3074" max="3074" width="6.25" style="3293" customWidth="1"/>
    <col min="3075" max="3075" width="11.75" style="3293" customWidth="1"/>
    <col min="3076" max="3076" width="4.625" style="3293" customWidth="1"/>
    <col min="3077" max="3077" width="86.875" style="3293" customWidth="1"/>
    <col min="3078" max="3078" width="7.875" style="3293" customWidth="1"/>
    <col min="3079" max="3079" width="21.125" style="3293" customWidth="1"/>
    <col min="3080" max="3080" width="103.5" style="3293" customWidth="1"/>
    <col min="3081" max="3082" width="13.875" style="3293" customWidth="1"/>
    <col min="3083" max="3083" width="6.75" style="3293" customWidth="1"/>
    <col min="3084" max="3084" width="9" style="3293" customWidth="1"/>
    <col min="3085" max="3085" width="21.125" style="3293" customWidth="1"/>
    <col min="3086" max="3086" width="145" style="3293" customWidth="1"/>
    <col min="3087" max="3087" width="10.625" style="3293" customWidth="1"/>
    <col min="3088" max="3088" width="16" style="3293" customWidth="1"/>
    <col min="3089" max="3089" width="14.375" style="3293" customWidth="1"/>
    <col min="3090" max="3090" width="6.25" style="3293" customWidth="1"/>
    <col min="3091" max="3091" width="23" style="3293" customWidth="1"/>
    <col min="3092" max="3092" width="7.875" style="3293" customWidth="1"/>
    <col min="3093" max="3328" width="9" style="3293"/>
    <col min="3329" max="3329" width="90" style="3293" customWidth="1"/>
    <col min="3330" max="3330" width="6.25" style="3293" customWidth="1"/>
    <col min="3331" max="3331" width="11.75" style="3293" customWidth="1"/>
    <col min="3332" max="3332" width="4.625" style="3293" customWidth="1"/>
    <col min="3333" max="3333" width="86.875" style="3293" customWidth="1"/>
    <col min="3334" max="3334" width="7.875" style="3293" customWidth="1"/>
    <col min="3335" max="3335" width="21.125" style="3293" customWidth="1"/>
    <col min="3336" max="3336" width="103.5" style="3293" customWidth="1"/>
    <col min="3337" max="3338" width="13.875" style="3293" customWidth="1"/>
    <col min="3339" max="3339" width="6.75" style="3293" customWidth="1"/>
    <col min="3340" max="3340" width="9" style="3293" customWidth="1"/>
    <col min="3341" max="3341" width="21.125" style="3293" customWidth="1"/>
    <col min="3342" max="3342" width="145" style="3293" customWidth="1"/>
    <col min="3343" max="3343" width="10.625" style="3293" customWidth="1"/>
    <col min="3344" max="3344" width="16" style="3293" customWidth="1"/>
    <col min="3345" max="3345" width="14.375" style="3293" customWidth="1"/>
    <col min="3346" max="3346" width="6.25" style="3293" customWidth="1"/>
    <col min="3347" max="3347" width="23" style="3293" customWidth="1"/>
    <col min="3348" max="3348" width="7.875" style="3293" customWidth="1"/>
    <col min="3349" max="3584" width="9" style="3293"/>
    <col min="3585" max="3585" width="90" style="3293" customWidth="1"/>
    <col min="3586" max="3586" width="6.25" style="3293" customWidth="1"/>
    <col min="3587" max="3587" width="11.75" style="3293" customWidth="1"/>
    <col min="3588" max="3588" width="4.625" style="3293" customWidth="1"/>
    <col min="3589" max="3589" width="86.875" style="3293" customWidth="1"/>
    <col min="3590" max="3590" width="7.875" style="3293" customWidth="1"/>
    <col min="3591" max="3591" width="21.125" style="3293" customWidth="1"/>
    <col min="3592" max="3592" width="103.5" style="3293" customWidth="1"/>
    <col min="3593" max="3594" width="13.875" style="3293" customWidth="1"/>
    <col min="3595" max="3595" width="6.75" style="3293" customWidth="1"/>
    <col min="3596" max="3596" width="9" style="3293" customWidth="1"/>
    <col min="3597" max="3597" width="21.125" style="3293" customWidth="1"/>
    <col min="3598" max="3598" width="145" style="3293" customWidth="1"/>
    <col min="3599" max="3599" width="10.625" style="3293" customWidth="1"/>
    <col min="3600" max="3600" width="16" style="3293" customWidth="1"/>
    <col min="3601" max="3601" width="14.375" style="3293" customWidth="1"/>
    <col min="3602" max="3602" width="6.25" style="3293" customWidth="1"/>
    <col min="3603" max="3603" width="23" style="3293" customWidth="1"/>
    <col min="3604" max="3604" width="7.875" style="3293" customWidth="1"/>
    <col min="3605" max="3840" width="9" style="3293"/>
    <col min="3841" max="3841" width="90" style="3293" customWidth="1"/>
    <col min="3842" max="3842" width="6.25" style="3293" customWidth="1"/>
    <col min="3843" max="3843" width="11.75" style="3293" customWidth="1"/>
    <col min="3844" max="3844" width="4.625" style="3293" customWidth="1"/>
    <col min="3845" max="3845" width="86.875" style="3293" customWidth="1"/>
    <col min="3846" max="3846" width="7.875" style="3293" customWidth="1"/>
    <col min="3847" max="3847" width="21.125" style="3293" customWidth="1"/>
    <col min="3848" max="3848" width="103.5" style="3293" customWidth="1"/>
    <col min="3849" max="3850" width="13.875" style="3293" customWidth="1"/>
    <col min="3851" max="3851" width="6.75" style="3293" customWidth="1"/>
    <col min="3852" max="3852" width="9" style="3293" customWidth="1"/>
    <col min="3853" max="3853" width="21.125" style="3293" customWidth="1"/>
    <col min="3854" max="3854" width="145" style="3293" customWidth="1"/>
    <col min="3855" max="3855" width="10.625" style="3293" customWidth="1"/>
    <col min="3856" max="3856" width="16" style="3293" customWidth="1"/>
    <col min="3857" max="3857" width="14.375" style="3293" customWidth="1"/>
    <col min="3858" max="3858" width="6.25" style="3293" customWidth="1"/>
    <col min="3859" max="3859" width="23" style="3293" customWidth="1"/>
    <col min="3860" max="3860" width="7.875" style="3293" customWidth="1"/>
    <col min="3861" max="4096" width="9" style="3293"/>
    <col min="4097" max="4097" width="90" style="3293" customWidth="1"/>
    <col min="4098" max="4098" width="6.25" style="3293" customWidth="1"/>
    <col min="4099" max="4099" width="11.75" style="3293" customWidth="1"/>
    <col min="4100" max="4100" width="4.625" style="3293" customWidth="1"/>
    <col min="4101" max="4101" width="86.875" style="3293" customWidth="1"/>
    <col min="4102" max="4102" width="7.875" style="3293" customWidth="1"/>
    <col min="4103" max="4103" width="21.125" style="3293" customWidth="1"/>
    <col min="4104" max="4104" width="103.5" style="3293" customWidth="1"/>
    <col min="4105" max="4106" width="13.875" style="3293" customWidth="1"/>
    <col min="4107" max="4107" width="6.75" style="3293" customWidth="1"/>
    <col min="4108" max="4108" width="9" style="3293" customWidth="1"/>
    <col min="4109" max="4109" width="21.125" style="3293" customWidth="1"/>
    <col min="4110" max="4110" width="145" style="3293" customWidth="1"/>
    <col min="4111" max="4111" width="10.625" style="3293" customWidth="1"/>
    <col min="4112" max="4112" width="16" style="3293" customWidth="1"/>
    <col min="4113" max="4113" width="14.375" style="3293" customWidth="1"/>
    <col min="4114" max="4114" width="6.25" style="3293" customWidth="1"/>
    <col min="4115" max="4115" width="23" style="3293" customWidth="1"/>
    <col min="4116" max="4116" width="7.875" style="3293" customWidth="1"/>
    <col min="4117" max="4352" width="9" style="3293"/>
    <col min="4353" max="4353" width="90" style="3293" customWidth="1"/>
    <col min="4354" max="4354" width="6.25" style="3293" customWidth="1"/>
    <col min="4355" max="4355" width="11.75" style="3293" customWidth="1"/>
    <col min="4356" max="4356" width="4.625" style="3293" customWidth="1"/>
    <col min="4357" max="4357" width="86.875" style="3293" customWidth="1"/>
    <col min="4358" max="4358" width="7.875" style="3293" customWidth="1"/>
    <col min="4359" max="4359" width="21.125" style="3293" customWidth="1"/>
    <col min="4360" max="4360" width="103.5" style="3293" customWidth="1"/>
    <col min="4361" max="4362" width="13.875" style="3293" customWidth="1"/>
    <col min="4363" max="4363" width="6.75" style="3293" customWidth="1"/>
    <col min="4364" max="4364" width="9" style="3293" customWidth="1"/>
    <col min="4365" max="4365" width="21.125" style="3293" customWidth="1"/>
    <col min="4366" max="4366" width="145" style="3293" customWidth="1"/>
    <col min="4367" max="4367" width="10.625" style="3293" customWidth="1"/>
    <col min="4368" max="4368" width="16" style="3293" customWidth="1"/>
    <col min="4369" max="4369" width="14.375" style="3293" customWidth="1"/>
    <col min="4370" max="4370" width="6.25" style="3293" customWidth="1"/>
    <col min="4371" max="4371" width="23" style="3293" customWidth="1"/>
    <col min="4372" max="4372" width="7.875" style="3293" customWidth="1"/>
    <col min="4373" max="4608" width="9" style="3293"/>
    <col min="4609" max="4609" width="90" style="3293" customWidth="1"/>
    <col min="4610" max="4610" width="6.25" style="3293" customWidth="1"/>
    <col min="4611" max="4611" width="11.75" style="3293" customWidth="1"/>
    <col min="4612" max="4612" width="4.625" style="3293" customWidth="1"/>
    <col min="4613" max="4613" width="86.875" style="3293" customWidth="1"/>
    <col min="4614" max="4614" width="7.875" style="3293" customWidth="1"/>
    <col min="4615" max="4615" width="21.125" style="3293" customWidth="1"/>
    <col min="4616" max="4616" width="103.5" style="3293" customWidth="1"/>
    <col min="4617" max="4618" width="13.875" style="3293" customWidth="1"/>
    <col min="4619" max="4619" width="6.75" style="3293" customWidth="1"/>
    <col min="4620" max="4620" width="9" style="3293" customWidth="1"/>
    <col min="4621" max="4621" width="21.125" style="3293" customWidth="1"/>
    <col min="4622" max="4622" width="145" style="3293" customWidth="1"/>
    <col min="4623" max="4623" width="10.625" style="3293" customWidth="1"/>
    <col min="4624" max="4624" width="16" style="3293" customWidth="1"/>
    <col min="4625" max="4625" width="14.375" style="3293" customWidth="1"/>
    <col min="4626" max="4626" width="6.25" style="3293" customWidth="1"/>
    <col min="4627" max="4627" width="23" style="3293" customWidth="1"/>
    <col min="4628" max="4628" width="7.875" style="3293" customWidth="1"/>
    <col min="4629" max="4864" width="9" style="3293"/>
    <col min="4865" max="4865" width="90" style="3293" customWidth="1"/>
    <col min="4866" max="4866" width="6.25" style="3293" customWidth="1"/>
    <col min="4867" max="4867" width="11.75" style="3293" customWidth="1"/>
    <col min="4868" max="4868" width="4.625" style="3293" customWidth="1"/>
    <col min="4869" max="4869" width="86.875" style="3293" customWidth="1"/>
    <col min="4870" max="4870" width="7.875" style="3293" customWidth="1"/>
    <col min="4871" max="4871" width="21.125" style="3293" customWidth="1"/>
    <col min="4872" max="4872" width="103.5" style="3293" customWidth="1"/>
    <col min="4873" max="4874" width="13.875" style="3293" customWidth="1"/>
    <col min="4875" max="4875" width="6.75" style="3293" customWidth="1"/>
    <col min="4876" max="4876" width="9" style="3293" customWidth="1"/>
    <col min="4877" max="4877" width="21.125" style="3293" customWidth="1"/>
    <col min="4878" max="4878" width="145" style="3293" customWidth="1"/>
    <col min="4879" max="4879" width="10.625" style="3293" customWidth="1"/>
    <col min="4880" max="4880" width="16" style="3293" customWidth="1"/>
    <col min="4881" max="4881" width="14.375" style="3293" customWidth="1"/>
    <col min="4882" max="4882" width="6.25" style="3293" customWidth="1"/>
    <col min="4883" max="4883" width="23" style="3293" customWidth="1"/>
    <col min="4884" max="4884" width="7.875" style="3293" customWidth="1"/>
    <col min="4885" max="5120" width="9" style="3293"/>
    <col min="5121" max="5121" width="90" style="3293" customWidth="1"/>
    <col min="5122" max="5122" width="6.25" style="3293" customWidth="1"/>
    <col min="5123" max="5123" width="11.75" style="3293" customWidth="1"/>
    <col min="5124" max="5124" width="4.625" style="3293" customWidth="1"/>
    <col min="5125" max="5125" width="86.875" style="3293" customWidth="1"/>
    <col min="5126" max="5126" width="7.875" style="3293" customWidth="1"/>
    <col min="5127" max="5127" width="21.125" style="3293" customWidth="1"/>
    <col min="5128" max="5128" width="103.5" style="3293" customWidth="1"/>
    <col min="5129" max="5130" width="13.875" style="3293" customWidth="1"/>
    <col min="5131" max="5131" width="6.75" style="3293" customWidth="1"/>
    <col min="5132" max="5132" width="9" style="3293" customWidth="1"/>
    <col min="5133" max="5133" width="21.125" style="3293" customWidth="1"/>
    <col min="5134" max="5134" width="145" style="3293" customWidth="1"/>
    <col min="5135" max="5135" width="10.625" style="3293" customWidth="1"/>
    <col min="5136" max="5136" width="16" style="3293" customWidth="1"/>
    <col min="5137" max="5137" width="14.375" style="3293" customWidth="1"/>
    <col min="5138" max="5138" width="6.25" style="3293" customWidth="1"/>
    <col min="5139" max="5139" width="23" style="3293" customWidth="1"/>
    <col min="5140" max="5140" width="7.875" style="3293" customWidth="1"/>
    <col min="5141" max="5376" width="9" style="3293"/>
    <col min="5377" max="5377" width="90" style="3293" customWidth="1"/>
    <col min="5378" max="5378" width="6.25" style="3293" customWidth="1"/>
    <col min="5379" max="5379" width="11.75" style="3293" customWidth="1"/>
    <col min="5380" max="5380" width="4.625" style="3293" customWidth="1"/>
    <col min="5381" max="5381" width="86.875" style="3293" customWidth="1"/>
    <col min="5382" max="5382" width="7.875" style="3293" customWidth="1"/>
    <col min="5383" max="5383" width="21.125" style="3293" customWidth="1"/>
    <col min="5384" max="5384" width="103.5" style="3293" customWidth="1"/>
    <col min="5385" max="5386" width="13.875" style="3293" customWidth="1"/>
    <col min="5387" max="5387" width="6.75" style="3293" customWidth="1"/>
    <col min="5388" max="5388" width="9" style="3293" customWidth="1"/>
    <col min="5389" max="5389" width="21.125" style="3293" customWidth="1"/>
    <col min="5390" max="5390" width="145" style="3293" customWidth="1"/>
    <col min="5391" max="5391" width="10.625" style="3293" customWidth="1"/>
    <col min="5392" max="5392" width="16" style="3293" customWidth="1"/>
    <col min="5393" max="5393" width="14.375" style="3293" customWidth="1"/>
    <col min="5394" max="5394" width="6.25" style="3293" customWidth="1"/>
    <col min="5395" max="5395" width="23" style="3293" customWidth="1"/>
    <col min="5396" max="5396" width="7.875" style="3293" customWidth="1"/>
    <col min="5397" max="5632" width="9" style="3293"/>
    <col min="5633" max="5633" width="90" style="3293" customWidth="1"/>
    <col min="5634" max="5634" width="6.25" style="3293" customWidth="1"/>
    <col min="5635" max="5635" width="11.75" style="3293" customWidth="1"/>
    <col min="5636" max="5636" width="4.625" style="3293" customWidth="1"/>
    <col min="5637" max="5637" width="86.875" style="3293" customWidth="1"/>
    <col min="5638" max="5638" width="7.875" style="3293" customWidth="1"/>
    <col min="5639" max="5639" width="21.125" style="3293" customWidth="1"/>
    <col min="5640" max="5640" width="103.5" style="3293" customWidth="1"/>
    <col min="5641" max="5642" width="13.875" style="3293" customWidth="1"/>
    <col min="5643" max="5643" width="6.75" style="3293" customWidth="1"/>
    <col min="5644" max="5644" width="9" style="3293" customWidth="1"/>
    <col min="5645" max="5645" width="21.125" style="3293" customWidth="1"/>
    <col min="5646" max="5646" width="145" style="3293" customWidth="1"/>
    <col min="5647" max="5647" width="10.625" style="3293" customWidth="1"/>
    <col min="5648" max="5648" width="16" style="3293" customWidth="1"/>
    <col min="5649" max="5649" width="14.375" style="3293" customWidth="1"/>
    <col min="5650" max="5650" width="6.25" style="3293" customWidth="1"/>
    <col min="5651" max="5651" width="23" style="3293" customWidth="1"/>
    <col min="5652" max="5652" width="7.875" style="3293" customWidth="1"/>
    <col min="5653" max="5888" width="9" style="3293"/>
    <col min="5889" max="5889" width="90" style="3293" customWidth="1"/>
    <col min="5890" max="5890" width="6.25" style="3293" customWidth="1"/>
    <col min="5891" max="5891" width="11.75" style="3293" customWidth="1"/>
    <col min="5892" max="5892" width="4.625" style="3293" customWidth="1"/>
    <col min="5893" max="5893" width="86.875" style="3293" customWidth="1"/>
    <col min="5894" max="5894" width="7.875" style="3293" customWidth="1"/>
    <col min="5895" max="5895" width="21.125" style="3293" customWidth="1"/>
    <col min="5896" max="5896" width="103.5" style="3293" customWidth="1"/>
    <col min="5897" max="5898" width="13.875" style="3293" customWidth="1"/>
    <col min="5899" max="5899" width="6.75" style="3293" customWidth="1"/>
    <col min="5900" max="5900" width="9" style="3293" customWidth="1"/>
    <col min="5901" max="5901" width="21.125" style="3293" customWidth="1"/>
    <col min="5902" max="5902" width="145" style="3293" customWidth="1"/>
    <col min="5903" max="5903" width="10.625" style="3293" customWidth="1"/>
    <col min="5904" max="5904" width="16" style="3293" customWidth="1"/>
    <col min="5905" max="5905" width="14.375" style="3293" customWidth="1"/>
    <col min="5906" max="5906" width="6.25" style="3293" customWidth="1"/>
    <col min="5907" max="5907" width="23" style="3293" customWidth="1"/>
    <col min="5908" max="5908" width="7.875" style="3293" customWidth="1"/>
    <col min="5909" max="6144" width="9" style="3293"/>
    <col min="6145" max="6145" width="90" style="3293" customWidth="1"/>
    <col min="6146" max="6146" width="6.25" style="3293" customWidth="1"/>
    <col min="6147" max="6147" width="11.75" style="3293" customWidth="1"/>
    <col min="6148" max="6148" width="4.625" style="3293" customWidth="1"/>
    <col min="6149" max="6149" width="86.875" style="3293" customWidth="1"/>
    <col min="6150" max="6150" width="7.875" style="3293" customWidth="1"/>
    <col min="6151" max="6151" width="21.125" style="3293" customWidth="1"/>
    <col min="6152" max="6152" width="103.5" style="3293" customWidth="1"/>
    <col min="6153" max="6154" width="13.875" style="3293" customWidth="1"/>
    <col min="6155" max="6155" width="6.75" style="3293" customWidth="1"/>
    <col min="6156" max="6156" width="9" style="3293" customWidth="1"/>
    <col min="6157" max="6157" width="21.125" style="3293" customWidth="1"/>
    <col min="6158" max="6158" width="145" style="3293" customWidth="1"/>
    <col min="6159" max="6159" width="10.625" style="3293" customWidth="1"/>
    <col min="6160" max="6160" width="16" style="3293" customWidth="1"/>
    <col min="6161" max="6161" width="14.375" style="3293" customWidth="1"/>
    <col min="6162" max="6162" width="6.25" style="3293" customWidth="1"/>
    <col min="6163" max="6163" width="23" style="3293" customWidth="1"/>
    <col min="6164" max="6164" width="7.875" style="3293" customWidth="1"/>
    <col min="6165" max="6400" width="9" style="3293"/>
    <col min="6401" max="6401" width="90" style="3293" customWidth="1"/>
    <col min="6402" max="6402" width="6.25" style="3293" customWidth="1"/>
    <col min="6403" max="6403" width="11.75" style="3293" customWidth="1"/>
    <col min="6404" max="6404" width="4.625" style="3293" customWidth="1"/>
    <col min="6405" max="6405" width="86.875" style="3293" customWidth="1"/>
    <col min="6406" max="6406" width="7.875" style="3293" customWidth="1"/>
    <col min="6407" max="6407" width="21.125" style="3293" customWidth="1"/>
    <col min="6408" max="6408" width="103.5" style="3293" customWidth="1"/>
    <col min="6409" max="6410" width="13.875" style="3293" customWidth="1"/>
    <col min="6411" max="6411" width="6.75" style="3293" customWidth="1"/>
    <col min="6412" max="6412" width="9" style="3293" customWidth="1"/>
    <col min="6413" max="6413" width="21.125" style="3293" customWidth="1"/>
    <col min="6414" max="6414" width="145" style="3293" customWidth="1"/>
    <col min="6415" max="6415" width="10.625" style="3293" customWidth="1"/>
    <col min="6416" max="6416" width="16" style="3293" customWidth="1"/>
    <col min="6417" max="6417" width="14.375" style="3293" customWidth="1"/>
    <col min="6418" max="6418" width="6.25" style="3293" customWidth="1"/>
    <col min="6419" max="6419" width="23" style="3293" customWidth="1"/>
    <col min="6420" max="6420" width="7.875" style="3293" customWidth="1"/>
    <col min="6421" max="6656" width="9" style="3293"/>
    <col min="6657" max="6657" width="90" style="3293" customWidth="1"/>
    <col min="6658" max="6658" width="6.25" style="3293" customWidth="1"/>
    <col min="6659" max="6659" width="11.75" style="3293" customWidth="1"/>
    <col min="6660" max="6660" width="4.625" style="3293" customWidth="1"/>
    <col min="6661" max="6661" width="86.875" style="3293" customWidth="1"/>
    <col min="6662" max="6662" width="7.875" style="3293" customWidth="1"/>
    <col min="6663" max="6663" width="21.125" style="3293" customWidth="1"/>
    <col min="6664" max="6664" width="103.5" style="3293" customWidth="1"/>
    <col min="6665" max="6666" width="13.875" style="3293" customWidth="1"/>
    <col min="6667" max="6667" width="6.75" style="3293" customWidth="1"/>
    <col min="6668" max="6668" width="9" style="3293" customWidth="1"/>
    <col min="6669" max="6669" width="21.125" style="3293" customWidth="1"/>
    <col min="6670" max="6670" width="145" style="3293" customWidth="1"/>
    <col min="6671" max="6671" width="10.625" style="3293" customWidth="1"/>
    <col min="6672" max="6672" width="16" style="3293" customWidth="1"/>
    <col min="6673" max="6673" width="14.375" style="3293" customWidth="1"/>
    <col min="6674" max="6674" width="6.25" style="3293" customWidth="1"/>
    <col min="6675" max="6675" width="23" style="3293" customWidth="1"/>
    <col min="6676" max="6676" width="7.875" style="3293" customWidth="1"/>
    <col min="6677" max="6912" width="9" style="3293"/>
    <col min="6913" max="6913" width="90" style="3293" customWidth="1"/>
    <col min="6914" max="6914" width="6.25" style="3293" customWidth="1"/>
    <col min="6915" max="6915" width="11.75" style="3293" customWidth="1"/>
    <col min="6916" max="6916" width="4.625" style="3293" customWidth="1"/>
    <col min="6917" max="6917" width="86.875" style="3293" customWidth="1"/>
    <col min="6918" max="6918" width="7.875" style="3293" customWidth="1"/>
    <col min="6919" max="6919" width="21.125" style="3293" customWidth="1"/>
    <col min="6920" max="6920" width="103.5" style="3293" customWidth="1"/>
    <col min="6921" max="6922" width="13.875" style="3293" customWidth="1"/>
    <col min="6923" max="6923" width="6.75" style="3293" customWidth="1"/>
    <col min="6924" max="6924" width="9" style="3293" customWidth="1"/>
    <col min="6925" max="6925" width="21.125" style="3293" customWidth="1"/>
    <col min="6926" max="6926" width="145" style="3293" customWidth="1"/>
    <col min="6927" max="6927" width="10.625" style="3293" customWidth="1"/>
    <col min="6928" max="6928" width="16" style="3293" customWidth="1"/>
    <col min="6929" max="6929" width="14.375" style="3293" customWidth="1"/>
    <col min="6930" max="6930" width="6.25" style="3293" customWidth="1"/>
    <col min="6931" max="6931" width="23" style="3293" customWidth="1"/>
    <col min="6932" max="6932" width="7.875" style="3293" customWidth="1"/>
    <col min="6933" max="7168" width="9" style="3293"/>
    <col min="7169" max="7169" width="90" style="3293" customWidth="1"/>
    <col min="7170" max="7170" width="6.25" style="3293" customWidth="1"/>
    <col min="7171" max="7171" width="11.75" style="3293" customWidth="1"/>
    <col min="7172" max="7172" width="4.625" style="3293" customWidth="1"/>
    <col min="7173" max="7173" width="86.875" style="3293" customWidth="1"/>
    <col min="7174" max="7174" width="7.875" style="3293" customWidth="1"/>
    <col min="7175" max="7175" width="21.125" style="3293" customWidth="1"/>
    <col min="7176" max="7176" width="103.5" style="3293" customWidth="1"/>
    <col min="7177" max="7178" width="13.875" style="3293" customWidth="1"/>
    <col min="7179" max="7179" width="6.75" style="3293" customWidth="1"/>
    <col min="7180" max="7180" width="9" style="3293" customWidth="1"/>
    <col min="7181" max="7181" width="21.125" style="3293" customWidth="1"/>
    <col min="7182" max="7182" width="145" style="3293" customWidth="1"/>
    <col min="7183" max="7183" width="10.625" style="3293" customWidth="1"/>
    <col min="7184" max="7184" width="16" style="3293" customWidth="1"/>
    <col min="7185" max="7185" width="14.375" style="3293" customWidth="1"/>
    <col min="7186" max="7186" width="6.25" style="3293" customWidth="1"/>
    <col min="7187" max="7187" width="23" style="3293" customWidth="1"/>
    <col min="7188" max="7188" width="7.875" style="3293" customWidth="1"/>
    <col min="7189" max="7424" width="9" style="3293"/>
    <col min="7425" max="7425" width="90" style="3293" customWidth="1"/>
    <col min="7426" max="7426" width="6.25" style="3293" customWidth="1"/>
    <col min="7427" max="7427" width="11.75" style="3293" customWidth="1"/>
    <col min="7428" max="7428" width="4.625" style="3293" customWidth="1"/>
    <col min="7429" max="7429" width="86.875" style="3293" customWidth="1"/>
    <col min="7430" max="7430" width="7.875" style="3293" customWidth="1"/>
    <col min="7431" max="7431" width="21.125" style="3293" customWidth="1"/>
    <col min="7432" max="7432" width="103.5" style="3293" customWidth="1"/>
    <col min="7433" max="7434" width="13.875" style="3293" customWidth="1"/>
    <col min="7435" max="7435" width="6.75" style="3293" customWidth="1"/>
    <col min="7436" max="7436" width="9" style="3293" customWidth="1"/>
    <col min="7437" max="7437" width="21.125" style="3293" customWidth="1"/>
    <col min="7438" max="7438" width="145" style="3293" customWidth="1"/>
    <col min="7439" max="7439" width="10.625" style="3293" customWidth="1"/>
    <col min="7440" max="7440" width="16" style="3293" customWidth="1"/>
    <col min="7441" max="7441" width="14.375" style="3293" customWidth="1"/>
    <col min="7442" max="7442" width="6.25" style="3293" customWidth="1"/>
    <col min="7443" max="7443" width="23" style="3293" customWidth="1"/>
    <col min="7444" max="7444" width="7.875" style="3293" customWidth="1"/>
    <col min="7445" max="7680" width="9" style="3293"/>
    <col min="7681" max="7681" width="90" style="3293" customWidth="1"/>
    <col min="7682" max="7682" width="6.25" style="3293" customWidth="1"/>
    <col min="7683" max="7683" width="11.75" style="3293" customWidth="1"/>
    <col min="7684" max="7684" width="4.625" style="3293" customWidth="1"/>
    <col min="7685" max="7685" width="86.875" style="3293" customWidth="1"/>
    <col min="7686" max="7686" width="7.875" style="3293" customWidth="1"/>
    <col min="7687" max="7687" width="21.125" style="3293" customWidth="1"/>
    <col min="7688" max="7688" width="103.5" style="3293" customWidth="1"/>
    <col min="7689" max="7690" width="13.875" style="3293" customWidth="1"/>
    <col min="7691" max="7691" width="6.75" style="3293" customWidth="1"/>
    <col min="7692" max="7692" width="9" style="3293" customWidth="1"/>
    <col min="7693" max="7693" width="21.125" style="3293" customWidth="1"/>
    <col min="7694" max="7694" width="145" style="3293" customWidth="1"/>
    <col min="7695" max="7695" width="10.625" style="3293" customWidth="1"/>
    <col min="7696" max="7696" width="16" style="3293" customWidth="1"/>
    <col min="7697" max="7697" width="14.375" style="3293" customWidth="1"/>
    <col min="7698" max="7698" width="6.25" style="3293" customWidth="1"/>
    <col min="7699" max="7699" width="23" style="3293" customWidth="1"/>
    <col min="7700" max="7700" width="7.875" style="3293" customWidth="1"/>
    <col min="7701" max="7936" width="9" style="3293"/>
    <col min="7937" max="7937" width="90" style="3293" customWidth="1"/>
    <col min="7938" max="7938" width="6.25" style="3293" customWidth="1"/>
    <col min="7939" max="7939" width="11.75" style="3293" customWidth="1"/>
    <col min="7940" max="7940" width="4.625" style="3293" customWidth="1"/>
    <col min="7941" max="7941" width="86.875" style="3293" customWidth="1"/>
    <col min="7942" max="7942" width="7.875" style="3293" customWidth="1"/>
    <col min="7943" max="7943" width="21.125" style="3293" customWidth="1"/>
    <col min="7944" max="7944" width="103.5" style="3293" customWidth="1"/>
    <col min="7945" max="7946" width="13.875" style="3293" customWidth="1"/>
    <col min="7947" max="7947" width="6.75" style="3293" customWidth="1"/>
    <col min="7948" max="7948" width="9" style="3293" customWidth="1"/>
    <col min="7949" max="7949" width="21.125" style="3293" customWidth="1"/>
    <col min="7950" max="7950" width="145" style="3293" customWidth="1"/>
    <col min="7951" max="7951" width="10.625" style="3293" customWidth="1"/>
    <col min="7952" max="7952" width="16" style="3293" customWidth="1"/>
    <col min="7953" max="7953" width="14.375" style="3293" customWidth="1"/>
    <col min="7954" max="7954" width="6.25" style="3293" customWidth="1"/>
    <col min="7955" max="7955" width="23" style="3293" customWidth="1"/>
    <col min="7956" max="7956" width="7.875" style="3293" customWidth="1"/>
    <col min="7957" max="8192" width="9" style="3293"/>
    <col min="8193" max="8193" width="90" style="3293" customWidth="1"/>
    <col min="8194" max="8194" width="6.25" style="3293" customWidth="1"/>
    <col min="8195" max="8195" width="11.75" style="3293" customWidth="1"/>
    <col min="8196" max="8196" width="4.625" style="3293" customWidth="1"/>
    <col min="8197" max="8197" width="86.875" style="3293" customWidth="1"/>
    <col min="8198" max="8198" width="7.875" style="3293" customWidth="1"/>
    <col min="8199" max="8199" width="21.125" style="3293" customWidth="1"/>
    <col min="8200" max="8200" width="103.5" style="3293" customWidth="1"/>
    <col min="8201" max="8202" width="13.875" style="3293" customWidth="1"/>
    <col min="8203" max="8203" width="6.75" style="3293" customWidth="1"/>
    <col min="8204" max="8204" width="9" style="3293" customWidth="1"/>
    <col min="8205" max="8205" width="21.125" style="3293" customWidth="1"/>
    <col min="8206" max="8206" width="145" style="3293" customWidth="1"/>
    <col min="8207" max="8207" width="10.625" style="3293" customWidth="1"/>
    <col min="8208" max="8208" width="16" style="3293" customWidth="1"/>
    <col min="8209" max="8209" width="14.375" style="3293" customWidth="1"/>
    <col min="8210" max="8210" width="6.25" style="3293" customWidth="1"/>
    <col min="8211" max="8211" width="23" style="3293" customWidth="1"/>
    <col min="8212" max="8212" width="7.875" style="3293" customWidth="1"/>
    <col min="8213" max="8448" width="9" style="3293"/>
    <col min="8449" max="8449" width="90" style="3293" customWidth="1"/>
    <col min="8450" max="8450" width="6.25" style="3293" customWidth="1"/>
    <col min="8451" max="8451" width="11.75" style="3293" customWidth="1"/>
    <col min="8452" max="8452" width="4.625" style="3293" customWidth="1"/>
    <col min="8453" max="8453" width="86.875" style="3293" customWidth="1"/>
    <col min="8454" max="8454" width="7.875" style="3293" customWidth="1"/>
    <col min="8455" max="8455" width="21.125" style="3293" customWidth="1"/>
    <col min="8456" max="8456" width="103.5" style="3293" customWidth="1"/>
    <col min="8457" max="8458" width="13.875" style="3293" customWidth="1"/>
    <col min="8459" max="8459" width="6.75" style="3293" customWidth="1"/>
    <col min="8460" max="8460" width="9" style="3293" customWidth="1"/>
    <col min="8461" max="8461" width="21.125" style="3293" customWidth="1"/>
    <col min="8462" max="8462" width="145" style="3293" customWidth="1"/>
    <col min="8463" max="8463" width="10.625" style="3293" customWidth="1"/>
    <col min="8464" max="8464" width="16" style="3293" customWidth="1"/>
    <col min="8465" max="8465" width="14.375" style="3293" customWidth="1"/>
    <col min="8466" max="8466" width="6.25" style="3293" customWidth="1"/>
    <col min="8467" max="8467" width="23" style="3293" customWidth="1"/>
    <col min="8468" max="8468" width="7.875" style="3293" customWidth="1"/>
    <col min="8469" max="8704" width="9" style="3293"/>
    <col min="8705" max="8705" width="90" style="3293" customWidth="1"/>
    <col min="8706" max="8706" width="6.25" style="3293" customWidth="1"/>
    <col min="8707" max="8707" width="11.75" style="3293" customWidth="1"/>
    <col min="8708" max="8708" width="4.625" style="3293" customWidth="1"/>
    <col min="8709" max="8709" width="86.875" style="3293" customWidth="1"/>
    <col min="8710" max="8710" width="7.875" style="3293" customWidth="1"/>
    <col min="8711" max="8711" width="21.125" style="3293" customWidth="1"/>
    <col min="8712" max="8712" width="103.5" style="3293" customWidth="1"/>
    <col min="8713" max="8714" width="13.875" style="3293" customWidth="1"/>
    <col min="8715" max="8715" width="6.75" style="3293" customWidth="1"/>
    <col min="8716" max="8716" width="9" style="3293" customWidth="1"/>
    <col min="8717" max="8717" width="21.125" style="3293" customWidth="1"/>
    <col min="8718" max="8718" width="145" style="3293" customWidth="1"/>
    <col min="8719" max="8719" width="10.625" style="3293" customWidth="1"/>
    <col min="8720" max="8720" width="16" style="3293" customWidth="1"/>
    <col min="8721" max="8721" width="14.375" style="3293" customWidth="1"/>
    <col min="8722" max="8722" width="6.25" style="3293" customWidth="1"/>
    <col min="8723" max="8723" width="23" style="3293" customWidth="1"/>
    <col min="8724" max="8724" width="7.875" style="3293" customWidth="1"/>
    <col min="8725" max="8960" width="9" style="3293"/>
    <col min="8961" max="8961" width="90" style="3293" customWidth="1"/>
    <col min="8962" max="8962" width="6.25" style="3293" customWidth="1"/>
    <col min="8963" max="8963" width="11.75" style="3293" customWidth="1"/>
    <col min="8964" max="8964" width="4.625" style="3293" customWidth="1"/>
    <col min="8965" max="8965" width="86.875" style="3293" customWidth="1"/>
    <col min="8966" max="8966" width="7.875" style="3293" customWidth="1"/>
    <col min="8967" max="8967" width="21.125" style="3293" customWidth="1"/>
    <col min="8968" max="8968" width="103.5" style="3293" customWidth="1"/>
    <col min="8969" max="8970" width="13.875" style="3293" customWidth="1"/>
    <col min="8971" max="8971" width="6.75" style="3293" customWidth="1"/>
    <col min="8972" max="8972" width="9" style="3293" customWidth="1"/>
    <col min="8973" max="8973" width="21.125" style="3293" customWidth="1"/>
    <col min="8974" max="8974" width="145" style="3293" customWidth="1"/>
    <col min="8975" max="8975" width="10.625" style="3293" customWidth="1"/>
    <col min="8976" max="8976" width="16" style="3293" customWidth="1"/>
    <col min="8977" max="8977" width="14.375" style="3293" customWidth="1"/>
    <col min="8978" max="8978" width="6.25" style="3293" customWidth="1"/>
    <col min="8979" max="8979" width="23" style="3293" customWidth="1"/>
    <col min="8980" max="8980" width="7.875" style="3293" customWidth="1"/>
    <col min="8981" max="9216" width="9" style="3293"/>
    <col min="9217" max="9217" width="90" style="3293" customWidth="1"/>
    <col min="9218" max="9218" width="6.25" style="3293" customWidth="1"/>
    <col min="9219" max="9219" width="11.75" style="3293" customWidth="1"/>
    <col min="9220" max="9220" width="4.625" style="3293" customWidth="1"/>
    <col min="9221" max="9221" width="86.875" style="3293" customWidth="1"/>
    <col min="9222" max="9222" width="7.875" style="3293" customWidth="1"/>
    <col min="9223" max="9223" width="21.125" style="3293" customWidth="1"/>
    <col min="9224" max="9224" width="103.5" style="3293" customWidth="1"/>
    <col min="9225" max="9226" width="13.875" style="3293" customWidth="1"/>
    <col min="9227" max="9227" width="6.75" style="3293" customWidth="1"/>
    <col min="9228" max="9228" width="9" style="3293" customWidth="1"/>
    <col min="9229" max="9229" width="21.125" style="3293" customWidth="1"/>
    <col min="9230" max="9230" width="145" style="3293" customWidth="1"/>
    <col min="9231" max="9231" width="10.625" style="3293" customWidth="1"/>
    <col min="9232" max="9232" width="16" style="3293" customWidth="1"/>
    <col min="9233" max="9233" width="14.375" style="3293" customWidth="1"/>
    <col min="9234" max="9234" width="6.25" style="3293" customWidth="1"/>
    <col min="9235" max="9235" width="23" style="3293" customWidth="1"/>
    <col min="9236" max="9236" width="7.875" style="3293" customWidth="1"/>
    <col min="9237" max="9472" width="9" style="3293"/>
    <col min="9473" max="9473" width="90" style="3293" customWidth="1"/>
    <col min="9474" max="9474" width="6.25" style="3293" customWidth="1"/>
    <col min="9475" max="9475" width="11.75" style="3293" customWidth="1"/>
    <col min="9476" max="9476" width="4.625" style="3293" customWidth="1"/>
    <col min="9477" max="9477" width="86.875" style="3293" customWidth="1"/>
    <col min="9478" max="9478" width="7.875" style="3293" customWidth="1"/>
    <col min="9479" max="9479" width="21.125" style="3293" customWidth="1"/>
    <col min="9480" max="9480" width="103.5" style="3293" customWidth="1"/>
    <col min="9481" max="9482" width="13.875" style="3293" customWidth="1"/>
    <col min="9483" max="9483" width="6.75" style="3293" customWidth="1"/>
    <col min="9484" max="9484" width="9" style="3293" customWidth="1"/>
    <col min="9485" max="9485" width="21.125" style="3293" customWidth="1"/>
    <col min="9486" max="9486" width="145" style="3293" customWidth="1"/>
    <col min="9487" max="9487" width="10.625" style="3293" customWidth="1"/>
    <col min="9488" max="9488" width="16" style="3293" customWidth="1"/>
    <col min="9489" max="9489" width="14.375" style="3293" customWidth="1"/>
    <col min="9490" max="9490" width="6.25" style="3293" customWidth="1"/>
    <col min="9491" max="9491" width="23" style="3293" customWidth="1"/>
    <col min="9492" max="9492" width="7.875" style="3293" customWidth="1"/>
    <col min="9493" max="9728" width="9" style="3293"/>
    <col min="9729" max="9729" width="90" style="3293" customWidth="1"/>
    <col min="9730" max="9730" width="6.25" style="3293" customWidth="1"/>
    <col min="9731" max="9731" width="11.75" style="3293" customWidth="1"/>
    <col min="9732" max="9732" width="4.625" style="3293" customWidth="1"/>
    <col min="9733" max="9733" width="86.875" style="3293" customWidth="1"/>
    <col min="9734" max="9734" width="7.875" style="3293" customWidth="1"/>
    <col min="9735" max="9735" width="21.125" style="3293" customWidth="1"/>
    <col min="9736" max="9736" width="103.5" style="3293" customWidth="1"/>
    <col min="9737" max="9738" width="13.875" style="3293" customWidth="1"/>
    <col min="9739" max="9739" width="6.75" style="3293" customWidth="1"/>
    <col min="9740" max="9740" width="9" style="3293" customWidth="1"/>
    <col min="9741" max="9741" width="21.125" style="3293" customWidth="1"/>
    <col min="9742" max="9742" width="145" style="3293" customWidth="1"/>
    <col min="9743" max="9743" width="10.625" style="3293" customWidth="1"/>
    <col min="9744" max="9744" width="16" style="3293" customWidth="1"/>
    <col min="9745" max="9745" width="14.375" style="3293" customWidth="1"/>
    <col min="9746" max="9746" width="6.25" style="3293" customWidth="1"/>
    <col min="9747" max="9747" width="23" style="3293" customWidth="1"/>
    <col min="9748" max="9748" width="7.875" style="3293" customWidth="1"/>
    <col min="9749" max="9984" width="9" style="3293"/>
    <col min="9985" max="9985" width="90" style="3293" customWidth="1"/>
    <col min="9986" max="9986" width="6.25" style="3293" customWidth="1"/>
    <col min="9987" max="9987" width="11.75" style="3293" customWidth="1"/>
    <col min="9988" max="9988" width="4.625" style="3293" customWidth="1"/>
    <col min="9989" max="9989" width="86.875" style="3293" customWidth="1"/>
    <col min="9990" max="9990" width="7.875" style="3293" customWidth="1"/>
    <col min="9991" max="9991" width="21.125" style="3293" customWidth="1"/>
    <col min="9992" max="9992" width="103.5" style="3293" customWidth="1"/>
    <col min="9993" max="9994" width="13.875" style="3293" customWidth="1"/>
    <col min="9995" max="9995" width="6.75" style="3293" customWidth="1"/>
    <col min="9996" max="9996" width="9" style="3293" customWidth="1"/>
    <col min="9997" max="9997" width="21.125" style="3293" customWidth="1"/>
    <col min="9998" max="9998" width="145" style="3293" customWidth="1"/>
    <col min="9999" max="9999" width="10.625" style="3293" customWidth="1"/>
    <col min="10000" max="10000" width="16" style="3293" customWidth="1"/>
    <col min="10001" max="10001" width="14.375" style="3293" customWidth="1"/>
    <col min="10002" max="10002" width="6.25" style="3293" customWidth="1"/>
    <col min="10003" max="10003" width="23" style="3293" customWidth="1"/>
    <col min="10004" max="10004" width="7.875" style="3293" customWidth="1"/>
    <col min="10005" max="10240" width="9" style="3293"/>
    <col min="10241" max="10241" width="90" style="3293" customWidth="1"/>
    <col min="10242" max="10242" width="6.25" style="3293" customWidth="1"/>
    <col min="10243" max="10243" width="11.75" style="3293" customWidth="1"/>
    <col min="10244" max="10244" width="4.625" style="3293" customWidth="1"/>
    <col min="10245" max="10245" width="86.875" style="3293" customWidth="1"/>
    <col min="10246" max="10246" width="7.875" style="3293" customWidth="1"/>
    <col min="10247" max="10247" width="21.125" style="3293" customWidth="1"/>
    <col min="10248" max="10248" width="103.5" style="3293" customWidth="1"/>
    <col min="10249" max="10250" width="13.875" style="3293" customWidth="1"/>
    <col min="10251" max="10251" width="6.75" style="3293" customWidth="1"/>
    <col min="10252" max="10252" width="9" style="3293" customWidth="1"/>
    <col min="10253" max="10253" width="21.125" style="3293" customWidth="1"/>
    <col min="10254" max="10254" width="145" style="3293" customWidth="1"/>
    <col min="10255" max="10255" width="10.625" style="3293" customWidth="1"/>
    <col min="10256" max="10256" width="16" style="3293" customWidth="1"/>
    <col min="10257" max="10257" width="14.375" style="3293" customWidth="1"/>
    <col min="10258" max="10258" width="6.25" style="3293" customWidth="1"/>
    <col min="10259" max="10259" width="23" style="3293" customWidth="1"/>
    <col min="10260" max="10260" width="7.875" style="3293" customWidth="1"/>
    <col min="10261" max="10496" width="9" style="3293"/>
    <col min="10497" max="10497" width="90" style="3293" customWidth="1"/>
    <col min="10498" max="10498" width="6.25" style="3293" customWidth="1"/>
    <col min="10499" max="10499" width="11.75" style="3293" customWidth="1"/>
    <col min="10500" max="10500" width="4.625" style="3293" customWidth="1"/>
    <col min="10501" max="10501" width="86.875" style="3293" customWidth="1"/>
    <col min="10502" max="10502" width="7.875" style="3293" customWidth="1"/>
    <col min="10503" max="10503" width="21.125" style="3293" customWidth="1"/>
    <col min="10504" max="10504" width="103.5" style="3293" customWidth="1"/>
    <col min="10505" max="10506" width="13.875" style="3293" customWidth="1"/>
    <col min="10507" max="10507" width="6.75" style="3293" customWidth="1"/>
    <col min="10508" max="10508" width="9" style="3293" customWidth="1"/>
    <col min="10509" max="10509" width="21.125" style="3293" customWidth="1"/>
    <col min="10510" max="10510" width="145" style="3293" customWidth="1"/>
    <col min="10511" max="10511" width="10.625" style="3293" customWidth="1"/>
    <col min="10512" max="10512" width="16" style="3293" customWidth="1"/>
    <col min="10513" max="10513" width="14.375" style="3293" customWidth="1"/>
    <col min="10514" max="10514" width="6.25" style="3293" customWidth="1"/>
    <col min="10515" max="10515" width="23" style="3293" customWidth="1"/>
    <col min="10516" max="10516" width="7.875" style="3293" customWidth="1"/>
    <col min="10517" max="10752" width="9" style="3293"/>
    <col min="10753" max="10753" width="90" style="3293" customWidth="1"/>
    <col min="10754" max="10754" width="6.25" style="3293" customWidth="1"/>
    <col min="10755" max="10755" width="11.75" style="3293" customWidth="1"/>
    <col min="10756" max="10756" width="4.625" style="3293" customWidth="1"/>
    <col min="10757" max="10757" width="86.875" style="3293" customWidth="1"/>
    <col min="10758" max="10758" width="7.875" style="3293" customWidth="1"/>
    <col min="10759" max="10759" width="21.125" style="3293" customWidth="1"/>
    <col min="10760" max="10760" width="103.5" style="3293" customWidth="1"/>
    <col min="10761" max="10762" width="13.875" style="3293" customWidth="1"/>
    <col min="10763" max="10763" width="6.75" style="3293" customWidth="1"/>
    <col min="10764" max="10764" width="9" style="3293" customWidth="1"/>
    <col min="10765" max="10765" width="21.125" style="3293" customWidth="1"/>
    <col min="10766" max="10766" width="145" style="3293" customWidth="1"/>
    <col min="10767" max="10767" width="10.625" style="3293" customWidth="1"/>
    <col min="10768" max="10768" width="16" style="3293" customWidth="1"/>
    <col min="10769" max="10769" width="14.375" style="3293" customWidth="1"/>
    <col min="10770" max="10770" width="6.25" style="3293" customWidth="1"/>
    <col min="10771" max="10771" width="23" style="3293" customWidth="1"/>
    <col min="10772" max="10772" width="7.875" style="3293" customWidth="1"/>
    <col min="10773" max="11008" width="9" style="3293"/>
    <col min="11009" max="11009" width="90" style="3293" customWidth="1"/>
    <col min="11010" max="11010" width="6.25" style="3293" customWidth="1"/>
    <col min="11011" max="11011" width="11.75" style="3293" customWidth="1"/>
    <col min="11012" max="11012" width="4.625" style="3293" customWidth="1"/>
    <col min="11013" max="11013" width="86.875" style="3293" customWidth="1"/>
    <col min="11014" max="11014" width="7.875" style="3293" customWidth="1"/>
    <col min="11015" max="11015" width="21.125" style="3293" customWidth="1"/>
    <col min="11016" max="11016" width="103.5" style="3293" customWidth="1"/>
    <col min="11017" max="11018" width="13.875" style="3293" customWidth="1"/>
    <col min="11019" max="11019" width="6.75" style="3293" customWidth="1"/>
    <col min="11020" max="11020" width="9" style="3293" customWidth="1"/>
    <col min="11021" max="11021" width="21.125" style="3293" customWidth="1"/>
    <col min="11022" max="11022" width="145" style="3293" customWidth="1"/>
    <col min="11023" max="11023" width="10.625" style="3293" customWidth="1"/>
    <col min="11024" max="11024" width="16" style="3293" customWidth="1"/>
    <col min="11025" max="11025" width="14.375" style="3293" customWidth="1"/>
    <col min="11026" max="11026" width="6.25" style="3293" customWidth="1"/>
    <col min="11027" max="11027" width="23" style="3293" customWidth="1"/>
    <col min="11028" max="11028" width="7.875" style="3293" customWidth="1"/>
    <col min="11029" max="11264" width="9" style="3293"/>
    <col min="11265" max="11265" width="90" style="3293" customWidth="1"/>
    <col min="11266" max="11266" width="6.25" style="3293" customWidth="1"/>
    <col min="11267" max="11267" width="11.75" style="3293" customWidth="1"/>
    <col min="11268" max="11268" width="4.625" style="3293" customWidth="1"/>
    <col min="11269" max="11269" width="86.875" style="3293" customWidth="1"/>
    <col min="11270" max="11270" width="7.875" style="3293" customWidth="1"/>
    <col min="11271" max="11271" width="21.125" style="3293" customWidth="1"/>
    <col min="11272" max="11272" width="103.5" style="3293" customWidth="1"/>
    <col min="11273" max="11274" width="13.875" style="3293" customWidth="1"/>
    <col min="11275" max="11275" width="6.75" style="3293" customWidth="1"/>
    <col min="11276" max="11276" width="9" style="3293" customWidth="1"/>
    <col min="11277" max="11277" width="21.125" style="3293" customWidth="1"/>
    <col min="11278" max="11278" width="145" style="3293" customWidth="1"/>
    <col min="11279" max="11279" width="10.625" style="3293" customWidth="1"/>
    <col min="11280" max="11280" width="16" style="3293" customWidth="1"/>
    <col min="11281" max="11281" width="14.375" style="3293" customWidth="1"/>
    <col min="11282" max="11282" width="6.25" style="3293" customWidth="1"/>
    <col min="11283" max="11283" width="23" style="3293" customWidth="1"/>
    <col min="11284" max="11284" width="7.875" style="3293" customWidth="1"/>
    <col min="11285" max="11520" width="9" style="3293"/>
    <col min="11521" max="11521" width="90" style="3293" customWidth="1"/>
    <col min="11522" max="11522" width="6.25" style="3293" customWidth="1"/>
    <col min="11523" max="11523" width="11.75" style="3293" customWidth="1"/>
    <col min="11524" max="11524" width="4.625" style="3293" customWidth="1"/>
    <col min="11525" max="11525" width="86.875" style="3293" customWidth="1"/>
    <col min="11526" max="11526" width="7.875" style="3293" customWidth="1"/>
    <col min="11527" max="11527" width="21.125" style="3293" customWidth="1"/>
    <col min="11528" max="11528" width="103.5" style="3293" customWidth="1"/>
    <col min="11529" max="11530" width="13.875" style="3293" customWidth="1"/>
    <col min="11531" max="11531" width="6.75" style="3293" customWidth="1"/>
    <col min="11532" max="11532" width="9" style="3293" customWidth="1"/>
    <col min="11533" max="11533" width="21.125" style="3293" customWidth="1"/>
    <col min="11534" max="11534" width="145" style="3293" customWidth="1"/>
    <col min="11535" max="11535" width="10.625" style="3293" customWidth="1"/>
    <col min="11536" max="11536" width="16" style="3293" customWidth="1"/>
    <col min="11537" max="11537" width="14.375" style="3293" customWidth="1"/>
    <col min="11538" max="11538" width="6.25" style="3293" customWidth="1"/>
    <col min="11539" max="11539" width="23" style="3293" customWidth="1"/>
    <col min="11540" max="11540" width="7.875" style="3293" customWidth="1"/>
    <col min="11541" max="11776" width="9" style="3293"/>
    <col min="11777" max="11777" width="90" style="3293" customWidth="1"/>
    <col min="11778" max="11778" width="6.25" style="3293" customWidth="1"/>
    <col min="11779" max="11779" width="11.75" style="3293" customWidth="1"/>
    <col min="11780" max="11780" width="4.625" style="3293" customWidth="1"/>
    <col min="11781" max="11781" width="86.875" style="3293" customWidth="1"/>
    <col min="11782" max="11782" width="7.875" style="3293" customWidth="1"/>
    <col min="11783" max="11783" width="21.125" style="3293" customWidth="1"/>
    <col min="11784" max="11784" width="103.5" style="3293" customWidth="1"/>
    <col min="11785" max="11786" width="13.875" style="3293" customWidth="1"/>
    <col min="11787" max="11787" width="6.75" style="3293" customWidth="1"/>
    <col min="11788" max="11788" width="9" style="3293" customWidth="1"/>
    <col min="11789" max="11789" width="21.125" style="3293" customWidth="1"/>
    <col min="11790" max="11790" width="145" style="3293" customWidth="1"/>
    <col min="11791" max="11791" width="10.625" style="3293" customWidth="1"/>
    <col min="11792" max="11792" width="16" style="3293" customWidth="1"/>
    <col min="11793" max="11793" width="14.375" style="3293" customWidth="1"/>
    <col min="11794" max="11794" width="6.25" style="3293" customWidth="1"/>
    <col min="11795" max="11795" width="23" style="3293" customWidth="1"/>
    <col min="11796" max="11796" width="7.875" style="3293" customWidth="1"/>
    <col min="11797" max="12032" width="9" style="3293"/>
    <col min="12033" max="12033" width="90" style="3293" customWidth="1"/>
    <col min="12034" max="12034" width="6.25" style="3293" customWidth="1"/>
    <col min="12035" max="12035" width="11.75" style="3293" customWidth="1"/>
    <col min="12036" max="12036" width="4.625" style="3293" customWidth="1"/>
    <col min="12037" max="12037" width="86.875" style="3293" customWidth="1"/>
    <col min="12038" max="12038" width="7.875" style="3293" customWidth="1"/>
    <col min="12039" max="12039" width="21.125" style="3293" customWidth="1"/>
    <col min="12040" max="12040" width="103.5" style="3293" customWidth="1"/>
    <col min="12041" max="12042" width="13.875" style="3293" customWidth="1"/>
    <col min="12043" max="12043" width="6.75" style="3293" customWidth="1"/>
    <col min="12044" max="12044" width="9" style="3293" customWidth="1"/>
    <col min="12045" max="12045" width="21.125" style="3293" customWidth="1"/>
    <col min="12046" max="12046" width="145" style="3293" customWidth="1"/>
    <col min="12047" max="12047" width="10.625" style="3293" customWidth="1"/>
    <col min="12048" max="12048" width="16" style="3293" customWidth="1"/>
    <col min="12049" max="12049" width="14.375" style="3293" customWidth="1"/>
    <col min="12050" max="12050" width="6.25" style="3293" customWidth="1"/>
    <col min="12051" max="12051" width="23" style="3293" customWidth="1"/>
    <col min="12052" max="12052" width="7.875" style="3293" customWidth="1"/>
    <col min="12053" max="12288" width="9" style="3293"/>
    <col min="12289" max="12289" width="90" style="3293" customWidth="1"/>
    <col min="12290" max="12290" width="6.25" style="3293" customWidth="1"/>
    <col min="12291" max="12291" width="11.75" style="3293" customWidth="1"/>
    <col min="12292" max="12292" width="4.625" style="3293" customWidth="1"/>
    <col min="12293" max="12293" width="86.875" style="3293" customWidth="1"/>
    <col min="12294" max="12294" width="7.875" style="3293" customWidth="1"/>
    <col min="12295" max="12295" width="21.125" style="3293" customWidth="1"/>
    <col min="12296" max="12296" width="103.5" style="3293" customWidth="1"/>
    <col min="12297" max="12298" width="13.875" style="3293" customWidth="1"/>
    <col min="12299" max="12299" width="6.75" style="3293" customWidth="1"/>
    <col min="12300" max="12300" width="9" style="3293" customWidth="1"/>
    <col min="12301" max="12301" width="21.125" style="3293" customWidth="1"/>
    <col min="12302" max="12302" width="145" style="3293" customWidth="1"/>
    <col min="12303" max="12303" width="10.625" style="3293" customWidth="1"/>
    <col min="12304" max="12304" width="16" style="3293" customWidth="1"/>
    <col min="12305" max="12305" width="14.375" style="3293" customWidth="1"/>
    <col min="12306" max="12306" width="6.25" style="3293" customWidth="1"/>
    <col min="12307" max="12307" width="23" style="3293" customWidth="1"/>
    <col min="12308" max="12308" width="7.875" style="3293" customWidth="1"/>
    <col min="12309" max="12544" width="9" style="3293"/>
    <col min="12545" max="12545" width="90" style="3293" customWidth="1"/>
    <col min="12546" max="12546" width="6.25" style="3293" customWidth="1"/>
    <col min="12547" max="12547" width="11.75" style="3293" customWidth="1"/>
    <col min="12548" max="12548" width="4.625" style="3293" customWidth="1"/>
    <col min="12549" max="12549" width="86.875" style="3293" customWidth="1"/>
    <col min="12550" max="12550" width="7.875" style="3293" customWidth="1"/>
    <col min="12551" max="12551" width="21.125" style="3293" customWidth="1"/>
    <col min="12552" max="12552" width="103.5" style="3293" customWidth="1"/>
    <col min="12553" max="12554" width="13.875" style="3293" customWidth="1"/>
    <col min="12555" max="12555" width="6.75" style="3293" customWidth="1"/>
    <col min="12556" max="12556" width="9" style="3293" customWidth="1"/>
    <col min="12557" max="12557" width="21.125" style="3293" customWidth="1"/>
    <col min="12558" max="12558" width="145" style="3293" customWidth="1"/>
    <col min="12559" max="12559" width="10.625" style="3293" customWidth="1"/>
    <col min="12560" max="12560" width="16" style="3293" customWidth="1"/>
    <col min="12561" max="12561" width="14.375" style="3293" customWidth="1"/>
    <col min="12562" max="12562" width="6.25" style="3293" customWidth="1"/>
    <col min="12563" max="12563" width="23" style="3293" customWidth="1"/>
    <col min="12564" max="12564" width="7.875" style="3293" customWidth="1"/>
    <col min="12565" max="12800" width="9" style="3293"/>
    <col min="12801" max="12801" width="90" style="3293" customWidth="1"/>
    <col min="12802" max="12802" width="6.25" style="3293" customWidth="1"/>
    <col min="12803" max="12803" width="11.75" style="3293" customWidth="1"/>
    <col min="12804" max="12804" width="4.625" style="3293" customWidth="1"/>
    <col min="12805" max="12805" width="86.875" style="3293" customWidth="1"/>
    <col min="12806" max="12806" width="7.875" style="3293" customWidth="1"/>
    <col min="12807" max="12807" width="21.125" style="3293" customWidth="1"/>
    <col min="12808" max="12808" width="103.5" style="3293" customWidth="1"/>
    <col min="12809" max="12810" width="13.875" style="3293" customWidth="1"/>
    <col min="12811" max="12811" width="6.75" style="3293" customWidth="1"/>
    <col min="12812" max="12812" width="9" style="3293" customWidth="1"/>
    <col min="12813" max="12813" width="21.125" style="3293" customWidth="1"/>
    <col min="12814" max="12814" width="145" style="3293" customWidth="1"/>
    <col min="12815" max="12815" width="10.625" style="3293" customWidth="1"/>
    <col min="12816" max="12816" width="16" style="3293" customWidth="1"/>
    <col min="12817" max="12817" width="14.375" style="3293" customWidth="1"/>
    <col min="12818" max="12818" width="6.25" style="3293" customWidth="1"/>
    <col min="12819" max="12819" width="23" style="3293" customWidth="1"/>
    <col min="12820" max="12820" width="7.875" style="3293" customWidth="1"/>
    <col min="12821" max="13056" width="9" style="3293"/>
    <col min="13057" max="13057" width="90" style="3293" customWidth="1"/>
    <col min="13058" max="13058" width="6.25" style="3293" customWidth="1"/>
    <col min="13059" max="13059" width="11.75" style="3293" customWidth="1"/>
    <col min="13060" max="13060" width="4.625" style="3293" customWidth="1"/>
    <col min="13061" max="13061" width="86.875" style="3293" customWidth="1"/>
    <col min="13062" max="13062" width="7.875" style="3293" customWidth="1"/>
    <col min="13063" max="13063" width="21.125" style="3293" customWidth="1"/>
    <col min="13064" max="13064" width="103.5" style="3293" customWidth="1"/>
    <col min="13065" max="13066" width="13.875" style="3293" customWidth="1"/>
    <col min="13067" max="13067" width="6.75" style="3293" customWidth="1"/>
    <col min="13068" max="13068" width="9" style="3293" customWidth="1"/>
    <col min="13069" max="13069" width="21.125" style="3293" customWidth="1"/>
    <col min="13070" max="13070" width="145" style="3293" customWidth="1"/>
    <col min="13071" max="13071" width="10.625" style="3293" customWidth="1"/>
    <col min="13072" max="13072" width="16" style="3293" customWidth="1"/>
    <col min="13073" max="13073" width="14.375" style="3293" customWidth="1"/>
    <col min="13074" max="13074" width="6.25" style="3293" customWidth="1"/>
    <col min="13075" max="13075" width="23" style="3293" customWidth="1"/>
    <col min="13076" max="13076" width="7.875" style="3293" customWidth="1"/>
    <col min="13077" max="13312" width="9" style="3293"/>
    <col min="13313" max="13313" width="90" style="3293" customWidth="1"/>
    <col min="13314" max="13314" width="6.25" style="3293" customWidth="1"/>
    <col min="13315" max="13315" width="11.75" style="3293" customWidth="1"/>
    <col min="13316" max="13316" width="4.625" style="3293" customWidth="1"/>
    <col min="13317" max="13317" width="86.875" style="3293" customWidth="1"/>
    <col min="13318" max="13318" width="7.875" style="3293" customWidth="1"/>
    <col min="13319" max="13319" width="21.125" style="3293" customWidth="1"/>
    <col min="13320" max="13320" width="103.5" style="3293" customWidth="1"/>
    <col min="13321" max="13322" width="13.875" style="3293" customWidth="1"/>
    <col min="13323" max="13323" width="6.75" style="3293" customWidth="1"/>
    <col min="13324" max="13324" width="9" style="3293" customWidth="1"/>
    <col min="13325" max="13325" width="21.125" style="3293" customWidth="1"/>
    <col min="13326" max="13326" width="145" style="3293" customWidth="1"/>
    <col min="13327" max="13327" width="10.625" style="3293" customWidth="1"/>
    <col min="13328" max="13328" width="16" style="3293" customWidth="1"/>
    <col min="13329" max="13329" width="14.375" style="3293" customWidth="1"/>
    <col min="13330" max="13330" width="6.25" style="3293" customWidth="1"/>
    <col min="13331" max="13331" width="23" style="3293" customWidth="1"/>
    <col min="13332" max="13332" width="7.875" style="3293" customWidth="1"/>
    <col min="13333" max="13568" width="9" style="3293"/>
    <col min="13569" max="13569" width="90" style="3293" customWidth="1"/>
    <col min="13570" max="13570" width="6.25" style="3293" customWidth="1"/>
    <col min="13571" max="13571" width="11.75" style="3293" customWidth="1"/>
    <col min="13572" max="13572" width="4.625" style="3293" customWidth="1"/>
    <col min="13573" max="13573" width="86.875" style="3293" customWidth="1"/>
    <col min="13574" max="13574" width="7.875" style="3293" customWidth="1"/>
    <col min="13575" max="13575" width="21.125" style="3293" customWidth="1"/>
    <col min="13576" max="13576" width="103.5" style="3293" customWidth="1"/>
    <col min="13577" max="13578" width="13.875" style="3293" customWidth="1"/>
    <col min="13579" max="13579" width="6.75" style="3293" customWidth="1"/>
    <col min="13580" max="13580" width="9" style="3293" customWidth="1"/>
    <col min="13581" max="13581" width="21.125" style="3293" customWidth="1"/>
    <col min="13582" max="13582" width="145" style="3293" customWidth="1"/>
    <col min="13583" max="13583" width="10.625" style="3293" customWidth="1"/>
    <col min="13584" max="13584" width="16" style="3293" customWidth="1"/>
    <col min="13585" max="13585" width="14.375" style="3293" customWidth="1"/>
    <col min="13586" max="13586" width="6.25" style="3293" customWidth="1"/>
    <col min="13587" max="13587" width="23" style="3293" customWidth="1"/>
    <col min="13588" max="13588" width="7.875" style="3293" customWidth="1"/>
    <col min="13589" max="13824" width="9" style="3293"/>
    <col min="13825" max="13825" width="90" style="3293" customWidth="1"/>
    <col min="13826" max="13826" width="6.25" style="3293" customWidth="1"/>
    <col min="13827" max="13827" width="11.75" style="3293" customWidth="1"/>
    <col min="13828" max="13828" width="4.625" style="3293" customWidth="1"/>
    <col min="13829" max="13829" width="86.875" style="3293" customWidth="1"/>
    <col min="13830" max="13830" width="7.875" style="3293" customWidth="1"/>
    <col min="13831" max="13831" width="21.125" style="3293" customWidth="1"/>
    <col min="13832" max="13832" width="103.5" style="3293" customWidth="1"/>
    <col min="13833" max="13834" width="13.875" style="3293" customWidth="1"/>
    <col min="13835" max="13835" width="6.75" style="3293" customWidth="1"/>
    <col min="13836" max="13836" width="9" style="3293" customWidth="1"/>
    <col min="13837" max="13837" width="21.125" style="3293" customWidth="1"/>
    <col min="13838" max="13838" width="145" style="3293" customWidth="1"/>
    <col min="13839" max="13839" width="10.625" style="3293" customWidth="1"/>
    <col min="13840" max="13840" width="16" style="3293" customWidth="1"/>
    <col min="13841" max="13841" width="14.375" style="3293" customWidth="1"/>
    <col min="13842" max="13842" width="6.25" style="3293" customWidth="1"/>
    <col min="13843" max="13843" width="23" style="3293" customWidth="1"/>
    <col min="13844" max="13844" width="7.875" style="3293" customWidth="1"/>
    <col min="13845" max="14080" width="9" style="3293"/>
    <col min="14081" max="14081" width="90" style="3293" customWidth="1"/>
    <col min="14082" max="14082" width="6.25" style="3293" customWidth="1"/>
    <col min="14083" max="14083" width="11.75" style="3293" customWidth="1"/>
    <col min="14084" max="14084" width="4.625" style="3293" customWidth="1"/>
    <col min="14085" max="14085" width="86.875" style="3293" customWidth="1"/>
    <col min="14086" max="14086" width="7.875" style="3293" customWidth="1"/>
    <col min="14087" max="14087" width="21.125" style="3293" customWidth="1"/>
    <col min="14088" max="14088" width="103.5" style="3293" customWidth="1"/>
    <col min="14089" max="14090" width="13.875" style="3293" customWidth="1"/>
    <col min="14091" max="14091" width="6.75" style="3293" customWidth="1"/>
    <col min="14092" max="14092" width="9" style="3293" customWidth="1"/>
    <col min="14093" max="14093" width="21.125" style="3293" customWidth="1"/>
    <col min="14094" max="14094" width="145" style="3293" customWidth="1"/>
    <col min="14095" max="14095" width="10.625" style="3293" customWidth="1"/>
    <col min="14096" max="14096" width="16" style="3293" customWidth="1"/>
    <col min="14097" max="14097" width="14.375" style="3293" customWidth="1"/>
    <col min="14098" max="14098" width="6.25" style="3293" customWidth="1"/>
    <col min="14099" max="14099" width="23" style="3293" customWidth="1"/>
    <col min="14100" max="14100" width="7.875" style="3293" customWidth="1"/>
    <col min="14101" max="14336" width="9" style="3293"/>
    <col min="14337" max="14337" width="90" style="3293" customWidth="1"/>
    <col min="14338" max="14338" width="6.25" style="3293" customWidth="1"/>
    <col min="14339" max="14339" width="11.75" style="3293" customWidth="1"/>
    <col min="14340" max="14340" width="4.625" style="3293" customWidth="1"/>
    <col min="14341" max="14341" width="86.875" style="3293" customWidth="1"/>
    <col min="14342" max="14342" width="7.875" style="3293" customWidth="1"/>
    <col min="14343" max="14343" width="21.125" style="3293" customWidth="1"/>
    <col min="14344" max="14344" width="103.5" style="3293" customWidth="1"/>
    <col min="14345" max="14346" width="13.875" style="3293" customWidth="1"/>
    <col min="14347" max="14347" width="6.75" style="3293" customWidth="1"/>
    <col min="14348" max="14348" width="9" style="3293" customWidth="1"/>
    <col min="14349" max="14349" width="21.125" style="3293" customWidth="1"/>
    <col min="14350" max="14350" width="145" style="3293" customWidth="1"/>
    <col min="14351" max="14351" width="10.625" style="3293" customWidth="1"/>
    <col min="14352" max="14352" width="16" style="3293" customWidth="1"/>
    <col min="14353" max="14353" width="14.375" style="3293" customWidth="1"/>
    <col min="14354" max="14354" width="6.25" style="3293" customWidth="1"/>
    <col min="14355" max="14355" width="23" style="3293" customWidth="1"/>
    <col min="14356" max="14356" width="7.875" style="3293" customWidth="1"/>
    <col min="14357" max="14592" width="9" style="3293"/>
    <col min="14593" max="14593" width="90" style="3293" customWidth="1"/>
    <col min="14594" max="14594" width="6.25" style="3293" customWidth="1"/>
    <col min="14595" max="14595" width="11.75" style="3293" customWidth="1"/>
    <col min="14596" max="14596" width="4.625" style="3293" customWidth="1"/>
    <col min="14597" max="14597" width="86.875" style="3293" customWidth="1"/>
    <col min="14598" max="14598" width="7.875" style="3293" customWidth="1"/>
    <col min="14599" max="14599" width="21.125" style="3293" customWidth="1"/>
    <col min="14600" max="14600" width="103.5" style="3293" customWidth="1"/>
    <col min="14601" max="14602" width="13.875" style="3293" customWidth="1"/>
    <col min="14603" max="14603" width="6.75" style="3293" customWidth="1"/>
    <col min="14604" max="14604" width="9" style="3293" customWidth="1"/>
    <col min="14605" max="14605" width="21.125" style="3293" customWidth="1"/>
    <col min="14606" max="14606" width="145" style="3293" customWidth="1"/>
    <col min="14607" max="14607" width="10.625" style="3293" customWidth="1"/>
    <col min="14608" max="14608" width="16" style="3293" customWidth="1"/>
    <col min="14609" max="14609" width="14.375" style="3293" customWidth="1"/>
    <col min="14610" max="14610" width="6.25" style="3293" customWidth="1"/>
    <col min="14611" max="14611" width="23" style="3293" customWidth="1"/>
    <col min="14612" max="14612" width="7.875" style="3293" customWidth="1"/>
    <col min="14613" max="14848" width="9" style="3293"/>
    <col min="14849" max="14849" width="90" style="3293" customWidth="1"/>
    <col min="14850" max="14850" width="6.25" style="3293" customWidth="1"/>
    <col min="14851" max="14851" width="11.75" style="3293" customWidth="1"/>
    <col min="14852" max="14852" width="4.625" style="3293" customWidth="1"/>
    <col min="14853" max="14853" width="86.875" style="3293" customWidth="1"/>
    <col min="14854" max="14854" width="7.875" style="3293" customWidth="1"/>
    <col min="14855" max="14855" width="21.125" style="3293" customWidth="1"/>
    <col min="14856" max="14856" width="103.5" style="3293" customWidth="1"/>
    <col min="14857" max="14858" width="13.875" style="3293" customWidth="1"/>
    <col min="14859" max="14859" width="6.75" style="3293" customWidth="1"/>
    <col min="14860" max="14860" width="9" style="3293" customWidth="1"/>
    <col min="14861" max="14861" width="21.125" style="3293" customWidth="1"/>
    <col min="14862" max="14862" width="145" style="3293" customWidth="1"/>
    <col min="14863" max="14863" width="10.625" style="3293" customWidth="1"/>
    <col min="14864" max="14864" width="16" style="3293" customWidth="1"/>
    <col min="14865" max="14865" width="14.375" style="3293" customWidth="1"/>
    <col min="14866" max="14866" width="6.25" style="3293" customWidth="1"/>
    <col min="14867" max="14867" width="23" style="3293" customWidth="1"/>
    <col min="14868" max="14868" width="7.875" style="3293" customWidth="1"/>
    <col min="14869" max="15104" width="9" style="3293"/>
    <col min="15105" max="15105" width="90" style="3293" customWidth="1"/>
    <col min="15106" max="15106" width="6.25" style="3293" customWidth="1"/>
    <col min="15107" max="15107" width="11.75" style="3293" customWidth="1"/>
    <col min="15108" max="15108" width="4.625" style="3293" customWidth="1"/>
    <col min="15109" max="15109" width="86.875" style="3293" customWidth="1"/>
    <col min="15110" max="15110" width="7.875" style="3293" customWidth="1"/>
    <col min="15111" max="15111" width="21.125" style="3293" customWidth="1"/>
    <col min="15112" max="15112" width="103.5" style="3293" customWidth="1"/>
    <col min="15113" max="15114" width="13.875" style="3293" customWidth="1"/>
    <col min="15115" max="15115" width="6.75" style="3293" customWidth="1"/>
    <col min="15116" max="15116" width="9" style="3293" customWidth="1"/>
    <col min="15117" max="15117" width="21.125" style="3293" customWidth="1"/>
    <col min="15118" max="15118" width="145" style="3293" customWidth="1"/>
    <col min="15119" max="15119" width="10.625" style="3293" customWidth="1"/>
    <col min="15120" max="15120" width="16" style="3293" customWidth="1"/>
    <col min="15121" max="15121" width="14.375" style="3293" customWidth="1"/>
    <col min="15122" max="15122" width="6.25" style="3293" customWidth="1"/>
    <col min="15123" max="15123" width="23" style="3293" customWidth="1"/>
    <col min="15124" max="15124" width="7.875" style="3293" customWidth="1"/>
    <col min="15125" max="15360" width="9" style="3293"/>
    <col min="15361" max="15361" width="90" style="3293" customWidth="1"/>
    <col min="15362" max="15362" width="6.25" style="3293" customWidth="1"/>
    <col min="15363" max="15363" width="11.75" style="3293" customWidth="1"/>
    <col min="15364" max="15364" width="4.625" style="3293" customWidth="1"/>
    <col min="15365" max="15365" width="86.875" style="3293" customWidth="1"/>
    <col min="15366" max="15366" width="7.875" style="3293" customWidth="1"/>
    <col min="15367" max="15367" width="21.125" style="3293" customWidth="1"/>
    <col min="15368" max="15368" width="103.5" style="3293" customWidth="1"/>
    <col min="15369" max="15370" width="13.875" style="3293" customWidth="1"/>
    <col min="15371" max="15371" width="6.75" style="3293" customWidth="1"/>
    <col min="15372" max="15372" width="9" style="3293" customWidth="1"/>
    <col min="15373" max="15373" width="21.125" style="3293" customWidth="1"/>
    <col min="15374" max="15374" width="145" style="3293" customWidth="1"/>
    <col min="15375" max="15375" width="10.625" style="3293" customWidth="1"/>
    <col min="15376" max="15376" width="16" style="3293" customWidth="1"/>
    <col min="15377" max="15377" width="14.375" style="3293" customWidth="1"/>
    <col min="15378" max="15378" width="6.25" style="3293" customWidth="1"/>
    <col min="15379" max="15379" width="23" style="3293" customWidth="1"/>
    <col min="15380" max="15380" width="7.875" style="3293" customWidth="1"/>
    <col min="15381" max="15616" width="9" style="3293"/>
    <col min="15617" max="15617" width="90" style="3293" customWidth="1"/>
    <col min="15618" max="15618" width="6.25" style="3293" customWidth="1"/>
    <col min="15619" max="15619" width="11.75" style="3293" customWidth="1"/>
    <col min="15620" max="15620" width="4.625" style="3293" customWidth="1"/>
    <col min="15621" max="15621" width="86.875" style="3293" customWidth="1"/>
    <col min="15622" max="15622" width="7.875" style="3293" customWidth="1"/>
    <col min="15623" max="15623" width="21.125" style="3293" customWidth="1"/>
    <col min="15624" max="15624" width="103.5" style="3293" customWidth="1"/>
    <col min="15625" max="15626" width="13.875" style="3293" customWidth="1"/>
    <col min="15627" max="15627" width="6.75" style="3293" customWidth="1"/>
    <col min="15628" max="15628" width="9" style="3293" customWidth="1"/>
    <col min="15629" max="15629" width="21.125" style="3293" customWidth="1"/>
    <col min="15630" max="15630" width="145" style="3293" customWidth="1"/>
    <col min="15631" max="15631" width="10.625" style="3293" customWidth="1"/>
    <col min="15632" max="15632" width="16" style="3293" customWidth="1"/>
    <col min="15633" max="15633" width="14.375" style="3293" customWidth="1"/>
    <col min="15634" max="15634" width="6.25" style="3293" customWidth="1"/>
    <col min="15635" max="15635" width="23" style="3293" customWidth="1"/>
    <col min="15636" max="15636" width="7.875" style="3293" customWidth="1"/>
    <col min="15637" max="15872" width="9" style="3293"/>
    <col min="15873" max="15873" width="90" style="3293" customWidth="1"/>
    <col min="15874" max="15874" width="6.25" style="3293" customWidth="1"/>
    <col min="15875" max="15875" width="11.75" style="3293" customWidth="1"/>
    <col min="15876" max="15876" width="4.625" style="3293" customWidth="1"/>
    <col min="15877" max="15877" width="86.875" style="3293" customWidth="1"/>
    <col min="15878" max="15878" width="7.875" style="3293" customWidth="1"/>
    <col min="15879" max="15879" width="21.125" style="3293" customWidth="1"/>
    <col min="15880" max="15880" width="103.5" style="3293" customWidth="1"/>
    <col min="15881" max="15882" width="13.875" style="3293" customWidth="1"/>
    <col min="15883" max="15883" width="6.75" style="3293" customWidth="1"/>
    <col min="15884" max="15884" width="9" style="3293" customWidth="1"/>
    <col min="15885" max="15885" width="21.125" style="3293" customWidth="1"/>
    <col min="15886" max="15886" width="145" style="3293" customWidth="1"/>
    <col min="15887" max="15887" width="10.625" style="3293" customWidth="1"/>
    <col min="15888" max="15888" width="16" style="3293" customWidth="1"/>
    <col min="15889" max="15889" width="14.375" style="3293" customWidth="1"/>
    <col min="15890" max="15890" width="6.25" style="3293" customWidth="1"/>
    <col min="15891" max="15891" width="23" style="3293" customWidth="1"/>
    <col min="15892" max="15892" width="7.875" style="3293" customWidth="1"/>
    <col min="15893" max="16128" width="9" style="3293"/>
    <col min="16129" max="16129" width="90" style="3293" customWidth="1"/>
    <col min="16130" max="16130" width="6.25" style="3293" customWidth="1"/>
    <col min="16131" max="16131" width="11.75" style="3293" customWidth="1"/>
    <col min="16132" max="16132" width="4.625" style="3293" customWidth="1"/>
    <col min="16133" max="16133" width="86.875" style="3293" customWidth="1"/>
    <col min="16134" max="16134" width="7.875" style="3293" customWidth="1"/>
    <col min="16135" max="16135" width="21.125" style="3293" customWidth="1"/>
    <col min="16136" max="16136" width="103.5" style="3293" customWidth="1"/>
    <col min="16137" max="16138" width="13.875" style="3293" customWidth="1"/>
    <col min="16139" max="16139" width="6.75" style="3293" customWidth="1"/>
    <col min="16140" max="16140" width="9" style="3293" customWidth="1"/>
    <col min="16141" max="16141" width="21.125" style="3293" customWidth="1"/>
    <col min="16142" max="16142" width="145" style="3293" customWidth="1"/>
    <col min="16143" max="16143" width="10.625" style="3293" customWidth="1"/>
    <col min="16144" max="16144" width="16" style="3293" customWidth="1"/>
    <col min="16145" max="16145" width="14.375" style="3293" customWidth="1"/>
    <col min="16146" max="16146" width="6.25" style="3293" customWidth="1"/>
    <col min="16147" max="16147" width="23" style="3293" customWidth="1"/>
    <col min="16148" max="16148" width="7.875" style="3293" customWidth="1"/>
    <col min="16149" max="16384" width="9" style="3293"/>
  </cols>
  <sheetData>
    <row r="1" spans="1:20">
      <c r="A1" s="3309" t="s">
        <v>3960</v>
      </c>
      <c r="B1" s="3293" t="s">
        <v>3961</v>
      </c>
      <c r="C1" s="3293" t="s">
        <v>3962</v>
      </c>
      <c r="D1" s="3293" t="s">
        <v>3963</v>
      </c>
      <c r="E1" s="3293" t="s">
        <v>3964</v>
      </c>
      <c r="F1" s="3293" t="s">
        <v>3965</v>
      </c>
      <c r="G1" s="3293" t="s">
        <v>3966</v>
      </c>
      <c r="H1" s="3293" t="s">
        <v>3967</v>
      </c>
      <c r="I1" s="3293" t="s">
        <v>3968</v>
      </c>
      <c r="J1" s="3293" t="s">
        <v>3969</v>
      </c>
      <c r="K1" s="3293" t="s">
        <v>3970</v>
      </c>
      <c r="L1" s="3293" t="s">
        <v>3971</v>
      </c>
      <c r="M1" s="3293" t="s">
        <v>3972</v>
      </c>
      <c r="N1" s="3293" t="s">
        <v>3973</v>
      </c>
      <c r="O1" s="3293" t="s">
        <v>3974</v>
      </c>
      <c r="P1" s="3293" t="s">
        <v>3975</v>
      </c>
      <c r="Q1" s="3293" t="s">
        <v>3976</v>
      </c>
      <c r="R1" s="3293" t="s">
        <v>3977</v>
      </c>
      <c r="S1" s="3293" t="s">
        <v>3978</v>
      </c>
      <c r="T1" s="3293" t="s">
        <v>3979</v>
      </c>
    </row>
    <row r="2" spans="1:20" s="3300" customFormat="1" ht="26.25" customHeight="1">
      <c r="A2" s="3302" t="s">
        <v>3980</v>
      </c>
      <c r="B2" s="3300" t="s">
        <v>3981</v>
      </c>
      <c r="C2" s="3300" t="s">
        <v>3982</v>
      </c>
      <c r="D2" s="3300" t="s">
        <v>1327</v>
      </c>
      <c r="E2" s="3300" t="s">
        <v>3983</v>
      </c>
      <c r="F2" s="3300" t="s">
        <v>3984</v>
      </c>
      <c r="G2" s="3300" t="s">
        <v>3985</v>
      </c>
      <c r="H2" s="3300" t="s">
        <v>3986</v>
      </c>
      <c r="I2" s="3300">
        <v>28622.32</v>
      </c>
      <c r="J2" s="3300">
        <v>71556</v>
      </c>
      <c r="K2" s="3300">
        <v>2.5</v>
      </c>
      <c r="L2" s="3300" t="s">
        <v>3987</v>
      </c>
      <c r="M2" s="3300" t="s">
        <v>3985</v>
      </c>
      <c r="N2" s="3300" t="s">
        <v>3988</v>
      </c>
      <c r="O2" s="3300">
        <v>132000</v>
      </c>
      <c r="P2" s="3300">
        <v>3074.52</v>
      </c>
      <c r="Q2" s="3300">
        <v>18447.09</v>
      </c>
      <c r="R2" s="3300">
        <v>0</v>
      </c>
      <c r="S2" s="3300" t="s">
        <v>3989</v>
      </c>
      <c r="T2" s="3300" t="s">
        <v>3990</v>
      </c>
    </row>
    <row r="3" spans="1:20" s="3300" customFormat="1" ht="26.25" customHeight="1">
      <c r="A3" s="3302" t="s">
        <v>3991</v>
      </c>
      <c r="B3" s="3300" t="s">
        <v>3981</v>
      </c>
      <c r="C3" s="3300" t="s">
        <v>3982</v>
      </c>
      <c r="D3" s="3300" t="s">
        <v>1327</v>
      </c>
      <c r="E3" s="3300" t="s">
        <v>3992</v>
      </c>
      <c r="F3" s="3300" t="s">
        <v>3993</v>
      </c>
      <c r="G3" s="3300" t="s">
        <v>3994</v>
      </c>
      <c r="H3" s="3300" t="s">
        <v>3986</v>
      </c>
      <c r="I3" s="3300">
        <v>28725.47</v>
      </c>
      <c r="J3" s="3300">
        <v>71814</v>
      </c>
      <c r="K3" s="3300">
        <v>2.5</v>
      </c>
      <c r="L3" s="3300" t="s">
        <v>3995</v>
      </c>
      <c r="M3" s="3300" t="s">
        <v>3994</v>
      </c>
      <c r="N3" s="3300" t="s">
        <v>3996</v>
      </c>
      <c r="O3" s="3300">
        <v>32000</v>
      </c>
      <c r="P3" s="3300">
        <v>742.66</v>
      </c>
      <c r="Q3" s="3300">
        <v>4455.96</v>
      </c>
      <c r="R3" s="3300" t="s">
        <v>1327</v>
      </c>
      <c r="S3" s="3300" t="s">
        <v>3989</v>
      </c>
      <c r="T3" s="3300" t="s">
        <v>3990</v>
      </c>
    </row>
    <row r="4" spans="1:20" s="3300" customFormat="1" ht="26.25" customHeight="1">
      <c r="A4" s="3302" t="s">
        <v>4195</v>
      </c>
      <c r="B4" s="3300" t="s">
        <v>3981</v>
      </c>
      <c r="C4" s="3300" t="s">
        <v>3982</v>
      </c>
      <c r="D4" s="3300" t="s">
        <v>1327</v>
      </c>
      <c r="E4" s="3300" t="s">
        <v>4196</v>
      </c>
      <c r="F4" s="3300" t="s">
        <v>3984</v>
      </c>
      <c r="G4" s="3300" t="s">
        <v>4197</v>
      </c>
      <c r="H4" s="3300" t="s">
        <v>4198</v>
      </c>
      <c r="I4" s="3300">
        <v>138746.29999999999</v>
      </c>
      <c r="J4" s="3300">
        <v>486596</v>
      </c>
      <c r="K4" s="3300">
        <v>3.51</v>
      </c>
      <c r="L4" s="3300" t="s">
        <v>4199</v>
      </c>
      <c r="M4" s="3300" t="s">
        <v>4197</v>
      </c>
      <c r="N4" s="3300" t="s">
        <v>4200</v>
      </c>
      <c r="O4" s="3300">
        <v>866300</v>
      </c>
      <c r="P4" s="3300">
        <v>4162.51</v>
      </c>
      <c r="Q4" s="3300">
        <v>17803.27</v>
      </c>
      <c r="R4" s="3300">
        <v>0</v>
      </c>
      <c r="S4" s="3300" t="s">
        <v>3989</v>
      </c>
      <c r="T4" s="3300" t="s">
        <v>4010</v>
      </c>
    </row>
    <row r="5" spans="1:20" s="3300" customFormat="1" ht="26.25" customHeight="1">
      <c r="A5" s="3302" t="s">
        <v>4201</v>
      </c>
      <c r="B5" s="3300" t="s">
        <v>3981</v>
      </c>
      <c r="C5" s="3300" t="s">
        <v>3982</v>
      </c>
      <c r="D5" s="3300" t="s">
        <v>1327</v>
      </c>
      <c r="E5" s="3300" t="s">
        <v>4202</v>
      </c>
      <c r="F5" s="3300" t="s">
        <v>3993</v>
      </c>
      <c r="G5" s="3300" t="s">
        <v>4203</v>
      </c>
      <c r="H5" s="3300" t="s">
        <v>4000</v>
      </c>
      <c r="I5" s="3300">
        <v>39410.74</v>
      </c>
      <c r="J5" s="3300">
        <v>120000</v>
      </c>
      <c r="K5" s="3300">
        <v>3.04</v>
      </c>
      <c r="L5" s="3300" t="s">
        <v>4204</v>
      </c>
      <c r="M5" s="3300" t="s">
        <v>4203</v>
      </c>
      <c r="N5" s="3300" t="s">
        <v>4205</v>
      </c>
      <c r="O5" s="3300">
        <v>318758</v>
      </c>
      <c r="P5" s="3300">
        <v>5392.07</v>
      </c>
      <c r="Q5" s="3300">
        <v>26563.16</v>
      </c>
      <c r="R5" s="3300" t="s">
        <v>1327</v>
      </c>
      <c r="S5" s="3300" t="s">
        <v>3989</v>
      </c>
      <c r="T5" s="3300" t="s">
        <v>4010</v>
      </c>
    </row>
    <row r="6" spans="1:20" s="3300" customFormat="1" ht="26.25" customHeight="1">
      <c r="A6" s="3302" t="s">
        <v>3997</v>
      </c>
      <c r="B6" s="3300" t="s">
        <v>3981</v>
      </c>
      <c r="C6" s="3300" t="s">
        <v>3982</v>
      </c>
      <c r="D6" s="3300" t="s">
        <v>1327</v>
      </c>
      <c r="E6" s="3300" t="s">
        <v>3998</v>
      </c>
      <c r="F6" s="3300" t="s">
        <v>3984</v>
      </c>
      <c r="G6" s="3300" t="s">
        <v>3999</v>
      </c>
      <c r="H6" s="3300" t="s">
        <v>4000</v>
      </c>
      <c r="I6" s="3300">
        <v>113768</v>
      </c>
      <c r="J6" s="3300">
        <v>119494</v>
      </c>
      <c r="K6" s="3300">
        <v>1.05</v>
      </c>
      <c r="L6" s="3300" t="s">
        <v>4001</v>
      </c>
      <c r="M6" s="3300" t="s">
        <v>3999</v>
      </c>
      <c r="N6" s="3300" t="s">
        <v>4002</v>
      </c>
      <c r="O6" s="3300">
        <v>74000</v>
      </c>
      <c r="P6" s="3300">
        <v>433.63</v>
      </c>
      <c r="Q6" s="3300">
        <v>6192.77</v>
      </c>
      <c r="R6" s="3300" t="s">
        <v>1327</v>
      </c>
      <c r="S6" s="3300" t="s">
        <v>3989</v>
      </c>
      <c r="T6" s="3300" t="s">
        <v>4003</v>
      </c>
    </row>
    <row r="7" spans="1:20" s="3300" customFormat="1" ht="26.25" customHeight="1">
      <c r="A7" s="3302" t="s">
        <v>4004</v>
      </c>
      <c r="B7" s="3300" t="s">
        <v>3981</v>
      </c>
      <c r="C7" s="3300" t="s">
        <v>3982</v>
      </c>
      <c r="D7" s="3300" t="s">
        <v>1327</v>
      </c>
      <c r="E7" s="3300" t="s">
        <v>4004</v>
      </c>
      <c r="F7" s="3300" t="s">
        <v>3984</v>
      </c>
      <c r="G7" s="3300" t="s">
        <v>4005</v>
      </c>
      <c r="H7" s="3300" t="s">
        <v>4006</v>
      </c>
      <c r="I7" s="3300">
        <v>33071.620000000003</v>
      </c>
      <c r="J7" s="3300">
        <v>122423.9</v>
      </c>
      <c r="K7" s="3300">
        <v>3.7</v>
      </c>
      <c r="L7" s="3300" t="s">
        <v>4007</v>
      </c>
      <c r="M7" s="3300" t="s">
        <v>4005</v>
      </c>
      <c r="N7" s="3300" t="s">
        <v>4008</v>
      </c>
      <c r="O7" s="3300">
        <v>183000</v>
      </c>
      <c r="P7" s="3300">
        <v>3688.96</v>
      </c>
      <c r="Q7" s="3300">
        <v>14948.05</v>
      </c>
      <c r="R7" s="3300">
        <v>0</v>
      </c>
      <c r="S7" s="3300" t="s">
        <v>4009</v>
      </c>
      <c r="T7" s="3300" t="s">
        <v>4010</v>
      </c>
    </row>
    <row r="8" spans="1:20" s="3300" customFormat="1" ht="26.25" customHeight="1">
      <c r="A8" s="3302" t="s">
        <v>4011</v>
      </c>
      <c r="B8" s="3300" t="s">
        <v>3981</v>
      </c>
      <c r="C8" s="3300" t="s">
        <v>3982</v>
      </c>
      <c r="D8" s="3300" t="s">
        <v>1327</v>
      </c>
      <c r="E8" s="3300" t="s">
        <v>4012</v>
      </c>
      <c r="F8" s="3300" t="s">
        <v>3993</v>
      </c>
      <c r="G8" s="3300" t="s">
        <v>4013</v>
      </c>
      <c r="H8" s="3300" t="s">
        <v>4014</v>
      </c>
      <c r="I8" s="3300">
        <v>338760.2</v>
      </c>
      <c r="J8" s="3300">
        <v>232306.7</v>
      </c>
      <c r="K8" s="3300">
        <v>0.69</v>
      </c>
      <c r="L8" s="3300" t="s">
        <v>4015</v>
      </c>
      <c r="M8" s="3300" t="s">
        <v>4013</v>
      </c>
      <c r="N8" s="3300" t="s">
        <v>4016</v>
      </c>
      <c r="O8" s="3300">
        <v>89500</v>
      </c>
      <c r="P8" s="3300">
        <v>176.13</v>
      </c>
      <c r="Q8" s="3300">
        <v>3852.67</v>
      </c>
      <c r="R8" s="3300" t="s">
        <v>1327</v>
      </c>
      <c r="S8" s="3300" t="s">
        <v>3989</v>
      </c>
      <c r="T8" s="3300" t="s">
        <v>4003</v>
      </c>
    </row>
    <row r="9" spans="1:20" s="3300" customFormat="1" ht="26.25" customHeight="1">
      <c r="A9" s="3302" t="s">
        <v>4017</v>
      </c>
      <c r="B9" s="3300" t="s">
        <v>3981</v>
      </c>
      <c r="C9" s="3300" t="s">
        <v>3982</v>
      </c>
      <c r="D9" s="3300" t="s">
        <v>1327</v>
      </c>
      <c r="E9" s="3300" t="s">
        <v>4018</v>
      </c>
      <c r="F9" s="3300" t="s">
        <v>3984</v>
      </c>
      <c r="G9" s="3300" t="s">
        <v>4019</v>
      </c>
      <c r="H9" s="3300" t="s">
        <v>3986</v>
      </c>
      <c r="I9" s="3300">
        <v>18015.060000000001</v>
      </c>
      <c r="J9" s="3300">
        <v>54046</v>
      </c>
      <c r="K9" s="3300">
        <v>3</v>
      </c>
      <c r="L9" s="3300" t="s">
        <v>4020</v>
      </c>
      <c r="M9" s="3300" t="s">
        <v>4019</v>
      </c>
      <c r="N9" s="3300" t="s">
        <v>4021</v>
      </c>
      <c r="O9" s="3300">
        <v>60000</v>
      </c>
      <c r="P9" s="3300">
        <v>2220.36</v>
      </c>
      <c r="Q9" s="3300">
        <v>11101.64</v>
      </c>
      <c r="R9" s="3300">
        <v>0</v>
      </c>
      <c r="S9" s="3300" t="s">
        <v>3989</v>
      </c>
      <c r="T9" s="3300" t="s">
        <v>4022</v>
      </c>
    </row>
    <row r="10" spans="1:20" s="3300" customFormat="1" ht="26.25" customHeight="1">
      <c r="A10" s="3302" t="s">
        <v>4023</v>
      </c>
      <c r="B10" s="3300" t="s">
        <v>3981</v>
      </c>
      <c r="C10" s="3300" t="s">
        <v>3982</v>
      </c>
      <c r="D10" s="3300" t="s">
        <v>1327</v>
      </c>
      <c r="E10" s="3300" t="s">
        <v>4024</v>
      </c>
      <c r="F10" s="3300" t="s">
        <v>3984</v>
      </c>
      <c r="G10" s="3300" t="s">
        <v>4025</v>
      </c>
      <c r="H10" s="3300" t="s">
        <v>4026</v>
      </c>
      <c r="I10" s="3300">
        <v>59747.77</v>
      </c>
      <c r="J10" s="3300">
        <v>89622</v>
      </c>
      <c r="K10" s="3300">
        <v>1.5</v>
      </c>
      <c r="L10" s="3300" t="s">
        <v>4027</v>
      </c>
      <c r="M10" s="3300" t="s">
        <v>4025</v>
      </c>
      <c r="N10" s="3300" t="s">
        <v>4028</v>
      </c>
      <c r="O10" s="3300">
        <v>146800</v>
      </c>
      <c r="P10" s="3300">
        <v>1638</v>
      </c>
      <c r="Q10" s="3300">
        <v>16379.9</v>
      </c>
      <c r="R10" s="3300">
        <v>0</v>
      </c>
      <c r="S10" s="3300" t="s">
        <v>4029</v>
      </c>
      <c r="T10" s="3300" t="s">
        <v>4010</v>
      </c>
    </row>
    <row r="11" spans="1:20" s="3300" customFormat="1" ht="26.25" customHeight="1">
      <c r="A11" s="3302" t="s">
        <v>4030</v>
      </c>
      <c r="B11" s="3300" t="s">
        <v>3981</v>
      </c>
      <c r="C11" s="3300" t="s">
        <v>3982</v>
      </c>
      <c r="D11" s="3300" t="s">
        <v>1327</v>
      </c>
      <c r="E11" s="3300" t="s">
        <v>4024</v>
      </c>
      <c r="F11" s="3300" t="s">
        <v>3984</v>
      </c>
      <c r="G11" s="3300" t="s">
        <v>4031</v>
      </c>
      <c r="H11" s="3300" t="s">
        <v>4026</v>
      </c>
      <c r="I11" s="3300">
        <v>31420.65</v>
      </c>
      <c r="J11" s="3300">
        <v>65983</v>
      </c>
      <c r="K11" s="3300">
        <v>2.1</v>
      </c>
      <c r="L11" s="3300" t="s">
        <v>4027</v>
      </c>
      <c r="M11" s="3300" t="s">
        <v>4031</v>
      </c>
      <c r="N11" s="3300" t="s">
        <v>4032</v>
      </c>
      <c r="O11" s="3300">
        <v>108100</v>
      </c>
      <c r="P11" s="3300">
        <v>2293.61</v>
      </c>
      <c r="Q11" s="3300">
        <v>16383.01</v>
      </c>
      <c r="R11" s="3300">
        <v>0</v>
      </c>
      <c r="S11" s="3300" t="s">
        <v>4029</v>
      </c>
      <c r="T11" s="3300" t="s">
        <v>4010</v>
      </c>
    </row>
    <row r="12" spans="1:20" s="3300" customFormat="1" ht="26.25" customHeight="1">
      <c r="A12" s="3302" t="s">
        <v>4033</v>
      </c>
      <c r="B12" s="3300" t="s">
        <v>3981</v>
      </c>
      <c r="C12" s="3300" t="s">
        <v>3982</v>
      </c>
      <c r="D12" s="3300" t="s">
        <v>1327</v>
      </c>
      <c r="E12" s="3300" t="s">
        <v>4034</v>
      </c>
      <c r="F12" s="3300" t="s">
        <v>3984</v>
      </c>
      <c r="G12" s="3300" t="s">
        <v>4035</v>
      </c>
      <c r="H12" s="3300" t="s">
        <v>4036</v>
      </c>
      <c r="I12" s="3300">
        <v>176099.5</v>
      </c>
      <c r="J12" s="3300">
        <v>153071</v>
      </c>
      <c r="K12" s="3300">
        <v>0.86899999999999999</v>
      </c>
      <c r="L12" s="3300" t="s">
        <v>4037</v>
      </c>
      <c r="M12" s="3300" t="s">
        <v>4035</v>
      </c>
      <c r="N12" s="3300" t="s">
        <v>4038</v>
      </c>
      <c r="O12" s="3300">
        <v>93800</v>
      </c>
      <c r="P12" s="3300">
        <v>355.1</v>
      </c>
      <c r="Q12" s="3300">
        <v>6127.88</v>
      </c>
      <c r="R12" s="3300" t="s">
        <v>1327</v>
      </c>
      <c r="S12" s="3300" t="s">
        <v>3989</v>
      </c>
      <c r="T12" s="3300" t="s">
        <v>4003</v>
      </c>
    </row>
    <row r="13" spans="1:20" s="3300" customFormat="1" ht="26.25" customHeight="1">
      <c r="A13" s="3302" t="s">
        <v>4206</v>
      </c>
      <c r="B13" s="3300" t="s">
        <v>3981</v>
      </c>
      <c r="C13" s="3300" t="s">
        <v>3982</v>
      </c>
      <c r="D13" s="3300" t="s">
        <v>1327</v>
      </c>
      <c r="E13" s="3300" t="s">
        <v>4207</v>
      </c>
      <c r="F13" s="3300" t="s">
        <v>3984</v>
      </c>
      <c r="G13" s="3300" t="s">
        <v>4208</v>
      </c>
      <c r="H13" s="3300" t="s">
        <v>3986</v>
      </c>
      <c r="I13" s="3300">
        <v>15240.2</v>
      </c>
      <c r="J13" s="3300">
        <v>86800</v>
      </c>
      <c r="K13" s="3300">
        <v>5.6955</v>
      </c>
      <c r="L13" s="3300" t="s">
        <v>4209</v>
      </c>
      <c r="M13" s="3300" t="s">
        <v>4208</v>
      </c>
      <c r="N13" s="3300" t="s">
        <v>4210</v>
      </c>
      <c r="O13" s="3300">
        <v>242500</v>
      </c>
      <c r="P13" s="3300">
        <v>10607.91</v>
      </c>
      <c r="Q13" s="3300">
        <v>27937.79</v>
      </c>
      <c r="R13" s="3300">
        <v>2.11</v>
      </c>
      <c r="S13" s="3300" t="s">
        <v>3989</v>
      </c>
      <c r="T13" s="3300" t="s">
        <v>4010</v>
      </c>
    </row>
    <row r="14" spans="1:20" s="3300" customFormat="1" ht="26.25" customHeight="1">
      <c r="A14" s="3302" t="s">
        <v>4039</v>
      </c>
      <c r="B14" s="3300" t="s">
        <v>3981</v>
      </c>
      <c r="C14" s="3300" t="s">
        <v>3982</v>
      </c>
      <c r="D14" s="3300" t="s">
        <v>1327</v>
      </c>
      <c r="E14" s="3300" t="s">
        <v>4040</v>
      </c>
      <c r="F14" s="3300" t="s">
        <v>3984</v>
      </c>
      <c r="G14" s="3300" t="s">
        <v>4041</v>
      </c>
      <c r="H14" s="3300" t="s">
        <v>3986</v>
      </c>
      <c r="I14" s="3300">
        <v>16863.939999999999</v>
      </c>
      <c r="J14" s="3300">
        <v>87923.61</v>
      </c>
      <c r="K14" s="3300">
        <v>5.2137000000000002</v>
      </c>
      <c r="L14" s="3300" t="s">
        <v>4042</v>
      </c>
      <c r="M14" s="3300" t="s">
        <v>4041</v>
      </c>
      <c r="N14" s="3300" t="s">
        <v>4043</v>
      </c>
      <c r="O14" s="3300">
        <v>211000</v>
      </c>
      <c r="P14" s="3300">
        <v>8341.27</v>
      </c>
      <c r="Q14" s="3300">
        <v>23998.09</v>
      </c>
      <c r="R14" s="3300">
        <v>0</v>
      </c>
      <c r="S14" s="3300" t="s">
        <v>3989</v>
      </c>
      <c r="T14" s="3300" t="s">
        <v>3990</v>
      </c>
    </row>
    <row r="15" spans="1:20" s="3300" customFormat="1" ht="26.25" customHeight="1">
      <c r="A15" s="3302" t="s">
        <v>4211</v>
      </c>
      <c r="B15" s="3300" t="s">
        <v>3981</v>
      </c>
      <c r="C15" s="3300" t="s">
        <v>3982</v>
      </c>
      <c r="D15" s="3300" t="s">
        <v>1327</v>
      </c>
      <c r="E15" s="3300" t="s">
        <v>4202</v>
      </c>
      <c r="F15" s="3300" t="s">
        <v>3984</v>
      </c>
      <c r="G15" s="3300" t="s">
        <v>4212</v>
      </c>
      <c r="H15" s="3300" t="s">
        <v>3986</v>
      </c>
      <c r="I15" s="3300">
        <v>14089.17</v>
      </c>
      <c r="J15" s="3300">
        <v>105000</v>
      </c>
      <c r="K15" s="3300">
        <v>7.4525300000000003</v>
      </c>
      <c r="L15" s="3300" t="s">
        <v>4042</v>
      </c>
      <c r="M15" s="3300" t="s">
        <v>4212</v>
      </c>
      <c r="N15" s="3300" t="s">
        <v>4213</v>
      </c>
      <c r="O15" s="3300">
        <v>355000</v>
      </c>
      <c r="P15" s="3300">
        <v>16797.77</v>
      </c>
      <c r="Q15" s="3300">
        <v>33809.51</v>
      </c>
      <c r="R15" s="3300">
        <v>40.869999999999997</v>
      </c>
      <c r="S15" s="3300" t="s">
        <v>3989</v>
      </c>
      <c r="T15" s="3300" t="s">
        <v>4010</v>
      </c>
    </row>
    <row r="16" spans="1:20" s="3300" customFormat="1" ht="26.25" customHeight="1">
      <c r="A16" s="3302" t="s">
        <v>4044</v>
      </c>
      <c r="B16" s="3300" t="s">
        <v>3981</v>
      </c>
      <c r="C16" s="3300" t="s">
        <v>3982</v>
      </c>
      <c r="D16" s="3300" t="s">
        <v>1327</v>
      </c>
      <c r="E16" s="3300" t="s">
        <v>4045</v>
      </c>
      <c r="F16" s="3300" t="s">
        <v>3984</v>
      </c>
      <c r="G16" s="3300" t="s">
        <v>4046</v>
      </c>
      <c r="H16" s="3300" t="s">
        <v>4047</v>
      </c>
      <c r="I16" s="3300">
        <v>5237.16</v>
      </c>
      <c r="J16" s="3300">
        <v>10474</v>
      </c>
      <c r="K16" s="3300">
        <v>2</v>
      </c>
      <c r="L16" s="3300" t="s">
        <v>4048</v>
      </c>
      <c r="M16" s="3300" t="s">
        <v>4046</v>
      </c>
      <c r="N16" s="3300" t="s">
        <v>4049</v>
      </c>
      <c r="O16" s="3300">
        <v>13700</v>
      </c>
      <c r="P16" s="3300">
        <v>1743.95</v>
      </c>
      <c r="Q16" s="3300">
        <v>13080.01</v>
      </c>
      <c r="R16" s="3300">
        <v>5.38</v>
      </c>
      <c r="S16" s="3300" t="s">
        <v>3989</v>
      </c>
      <c r="T16" s="3300" t="s">
        <v>3990</v>
      </c>
    </row>
    <row r="17" spans="1:20" s="3300" customFormat="1" ht="26.25" customHeight="1">
      <c r="A17" s="3302" t="s">
        <v>4050</v>
      </c>
      <c r="B17" s="3300" t="s">
        <v>3981</v>
      </c>
      <c r="C17" s="3300" t="s">
        <v>3982</v>
      </c>
      <c r="D17" s="3300" t="s">
        <v>1327</v>
      </c>
      <c r="E17" s="3300" t="s">
        <v>4051</v>
      </c>
      <c r="F17" s="3300" t="s">
        <v>3984</v>
      </c>
      <c r="G17" s="3300" t="s">
        <v>4052</v>
      </c>
      <c r="H17" s="3300" t="s">
        <v>4006</v>
      </c>
      <c r="I17" s="3300">
        <v>66237.2</v>
      </c>
      <c r="J17" s="3300">
        <v>264058.7</v>
      </c>
      <c r="K17" s="3300">
        <v>3.99</v>
      </c>
      <c r="L17" s="3300" t="s">
        <v>4053</v>
      </c>
      <c r="M17" s="3300" t="s">
        <v>4052</v>
      </c>
      <c r="N17" s="3300" t="s">
        <v>4054</v>
      </c>
      <c r="O17" s="3300">
        <v>385000</v>
      </c>
      <c r="P17" s="3300">
        <v>3874.96</v>
      </c>
      <c r="Q17" s="3300">
        <v>14580.09</v>
      </c>
      <c r="R17" s="3300">
        <v>0</v>
      </c>
      <c r="S17" s="3300" t="s">
        <v>4009</v>
      </c>
      <c r="T17" s="3300" t="s">
        <v>3990</v>
      </c>
    </row>
    <row r="18" spans="1:20" s="3300" customFormat="1" ht="26.25" customHeight="1">
      <c r="A18" s="3302" t="s">
        <v>4214</v>
      </c>
      <c r="B18" s="3300" t="s">
        <v>3981</v>
      </c>
      <c r="C18" s="3300" t="s">
        <v>3982</v>
      </c>
      <c r="D18" s="3300" t="s">
        <v>1327</v>
      </c>
      <c r="E18" s="3300" t="s">
        <v>4202</v>
      </c>
      <c r="F18" s="3300" t="s">
        <v>3984</v>
      </c>
      <c r="G18" s="3300" t="s">
        <v>4215</v>
      </c>
      <c r="H18" s="3300" t="s">
        <v>4000</v>
      </c>
      <c r="I18" s="3300">
        <v>27295.08</v>
      </c>
      <c r="J18" s="3300">
        <v>160000</v>
      </c>
      <c r="K18" s="3300">
        <v>5.8</v>
      </c>
      <c r="L18" s="3300" t="s">
        <v>4216</v>
      </c>
      <c r="M18" s="3300" t="s">
        <v>4215</v>
      </c>
      <c r="N18" s="3300" t="s">
        <v>4217</v>
      </c>
      <c r="O18" s="3300">
        <v>434000</v>
      </c>
      <c r="P18" s="3300">
        <v>10600.2</v>
      </c>
      <c r="Q18" s="3300">
        <v>27125</v>
      </c>
      <c r="R18" s="3300">
        <v>0.46</v>
      </c>
      <c r="S18" s="3300" t="s">
        <v>4060</v>
      </c>
      <c r="T18" s="3300" t="s">
        <v>4010</v>
      </c>
    </row>
    <row r="19" spans="1:20" s="3300" customFormat="1" ht="26.25" customHeight="1">
      <c r="A19" s="3302" t="s">
        <v>4055</v>
      </c>
      <c r="B19" s="3300" t="s">
        <v>3981</v>
      </c>
      <c r="C19" s="3300" t="s">
        <v>3982</v>
      </c>
      <c r="D19" s="3300" t="s">
        <v>1327</v>
      </c>
      <c r="E19" s="3300" t="s">
        <v>4056</v>
      </c>
      <c r="F19" s="3300" t="s">
        <v>3984</v>
      </c>
      <c r="G19" s="3300" t="s">
        <v>4057</v>
      </c>
      <c r="H19" s="3300" t="s">
        <v>4000</v>
      </c>
      <c r="I19" s="3300">
        <v>35230.230000000003</v>
      </c>
      <c r="J19" s="3300">
        <v>88076</v>
      </c>
      <c r="K19" s="3300">
        <v>2.5</v>
      </c>
      <c r="L19" s="3300" t="s">
        <v>4058</v>
      </c>
      <c r="M19" s="3300" t="s">
        <v>4057</v>
      </c>
      <c r="N19" s="3300" t="s">
        <v>4059</v>
      </c>
      <c r="O19" s="3300">
        <v>62000</v>
      </c>
      <c r="P19" s="3300">
        <v>1173.23</v>
      </c>
      <c r="Q19" s="3300">
        <v>7039.38</v>
      </c>
      <c r="R19" s="3300">
        <v>0</v>
      </c>
      <c r="S19" s="3300" t="s">
        <v>4060</v>
      </c>
      <c r="T19" s="3300" t="s">
        <v>4022</v>
      </c>
    </row>
    <row r="20" spans="1:20" s="3300" customFormat="1" ht="26.25" customHeight="1">
      <c r="A20" s="3302" t="s">
        <v>4061</v>
      </c>
      <c r="B20" s="3300" t="s">
        <v>3981</v>
      </c>
      <c r="C20" s="3300" t="s">
        <v>3982</v>
      </c>
      <c r="D20" s="3300" t="s">
        <v>1327</v>
      </c>
      <c r="E20" s="3300" t="s">
        <v>4062</v>
      </c>
      <c r="F20" s="3300" t="s">
        <v>3984</v>
      </c>
      <c r="G20" s="3300" t="s">
        <v>4063</v>
      </c>
      <c r="H20" s="3300" t="s">
        <v>4000</v>
      </c>
      <c r="I20" s="3300">
        <v>170200.2</v>
      </c>
      <c r="J20" s="3300">
        <v>255301</v>
      </c>
      <c r="K20" s="3300">
        <v>1.5</v>
      </c>
      <c r="L20" s="3300" t="s">
        <v>4064</v>
      </c>
      <c r="M20" s="3300" t="s">
        <v>4063</v>
      </c>
      <c r="N20" s="3300" t="s">
        <v>4065</v>
      </c>
      <c r="O20" s="3300">
        <v>259500</v>
      </c>
      <c r="P20" s="3300">
        <v>1016.45</v>
      </c>
      <c r="Q20" s="3300">
        <v>10164.459999999999</v>
      </c>
      <c r="R20" s="3300">
        <v>1.76</v>
      </c>
      <c r="S20" s="3300" t="s">
        <v>4060</v>
      </c>
      <c r="T20" s="3300" t="s">
        <v>3990</v>
      </c>
    </row>
    <row r="21" spans="1:20" s="3300" customFormat="1" ht="26.25" customHeight="1">
      <c r="A21" s="3302" t="s">
        <v>4066</v>
      </c>
      <c r="B21" s="3300" t="s">
        <v>3981</v>
      </c>
      <c r="C21" s="3300" t="s">
        <v>3982</v>
      </c>
      <c r="D21" s="3300" t="s">
        <v>1327</v>
      </c>
      <c r="E21" s="3300" t="s">
        <v>4067</v>
      </c>
      <c r="F21" s="3300" t="s">
        <v>3984</v>
      </c>
      <c r="G21" s="3300" t="s">
        <v>4068</v>
      </c>
      <c r="H21" s="3300" t="s">
        <v>4069</v>
      </c>
      <c r="I21" s="3300">
        <v>120885</v>
      </c>
      <c r="J21" s="3300">
        <v>256512</v>
      </c>
      <c r="K21" s="3300" t="s">
        <v>1327</v>
      </c>
      <c r="L21" s="3300" t="s">
        <v>4064</v>
      </c>
      <c r="M21" s="3300" t="s">
        <v>4068</v>
      </c>
      <c r="N21" s="3300" t="s">
        <v>4070</v>
      </c>
      <c r="O21" s="3300">
        <v>250000</v>
      </c>
      <c r="P21" s="3300">
        <v>1378.72</v>
      </c>
      <c r="Q21" s="3300">
        <v>9746.1200000000008</v>
      </c>
      <c r="R21" s="3300">
        <v>0</v>
      </c>
      <c r="S21" s="3300" t="s">
        <v>4060</v>
      </c>
      <c r="T21" s="3300" t="s">
        <v>3990</v>
      </c>
    </row>
    <row r="22" spans="1:20" s="3300" customFormat="1" ht="26.25" customHeight="1">
      <c r="A22" s="3302" t="s">
        <v>4218</v>
      </c>
      <c r="B22" s="3300" t="s">
        <v>3981</v>
      </c>
      <c r="C22" s="3300" t="s">
        <v>3982</v>
      </c>
      <c r="D22" s="3300" t="s">
        <v>1327</v>
      </c>
      <c r="E22" s="3300" t="s">
        <v>4219</v>
      </c>
      <c r="F22" s="3300" t="s">
        <v>3984</v>
      </c>
      <c r="G22" s="3300" t="s">
        <v>4220</v>
      </c>
      <c r="H22" s="3300" t="s">
        <v>4036</v>
      </c>
      <c r="I22" s="3300">
        <v>39744.120000000003</v>
      </c>
      <c r="J22" s="3300">
        <v>119232</v>
      </c>
      <c r="K22" s="3300">
        <v>3</v>
      </c>
      <c r="L22" s="3300" t="s">
        <v>4221</v>
      </c>
      <c r="M22" s="3300" t="s">
        <v>4222</v>
      </c>
      <c r="N22" s="3300" t="s">
        <v>4223</v>
      </c>
      <c r="O22" s="3300">
        <v>292000</v>
      </c>
      <c r="P22" s="3300">
        <v>4898</v>
      </c>
      <c r="Q22" s="3300">
        <v>24490.06</v>
      </c>
      <c r="R22" s="3300">
        <v>28.63</v>
      </c>
      <c r="S22" s="3300" t="s">
        <v>4224</v>
      </c>
      <c r="T22" s="3300" t="s">
        <v>4112</v>
      </c>
    </row>
    <row r="23" spans="1:20" s="3300" customFormat="1" ht="26.25" customHeight="1">
      <c r="A23" s="3302" t="s">
        <v>4225</v>
      </c>
      <c r="B23" s="3300" t="s">
        <v>3981</v>
      </c>
      <c r="C23" s="3300" t="s">
        <v>3982</v>
      </c>
      <c r="D23" s="3300" t="s">
        <v>1327</v>
      </c>
      <c r="E23" s="3300" t="s">
        <v>4226</v>
      </c>
      <c r="F23" s="3300" t="s">
        <v>3993</v>
      </c>
      <c r="G23" s="3300" t="s">
        <v>4227</v>
      </c>
      <c r="H23" s="3300" t="s">
        <v>3986</v>
      </c>
      <c r="I23" s="3300">
        <v>92055.95</v>
      </c>
      <c r="J23" s="3300">
        <v>92056</v>
      </c>
      <c r="K23" s="3300">
        <v>1</v>
      </c>
      <c r="L23" s="3300" t="s">
        <v>4228</v>
      </c>
      <c r="M23" s="3300" t="s">
        <v>4227</v>
      </c>
      <c r="N23" s="3300" t="s">
        <v>4229</v>
      </c>
      <c r="O23" s="3300">
        <v>285373.59000000003</v>
      </c>
      <c r="P23" s="3300">
        <v>2066.67</v>
      </c>
      <c r="Q23" s="3300">
        <v>31000</v>
      </c>
      <c r="R23" s="3300" t="s">
        <v>1327</v>
      </c>
      <c r="S23" s="3300" t="s">
        <v>3986</v>
      </c>
      <c r="T23" s="3300" t="s">
        <v>3990</v>
      </c>
    </row>
    <row r="24" spans="1:20" s="3301" customFormat="1" ht="26.25" customHeight="1">
      <c r="A24" s="3303" t="s">
        <v>4071</v>
      </c>
      <c r="B24" s="3301" t="s">
        <v>3981</v>
      </c>
      <c r="C24" s="3301" t="s">
        <v>3982</v>
      </c>
      <c r="D24" s="3301" t="s">
        <v>1327</v>
      </c>
      <c r="E24" s="3301" t="s">
        <v>4072</v>
      </c>
      <c r="F24" s="3301" t="s">
        <v>3984</v>
      </c>
      <c r="G24" s="3301" t="s">
        <v>4073</v>
      </c>
      <c r="H24" s="3301" t="s">
        <v>4000</v>
      </c>
      <c r="I24" s="3301">
        <v>18303.330000000002</v>
      </c>
      <c r="J24" s="3301">
        <v>58571</v>
      </c>
      <c r="K24" s="3301">
        <v>3.2</v>
      </c>
      <c r="L24" s="3301" t="s">
        <v>4074</v>
      </c>
      <c r="M24" s="3301" t="s">
        <v>4073</v>
      </c>
      <c r="N24" s="3301" t="s">
        <v>4075</v>
      </c>
      <c r="O24" s="3301">
        <v>129000</v>
      </c>
      <c r="P24" s="3301">
        <v>4698.6000000000004</v>
      </c>
      <c r="Q24" s="3301">
        <v>22024.54</v>
      </c>
      <c r="R24" s="3301">
        <v>62.06</v>
      </c>
      <c r="S24" s="3301" t="s">
        <v>3989</v>
      </c>
      <c r="T24" s="3301" t="s">
        <v>3990</v>
      </c>
    </row>
    <row r="25" spans="1:20" s="3312" customFormat="1" ht="26.25" customHeight="1">
      <c r="A25" s="3311" t="s">
        <v>4076</v>
      </c>
      <c r="B25" s="3312" t="s">
        <v>3981</v>
      </c>
      <c r="C25" s="3312" t="s">
        <v>3982</v>
      </c>
      <c r="D25" s="3312" t="s">
        <v>1327</v>
      </c>
      <c r="E25" s="3312" t="s">
        <v>4077</v>
      </c>
      <c r="F25" s="3312" t="s">
        <v>3984</v>
      </c>
      <c r="G25" s="3312" t="s">
        <v>4078</v>
      </c>
      <c r="H25" s="3312" t="s">
        <v>4000</v>
      </c>
      <c r="I25" s="3312">
        <v>29183.54</v>
      </c>
      <c r="J25" s="3312">
        <v>72959</v>
      </c>
      <c r="K25" s="3312">
        <v>2.5</v>
      </c>
      <c r="L25" s="3312" t="s">
        <v>4079</v>
      </c>
      <c r="M25" s="3312" t="s">
        <v>4078</v>
      </c>
      <c r="N25" s="3312" t="s">
        <v>4080</v>
      </c>
      <c r="O25" s="3312">
        <v>106000</v>
      </c>
      <c r="P25" s="3312">
        <v>2421.46</v>
      </c>
      <c r="Q25" s="3312">
        <v>14528.7</v>
      </c>
      <c r="R25" s="3312">
        <v>27.71</v>
      </c>
      <c r="S25" s="3312" t="s">
        <v>3989</v>
      </c>
      <c r="T25" s="3312" t="s">
        <v>4022</v>
      </c>
    </row>
    <row r="26" spans="1:20" s="3312" customFormat="1" ht="26.25" customHeight="1">
      <c r="A26" s="3311" t="s">
        <v>4230</v>
      </c>
      <c r="B26" s="3312" t="s">
        <v>3981</v>
      </c>
      <c r="C26" s="3312" t="s">
        <v>3982</v>
      </c>
      <c r="D26" s="3312" t="s">
        <v>1327</v>
      </c>
      <c r="E26" s="3312" t="s">
        <v>4231</v>
      </c>
      <c r="F26" s="3312" t="s">
        <v>3984</v>
      </c>
      <c r="G26" s="3312" t="s">
        <v>4232</v>
      </c>
      <c r="H26" s="3312" t="s">
        <v>4000</v>
      </c>
      <c r="I26" s="3312">
        <v>46165.91</v>
      </c>
      <c r="J26" s="3312">
        <v>92332</v>
      </c>
      <c r="K26" s="3312">
        <v>2</v>
      </c>
      <c r="L26" s="3312" t="s">
        <v>4079</v>
      </c>
      <c r="M26" s="3312" t="s">
        <v>4232</v>
      </c>
      <c r="N26" s="3312" t="s">
        <v>4233</v>
      </c>
      <c r="O26" s="3312">
        <v>225000</v>
      </c>
      <c r="P26" s="3312">
        <v>3249.15</v>
      </c>
      <c r="Q26" s="3312">
        <v>24368.58</v>
      </c>
      <c r="R26" s="3312">
        <v>27.84</v>
      </c>
      <c r="S26" s="3312" t="s">
        <v>3989</v>
      </c>
      <c r="T26" s="3312" t="s">
        <v>4112</v>
      </c>
    </row>
    <row r="27" spans="1:20" s="3312" customFormat="1" ht="26.25" customHeight="1">
      <c r="A27" s="3311" t="s">
        <v>4234</v>
      </c>
      <c r="B27" s="3312" t="s">
        <v>3981</v>
      </c>
      <c r="C27" s="3312" t="s">
        <v>3982</v>
      </c>
      <c r="D27" s="3312" t="s">
        <v>1327</v>
      </c>
      <c r="E27" s="3312" t="s">
        <v>4231</v>
      </c>
      <c r="F27" s="3312" t="s">
        <v>3984</v>
      </c>
      <c r="G27" s="3312" t="s">
        <v>4235</v>
      </c>
      <c r="H27" s="3312" t="s">
        <v>4000</v>
      </c>
      <c r="I27" s="3312">
        <v>38100</v>
      </c>
      <c r="J27" s="3312">
        <v>76200</v>
      </c>
      <c r="K27" s="3312">
        <v>2</v>
      </c>
      <c r="L27" s="3312" t="s">
        <v>4079</v>
      </c>
      <c r="M27" s="3312" t="s">
        <v>4235</v>
      </c>
      <c r="N27" s="3312" t="s">
        <v>4236</v>
      </c>
      <c r="O27" s="3312">
        <v>204000</v>
      </c>
      <c r="P27" s="3312">
        <v>3569.55</v>
      </c>
      <c r="Q27" s="3312">
        <v>26771.65</v>
      </c>
      <c r="R27" s="3312">
        <v>40.69</v>
      </c>
      <c r="S27" s="3312" t="s">
        <v>3989</v>
      </c>
      <c r="T27" s="3312" t="s">
        <v>4112</v>
      </c>
    </row>
    <row r="28" spans="1:20" s="3312" customFormat="1" ht="26.25" customHeight="1">
      <c r="A28" s="3311" t="s">
        <v>4081</v>
      </c>
      <c r="B28" s="3312" t="s">
        <v>3981</v>
      </c>
      <c r="C28" s="3312" t="s">
        <v>3982</v>
      </c>
      <c r="D28" s="3312" t="s">
        <v>1327</v>
      </c>
      <c r="E28" s="3312" t="s">
        <v>4072</v>
      </c>
      <c r="F28" s="3312" t="s">
        <v>3984</v>
      </c>
      <c r="G28" s="3312" t="s">
        <v>4082</v>
      </c>
      <c r="H28" s="3312" t="s">
        <v>4000</v>
      </c>
      <c r="I28" s="3312">
        <v>23639.39</v>
      </c>
      <c r="J28" s="3312">
        <v>75646</v>
      </c>
      <c r="K28" s="3312">
        <v>3.2</v>
      </c>
      <c r="L28" s="3312" t="s">
        <v>4083</v>
      </c>
      <c r="M28" s="3312" t="s">
        <v>4082</v>
      </c>
      <c r="N28" s="3312" t="s">
        <v>4084</v>
      </c>
      <c r="O28" s="3312">
        <v>103020</v>
      </c>
      <c r="P28" s="3312">
        <v>2905.32</v>
      </c>
      <c r="Q28" s="3312">
        <v>13618.7</v>
      </c>
      <c r="R28" s="3312">
        <v>1</v>
      </c>
      <c r="S28" s="3312" t="s">
        <v>3989</v>
      </c>
      <c r="T28" s="3312" t="s">
        <v>3990</v>
      </c>
    </row>
    <row r="29" spans="1:20" s="3312" customFormat="1" ht="26.25" customHeight="1">
      <c r="A29" s="3311" t="s">
        <v>4085</v>
      </c>
      <c r="B29" s="3312" t="s">
        <v>3981</v>
      </c>
      <c r="C29" s="3312" t="s">
        <v>3982</v>
      </c>
      <c r="D29" s="3312" t="s">
        <v>1327</v>
      </c>
      <c r="E29" s="3312" t="s">
        <v>4086</v>
      </c>
      <c r="F29" s="3312" t="s">
        <v>3984</v>
      </c>
      <c r="G29" s="3312" t="s">
        <v>4087</v>
      </c>
      <c r="H29" s="3312" t="s">
        <v>4026</v>
      </c>
      <c r="I29" s="3312">
        <v>69848.44</v>
      </c>
      <c r="J29" s="3312">
        <v>146863</v>
      </c>
      <c r="K29" s="3312">
        <v>2.1</v>
      </c>
      <c r="L29" s="3312" t="s">
        <v>4088</v>
      </c>
      <c r="M29" s="3312" t="s">
        <v>4087</v>
      </c>
      <c r="N29" s="3312" t="s">
        <v>4089</v>
      </c>
      <c r="O29" s="3312">
        <v>220000</v>
      </c>
      <c r="P29" s="3312">
        <v>2099.7800000000002</v>
      </c>
      <c r="Q29" s="3312">
        <v>14979.95</v>
      </c>
      <c r="R29" s="3312">
        <v>0</v>
      </c>
      <c r="S29" s="3312" t="s">
        <v>4029</v>
      </c>
      <c r="T29" s="3312" t="s">
        <v>4010</v>
      </c>
    </row>
    <row r="30" spans="1:20" s="3312" customFormat="1" ht="26.25" customHeight="1">
      <c r="A30" s="3311" t="s">
        <v>4090</v>
      </c>
      <c r="B30" s="3312" t="s">
        <v>3981</v>
      </c>
      <c r="C30" s="3312" t="s">
        <v>3982</v>
      </c>
      <c r="D30" s="3312" t="s">
        <v>1327</v>
      </c>
      <c r="E30" s="3312" t="s">
        <v>4086</v>
      </c>
      <c r="F30" s="3312" t="s">
        <v>3984</v>
      </c>
      <c r="G30" s="3312" t="s">
        <v>4091</v>
      </c>
      <c r="H30" s="3312" t="s">
        <v>4026</v>
      </c>
      <c r="I30" s="3312">
        <v>66079.679999999993</v>
      </c>
      <c r="J30" s="3312">
        <v>111429</v>
      </c>
      <c r="K30" s="3312">
        <v>1.69</v>
      </c>
      <c r="L30" s="3312" t="s">
        <v>4088</v>
      </c>
      <c r="M30" s="3312" t="s">
        <v>4091</v>
      </c>
      <c r="N30" s="3312" t="s">
        <v>4032</v>
      </c>
      <c r="O30" s="3312">
        <v>135000</v>
      </c>
      <c r="P30" s="3312">
        <v>1361.99</v>
      </c>
      <c r="Q30" s="3312">
        <v>12115.34</v>
      </c>
      <c r="R30" s="3312">
        <v>0</v>
      </c>
      <c r="S30" s="3312" t="s">
        <v>4029</v>
      </c>
      <c r="T30" s="3312" t="s">
        <v>4010</v>
      </c>
    </row>
    <row r="31" spans="1:20" s="3301" customFormat="1" ht="26.25" customHeight="1">
      <c r="A31" s="3303" t="s">
        <v>4092</v>
      </c>
      <c r="B31" s="3301" t="s">
        <v>3981</v>
      </c>
      <c r="C31" s="3301" t="s">
        <v>3982</v>
      </c>
      <c r="D31" s="3301" t="s">
        <v>1327</v>
      </c>
      <c r="E31" s="3301" t="s">
        <v>4093</v>
      </c>
      <c r="F31" s="3301" t="s">
        <v>3984</v>
      </c>
      <c r="G31" s="3301" t="s">
        <v>4094</v>
      </c>
      <c r="H31" s="3301" t="s">
        <v>4095</v>
      </c>
      <c r="I31" s="3301">
        <v>85709</v>
      </c>
      <c r="J31" s="3301">
        <v>179122</v>
      </c>
      <c r="K31" s="3301">
        <v>2.09</v>
      </c>
      <c r="L31" s="3301" t="s">
        <v>4096</v>
      </c>
      <c r="M31" s="3301" t="s">
        <v>4094</v>
      </c>
      <c r="N31" s="3301" t="s">
        <v>4097</v>
      </c>
      <c r="O31" s="3301">
        <v>378000</v>
      </c>
      <c r="P31" s="3301">
        <v>2940.18</v>
      </c>
      <c r="Q31" s="3301">
        <v>21102.93</v>
      </c>
      <c r="R31" s="3301">
        <v>200</v>
      </c>
      <c r="S31" s="3301" t="s">
        <v>3989</v>
      </c>
      <c r="T31" s="3301" t="s">
        <v>3990</v>
      </c>
    </row>
    <row r="32" spans="1:20" s="3301" customFormat="1" ht="26.25" customHeight="1">
      <c r="A32" s="3303" t="s">
        <v>4098</v>
      </c>
      <c r="B32" s="3301" t="s">
        <v>3981</v>
      </c>
      <c r="C32" s="3301" t="s">
        <v>3982</v>
      </c>
      <c r="D32" s="3301" t="s">
        <v>1327</v>
      </c>
      <c r="E32" s="3301" t="s">
        <v>4099</v>
      </c>
      <c r="F32" s="3301" t="s">
        <v>3984</v>
      </c>
      <c r="G32" s="3301" t="s">
        <v>4100</v>
      </c>
      <c r="H32" s="3301" t="s">
        <v>3986</v>
      </c>
      <c r="I32" s="3301">
        <v>10384</v>
      </c>
      <c r="J32" s="3301">
        <v>25960</v>
      </c>
      <c r="K32" s="3301">
        <v>2.5</v>
      </c>
      <c r="L32" s="3301" t="s">
        <v>4096</v>
      </c>
      <c r="M32" s="3301" t="s">
        <v>4100</v>
      </c>
      <c r="N32" s="3301" t="s">
        <v>4101</v>
      </c>
      <c r="O32" s="3301">
        <v>51300</v>
      </c>
      <c r="P32" s="3301">
        <v>3293.53</v>
      </c>
      <c r="Q32" s="3301">
        <v>19761.16</v>
      </c>
      <c r="R32" s="3301">
        <v>0</v>
      </c>
      <c r="S32" s="3301" t="s">
        <v>3989</v>
      </c>
      <c r="T32" s="3301" t="s">
        <v>3990</v>
      </c>
    </row>
    <row r="33" spans="1:20" s="3312" customFormat="1" ht="26.25" customHeight="1">
      <c r="A33" s="3311" t="s">
        <v>4102</v>
      </c>
      <c r="B33" s="3312" t="s">
        <v>3981</v>
      </c>
      <c r="C33" s="3312" t="s">
        <v>3982</v>
      </c>
      <c r="D33" s="3312" t="s">
        <v>1327</v>
      </c>
      <c r="E33" s="3312" t="s">
        <v>4099</v>
      </c>
      <c r="F33" s="3312" t="s">
        <v>3984</v>
      </c>
      <c r="G33" s="3312" t="s">
        <v>4103</v>
      </c>
      <c r="H33" s="3312" t="s">
        <v>3986</v>
      </c>
      <c r="I33" s="3312">
        <v>8466</v>
      </c>
      <c r="J33" s="3312">
        <v>21165</v>
      </c>
      <c r="K33" s="3312">
        <v>2.5</v>
      </c>
      <c r="L33" s="3312" t="s">
        <v>4104</v>
      </c>
      <c r="M33" s="3312" t="s">
        <v>4103</v>
      </c>
      <c r="N33" s="3312" t="s">
        <v>4105</v>
      </c>
      <c r="O33" s="3312">
        <v>42000</v>
      </c>
      <c r="P33" s="3312">
        <v>3307.35</v>
      </c>
      <c r="Q33" s="3312">
        <v>19844.080000000002</v>
      </c>
      <c r="R33" s="3312">
        <v>3.45</v>
      </c>
      <c r="S33" s="3312" t="s">
        <v>3989</v>
      </c>
      <c r="T33" s="3312" t="s">
        <v>3990</v>
      </c>
    </row>
    <row r="34" spans="1:20" s="3312" customFormat="1" ht="26.25" customHeight="1">
      <c r="A34" s="3311" t="s">
        <v>4106</v>
      </c>
      <c r="B34" s="3312" t="s">
        <v>3981</v>
      </c>
      <c r="C34" s="3312" t="s">
        <v>3982</v>
      </c>
      <c r="D34" s="3312" t="s">
        <v>1327</v>
      </c>
      <c r="E34" s="3312" t="s">
        <v>4107</v>
      </c>
      <c r="F34" s="3312" t="s">
        <v>3984</v>
      </c>
      <c r="G34" s="3312" t="s">
        <v>4108</v>
      </c>
      <c r="H34" s="3312" t="s">
        <v>4109</v>
      </c>
      <c r="I34" s="3312">
        <v>2070793</v>
      </c>
      <c r="J34" s="3312">
        <v>1642730</v>
      </c>
      <c r="K34" s="3312">
        <v>0.79</v>
      </c>
      <c r="L34" s="3312" t="s">
        <v>4110</v>
      </c>
      <c r="M34" s="3312" t="s">
        <v>4108</v>
      </c>
      <c r="N34" s="3312" t="s">
        <v>4111</v>
      </c>
      <c r="O34" s="3312">
        <v>870000</v>
      </c>
      <c r="P34" s="3312">
        <v>280.08999999999997</v>
      </c>
      <c r="Q34" s="3312">
        <v>5296.06</v>
      </c>
      <c r="R34" s="3312">
        <v>0</v>
      </c>
      <c r="S34" s="3312" t="s">
        <v>3989</v>
      </c>
      <c r="T34" s="3312" t="s">
        <v>4112</v>
      </c>
    </row>
    <row r="35" spans="1:20" s="3312" customFormat="1" ht="26.25" customHeight="1">
      <c r="A35" s="3311" t="s">
        <v>4237</v>
      </c>
      <c r="B35" s="3312" t="s">
        <v>3981</v>
      </c>
      <c r="C35" s="3312" t="s">
        <v>3982</v>
      </c>
      <c r="D35" s="3312" t="s">
        <v>1327</v>
      </c>
      <c r="E35" s="3312" t="s">
        <v>4238</v>
      </c>
      <c r="F35" s="3312" t="s">
        <v>3984</v>
      </c>
      <c r="G35" s="3312" t="s">
        <v>4239</v>
      </c>
      <c r="H35" s="3312" t="s">
        <v>4047</v>
      </c>
      <c r="I35" s="3312">
        <v>13326.99</v>
      </c>
      <c r="J35" s="3312">
        <v>46644</v>
      </c>
      <c r="K35" s="3312">
        <v>3.5</v>
      </c>
      <c r="L35" s="3312" t="s">
        <v>4240</v>
      </c>
      <c r="M35" s="3312" t="s">
        <v>4239</v>
      </c>
      <c r="N35" s="3312" t="s">
        <v>4241</v>
      </c>
      <c r="O35" s="3312">
        <v>141000</v>
      </c>
      <c r="P35" s="3312">
        <v>7053.36</v>
      </c>
      <c r="Q35" s="3312">
        <v>30228.97</v>
      </c>
      <c r="R35" s="3312">
        <v>107.35</v>
      </c>
      <c r="S35" s="3312" t="s">
        <v>3989</v>
      </c>
      <c r="T35" s="3312" t="s">
        <v>3990</v>
      </c>
    </row>
    <row r="36" spans="1:20" s="3312" customFormat="1" ht="26.25" customHeight="1">
      <c r="A36" s="3311" t="s">
        <v>4113</v>
      </c>
      <c r="B36" s="3312" t="s">
        <v>3981</v>
      </c>
      <c r="C36" s="3312" t="s">
        <v>3982</v>
      </c>
      <c r="D36" s="3312" t="s">
        <v>1327</v>
      </c>
      <c r="E36" s="3312" t="s">
        <v>4114</v>
      </c>
      <c r="F36" s="3312" t="s">
        <v>3984</v>
      </c>
      <c r="G36" s="3312" t="s">
        <v>4115</v>
      </c>
      <c r="H36" s="3312" t="s">
        <v>3986</v>
      </c>
      <c r="I36" s="3312">
        <v>33619.79</v>
      </c>
      <c r="J36" s="3312">
        <v>134479</v>
      </c>
      <c r="K36" s="3312">
        <v>4</v>
      </c>
      <c r="L36" s="3312" t="s">
        <v>4116</v>
      </c>
      <c r="M36" s="3312" t="s">
        <v>4115</v>
      </c>
      <c r="N36" s="3312" t="s">
        <v>4117</v>
      </c>
      <c r="O36" s="3312">
        <v>334000</v>
      </c>
      <c r="P36" s="3312">
        <v>6623.08</v>
      </c>
      <c r="Q36" s="3312">
        <v>24836.59</v>
      </c>
      <c r="R36" s="3312">
        <v>118.3</v>
      </c>
      <c r="S36" s="3312" t="s">
        <v>3989</v>
      </c>
      <c r="T36" s="3312" t="s">
        <v>4112</v>
      </c>
    </row>
    <row r="37" spans="1:20" s="3312" customFormat="1" ht="26.25" customHeight="1">
      <c r="A37" s="3311" t="s">
        <v>4118</v>
      </c>
      <c r="B37" s="3312" t="s">
        <v>3981</v>
      </c>
      <c r="C37" s="3312" t="s">
        <v>3982</v>
      </c>
      <c r="D37" s="3312" t="s">
        <v>1327</v>
      </c>
      <c r="E37" s="3312" t="s">
        <v>4077</v>
      </c>
      <c r="F37" s="3312" t="s">
        <v>3984</v>
      </c>
      <c r="G37" s="3312" t="s">
        <v>4119</v>
      </c>
      <c r="H37" s="3312" t="s">
        <v>4000</v>
      </c>
      <c r="I37" s="3312">
        <v>71916.58</v>
      </c>
      <c r="J37" s="3312">
        <v>107875</v>
      </c>
      <c r="K37" s="3312">
        <v>1.5</v>
      </c>
      <c r="L37" s="3312" t="s">
        <v>4120</v>
      </c>
      <c r="M37" s="3312" t="s">
        <v>4119</v>
      </c>
      <c r="N37" s="3312" t="s">
        <v>4121</v>
      </c>
      <c r="O37" s="3312">
        <v>181000</v>
      </c>
      <c r="P37" s="3312">
        <v>1677.87</v>
      </c>
      <c r="Q37" s="3312">
        <v>16778.68</v>
      </c>
      <c r="R37" s="3312">
        <v>101.11</v>
      </c>
      <c r="S37" s="3312" t="s">
        <v>3989</v>
      </c>
      <c r="T37" s="3312" t="s">
        <v>4022</v>
      </c>
    </row>
    <row r="38" spans="1:20" s="3312" customFormat="1" ht="26.25" customHeight="1">
      <c r="A38" s="3311" t="s">
        <v>4122</v>
      </c>
      <c r="B38" s="3312" t="s">
        <v>3981</v>
      </c>
      <c r="C38" s="3312" t="s">
        <v>3982</v>
      </c>
      <c r="D38" s="3312" t="s">
        <v>1327</v>
      </c>
      <c r="E38" s="3312" t="s">
        <v>4077</v>
      </c>
      <c r="F38" s="3312" t="s">
        <v>3984</v>
      </c>
      <c r="G38" s="3312" t="s">
        <v>4123</v>
      </c>
      <c r="H38" s="3312" t="s">
        <v>4000</v>
      </c>
      <c r="I38" s="3312">
        <v>47919.26</v>
      </c>
      <c r="J38" s="3312">
        <v>143758</v>
      </c>
      <c r="K38" s="3312">
        <v>3</v>
      </c>
      <c r="L38" s="3312" t="s">
        <v>4124</v>
      </c>
      <c r="M38" s="3312" t="s">
        <v>4123</v>
      </c>
      <c r="N38" s="3312" t="s">
        <v>4121</v>
      </c>
      <c r="O38" s="3312">
        <v>130000</v>
      </c>
      <c r="P38" s="3312">
        <v>1808.6</v>
      </c>
      <c r="Q38" s="3312">
        <v>9042.9599999999991</v>
      </c>
      <c r="R38" s="3312">
        <v>8.33</v>
      </c>
      <c r="S38" s="3312" t="s">
        <v>3989</v>
      </c>
      <c r="T38" s="3312" t="s">
        <v>4022</v>
      </c>
    </row>
    <row r="39" spans="1:20" s="3312" customFormat="1" ht="26.25" customHeight="1">
      <c r="A39" s="3311" t="s">
        <v>4125</v>
      </c>
      <c r="B39" s="3312" t="s">
        <v>3981</v>
      </c>
      <c r="C39" s="3312" t="s">
        <v>3982</v>
      </c>
      <c r="D39" s="3312" t="s">
        <v>1327</v>
      </c>
      <c r="E39" s="3312" t="s">
        <v>4126</v>
      </c>
      <c r="F39" s="3312" t="s">
        <v>3984</v>
      </c>
      <c r="G39" s="3312" t="s">
        <v>4127</v>
      </c>
      <c r="H39" s="3312" t="s">
        <v>4000</v>
      </c>
      <c r="I39" s="3312">
        <v>49477.2</v>
      </c>
      <c r="J39" s="3312">
        <v>123693</v>
      </c>
      <c r="K39" s="3312">
        <v>2.5</v>
      </c>
      <c r="L39" s="3312" t="s">
        <v>4128</v>
      </c>
      <c r="M39" s="3312" t="s">
        <v>4127</v>
      </c>
      <c r="N39" s="3312" t="s">
        <v>4129</v>
      </c>
      <c r="O39" s="3312">
        <v>187500</v>
      </c>
      <c r="P39" s="3312">
        <v>2526.42</v>
      </c>
      <c r="Q39" s="3312">
        <v>15158.5</v>
      </c>
      <c r="R39" s="3312">
        <v>152.36000000000001</v>
      </c>
      <c r="S39" s="3312" t="s">
        <v>3989</v>
      </c>
      <c r="T39" s="3312" t="s">
        <v>4022</v>
      </c>
    </row>
    <row r="40" spans="1:20" s="3312" customFormat="1" ht="26.25" customHeight="1">
      <c r="A40" s="3311" t="s">
        <v>4242</v>
      </c>
      <c r="B40" s="3312" t="s">
        <v>3981</v>
      </c>
      <c r="C40" s="3312" t="s">
        <v>3982</v>
      </c>
      <c r="D40" s="3312" t="s">
        <v>1327</v>
      </c>
      <c r="E40" s="3312" t="s">
        <v>4243</v>
      </c>
      <c r="F40" s="3312" t="s">
        <v>3993</v>
      </c>
      <c r="G40" s="3312" t="s">
        <v>4244</v>
      </c>
      <c r="H40" s="3312" t="s">
        <v>3986</v>
      </c>
      <c r="I40" s="3312">
        <v>18313.7</v>
      </c>
      <c r="J40" s="3312">
        <v>119400</v>
      </c>
      <c r="K40" s="3312">
        <v>6.52</v>
      </c>
      <c r="L40" s="3312" t="s">
        <v>4245</v>
      </c>
      <c r="M40" s="3312" t="s">
        <v>4244</v>
      </c>
      <c r="N40" s="3312" t="s">
        <v>4246</v>
      </c>
      <c r="O40" s="3312">
        <v>415000</v>
      </c>
      <c r="P40" s="3312">
        <v>15107.09</v>
      </c>
      <c r="Q40" s="3312">
        <v>34757.120000000003</v>
      </c>
      <c r="R40" s="3312" t="s">
        <v>1327</v>
      </c>
      <c r="S40" s="3312" t="s">
        <v>3989</v>
      </c>
      <c r="T40" s="3312" t="s">
        <v>4010</v>
      </c>
    </row>
    <row r="41" spans="1:20" s="3312" customFormat="1" ht="26.25" customHeight="1">
      <c r="A41" s="3311" t="s">
        <v>4247</v>
      </c>
      <c r="B41" s="3312" t="s">
        <v>3981</v>
      </c>
      <c r="C41" s="3312" t="s">
        <v>3982</v>
      </c>
      <c r="D41" s="3312" t="s">
        <v>1327</v>
      </c>
      <c r="E41" s="3312" t="s">
        <v>4077</v>
      </c>
      <c r="F41" s="3312" t="s">
        <v>3984</v>
      </c>
      <c r="G41" s="3312" t="s">
        <v>4248</v>
      </c>
      <c r="H41" s="3312" t="s">
        <v>4000</v>
      </c>
      <c r="I41" s="3312">
        <v>61900.3</v>
      </c>
      <c r="J41" s="3312">
        <v>111421</v>
      </c>
      <c r="K41" s="3312">
        <v>1.8</v>
      </c>
      <c r="L41" s="3312" t="s">
        <v>4249</v>
      </c>
      <c r="M41" s="3312" t="s">
        <v>4248</v>
      </c>
      <c r="N41" s="3312" t="s">
        <v>4121</v>
      </c>
      <c r="O41" s="3312">
        <v>197000</v>
      </c>
      <c r="P41" s="3312">
        <v>2121.69</v>
      </c>
      <c r="Q41" s="3312">
        <v>17680.68</v>
      </c>
      <c r="R41" s="3312">
        <v>120.11</v>
      </c>
      <c r="S41" s="3312" t="s">
        <v>3989</v>
      </c>
      <c r="T41" s="3312" t="s">
        <v>4022</v>
      </c>
    </row>
    <row r="42" spans="1:20" s="3312" customFormat="1" ht="26.25" customHeight="1">
      <c r="A42" s="3311" t="s">
        <v>4250</v>
      </c>
      <c r="B42" s="3312" t="s">
        <v>3981</v>
      </c>
      <c r="C42" s="3312" t="s">
        <v>3982</v>
      </c>
      <c r="D42" s="3312" t="s">
        <v>1327</v>
      </c>
      <c r="E42" s="3312" t="s">
        <v>4077</v>
      </c>
      <c r="F42" s="3312" t="s">
        <v>3984</v>
      </c>
      <c r="G42" s="3312" t="s">
        <v>4251</v>
      </c>
      <c r="H42" s="3312" t="s">
        <v>4000</v>
      </c>
      <c r="I42" s="3312">
        <v>66594.820000000007</v>
      </c>
      <c r="J42" s="3312">
        <v>119871</v>
      </c>
      <c r="K42" s="3312">
        <v>1.8</v>
      </c>
      <c r="L42" s="3312" t="s">
        <v>4249</v>
      </c>
      <c r="M42" s="3312" t="s">
        <v>4251</v>
      </c>
      <c r="N42" s="3312" t="s">
        <v>4121</v>
      </c>
      <c r="O42" s="3312">
        <v>196000</v>
      </c>
      <c r="P42" s="3312">
        <v>1962.11</v>
      </c>
      <c r="Q42" s="3312">
        <v>16350.9</v>
      </c>
      <c r="R42" s="3312">
        <v>104.17</v>
      </c>
      <c r="S42" s="3312" t="s">
        <v>3989</v>
      </c>
      <c r="T42" s="3312" t="s">
        <v>4022</v>
      </c>
    </row>
    <row r="43" spans="1:20" s="3312" customFormat="1" ht="26.25" customHeight="1">
      <c r="A43" s="3311" t="s">
        <v>4252</v>
      </c>
      <c r="B43" s="3312" t="s">
        <v>3981</v>
      </c>
      <c r="C43" s="3312" t="s">
        <v>3982</v>
      </c>
      <c r="D43" s="3312" t="s">
        <v>1327</v>
      </c>
      <c r="E43" s="3312" t="s">
        <v>4253</v>
      </c>
      <c r="F43" s="3312" t="s">
        <v>3984</v>
      </c>
      <c r="G43" s="3312" t="s">
        <v>4254</v>
      </c>
      <c r="H43" s="3312" t="s">
        <v>4000</v>
      </c>
      <c r="I43" s="3312">
        <v>44700.95</v>
      </c>
      <c r="J43" s="3312">
        <v>80462</v>
      </c>
      <c r="K43" s="3312">
        <v>1.8</v>
      </c>
      <c r="L43" s="3312" t="s">
        <v>4255</v>
      </c>
      <c r="M43" s="3312" t="s">
        <v>4254</v>
      </c>
      <c r="N43" s="3312" t="s">
        <v>4256</v>
      </c>
      <c r="O43" s="3312">
        <v>22400</v>
      </c>
      <c r="P43" s="3312">
        <v>334.07</v>
      </c>
      <c r="Q43" s="3312">
        <v>2783.92</v>
      </c>
      <c r="R43" s="3312">
        <v>0</v>
      </c>
      <c r="S43" s="3312" t="s">
        <v>3989</v>
      </c>
      <c r="T43" s="3312" t="s">
        <v>4022</v>
      </c>
    </row>
    <row r="44" spans="1:20" s="3312" customFormat="1" ht="26.25" customHeight="1">
      <c r="A44" s="3311" t="s">
        <v>4257</v>
      </c>
      <c r="B44" s="3312" t="s">
        <v>3981</v>
      </c>
      <c r="C44" s="3312" t="s">
        <v>3982</v>
      </c>
      <c r="D44" s="3312" t="s">
        <v>1327</v>
      </c>
      <c r="E44" s="3312" t="s">
        <v>4258</v>
      </c>
      <c r="F44" s="3312" t="s">
        <v>3984</v>
      </c>
      <c r="G44" s="3312" t="s">
        <v>4259</v>
      </c>
      <c r="H44" s="3312" t="s">
        <v>3986</v>
      </c>
      <c r="I44" s="3312">
        <v>35244.94</v>
      </c>
      <c r="J44" s="3312">
        <v>123357</v>
      </c>
      <c r="K44" s="3312">
        <v>3.5</v>
      </c>
      <c r="L44" s="3312" t="s">
        <v>4260</v>
      </c>
      <c r="M44" s="3312" t="s">
        <v>4259</v>
      </c>
      <c r="N44" s="3312" t="s">
        <v>4261</v>
      </c>
      <c r="O44" s="3312">
        <v>354000</v>
      </c>
      <c r="P44" s="3312">
        <v>6696</v>
      </c>
      <c r="Q44" s="3312">
        <v>28697.200000000001</v>
      </c>
      <c r="R44" s="3312">
        <v>121.25</v>
      </c>
      <c r="S44" s="3312" t="s">
        <v>3989</v>
      </c>
      <c r="T44" s="3312" t="s">
        <v>4010</v>
      </c>
    </row>
    <row r="45" spans="1:20" s="3312" customFormat="1" ht="26.25" customHeight="1">
      <c r="A45" s="3311" t="s">
        <v>4262</v>
      </c>
      <c r="B45" s="3312" t="s">
        <v>3981</v>
      </c>
      <c r="C45" s="3312" t="s">
        <v>3982</v>
      </c>
      <c r="D45" s="3312" t="s">
        <v>1327</v>
      </c>
      <c r="E45" s="3312" t="s">
        <v>4263</v>
      </c>
      <c r="F45" s="3312" t="s">
        <v>3984</v>
      </c>
      <c r="G45" s="3312" t="s">
        <v>4264</v>
      </c>
      <c r="H45" s="3312" t="s">
        <v>3986</v>
      </c>
      <c r="I45" s="3312">
        <v>74500</v>
      </c>
      <c r="J45" s="3312">
        <v>475640</v>
      </c>
      <c r="K45" s="3312">
        <v>6.38</v>
      </c>
      <c r="L45" s="3312" t="s">
        <v>4265</v>
      </c>
      <c r="M45" s="3312" t="s">
        <v>4264</v>
      </c>
      <c r="N45" s="3312" t="s">
        <v>4266</v>
      </c>
      <c r="O45" s="3312">
        <v>420000</v>
      </c>
      <c r="P45" s="3312">
        <v>3758.39</v>
      </c>
      <c r="Q45" s="3312">
        <v>8830.2000000000007</v>
      </c>
      <c r="R45" s="3312">
        <v>0</v>
      </c>
      <c r="S45" s="3312" t="s">
        <v>3989</v>
      </c>
      <c r="T45" s="3312" t="s">
        <v>3990</v>
      </c>
    </row>
    <row r="46" spans="1:20" s="3312" customFormat="1" ht="26.25" customHeight="1">
      <c r="A46" s="3311" t="s">
        <v>4267</v>
      </c>
      <c r="B46" s="3312" t="s">
        <v>3981</v>
      </c>
      <c r="C46" s="3312" t="s">
        <v>3982</v>
      </c>
      <c r="D46" s="3312" t="s">
        <v>1327</v>
      </c>
      <c r="E46" s="3312" t="s">
        <v>4268</v>
      </c>
      <c r="F46" s="3312" t="s">
        <v>3984</v>
      </c>
      <c r="G46" s="3312" t="s">
        <v>4269</v>
      </c>
      <c r="H46" s="3312" t="s">
        <v>4047</v>
      </c>
      <c r="I46" s="3312">
        <v>17629.740000000002</v>
      </c>
      <c r="J46" s="3312">
        <v>52889</v>
      </c>
      <c r="K46" s="3312">
        <v>3</v>
      </c>
      <c r="L46" s="3312" t="s">
        <v>4270</v>
      </c>
      <c r="M46" s="3312" t="s">
        <v>4269</v>
      </c>
      <c r="N46" s="3312" t="s">
        <v>4271</v>
      </c>
      <c r="O46" s="3312">
        <v>64200</v>
      </c>
      <c r="P46" s="3312">
        <v>2427.7199999999998</v>
      </c>
      <c r="Q46" s="3312">
        <v>12138.62</v>
      </c>
      <c r="R46" s="3312">
        <v>1.1000000000000001</v>
      </c>
      <c r="S46" s="3312" t="s">
        <v>3989</v>
      </c>
      <c r="T46" s="3312" t="s">
        <v>3990</v>
      </c>
    </row>
    <row r="47" spans="1:20" s="3312" customFormat="1" ht="26.25" customHeight="1">
      <c r="A47" s="3311" t="s">
        <v>4272</v>
      </c>
      <c r="B47" s="3312" t="s">
        <v>3981</v>
      </c>
      <c r="C47" s="3312" t="s">
        <v>3982</v>
      </c>
      <c r="D47" s="3312" t="s">
        <v>1327</v>
      </c>
      <c r="E47" s="3312" t="s">
        <v>4268</v>
      </c>
      <c r="F47" s="3312" t="s">
        <v>3984</v>
      </c>
      <c r="G47" s="3312" t="s">
        <v>4273</v>
      </c>
      <c r="H47" s="3312" t="s">
        <v>4274</v>
      </c>
      <c r="I47" s="3312">
        <v>20680.23</v>
      </c>
      <c r="J47" s="3312">
        <v>62041</v>
      </c>
      <c r="K47" s="3312">
        <v>3</v>
      </c>
      <c r="L47" s="3312" t="s">
        <v>4275</v>
      </c>
      <c r="M47" s="3312" t="s">
        <v>4273</v>
      </c>
      <c r="N47" s="3312" t="s">
        <v>4276</v>
      </c>
      <c r="O47" s="3312">
        <v>81000</v>
      </c>
      <c r="P47" s="3312">
        <v>2611.19</v>
      </c>
      <c r="Q47" s="3312">
        <v>13055.87</v>
      </c>
      <c r="R47" s="3312">
        <v>8</v>
      </c>
      <c r="S47" s="3312" t="s">
        <v>3989</v>
      </c>
      <c r="T47" s="3312" t="s">
        <v>3990</v>
      </c>
    </row>
    <row r="48" spans="1:20" s="3312" customFormat="1" ht="26.25" customHeight="1">
      <c r="A48" s="3311" t="s">
        <v>4277</v>
      </c>
      <c r="B48" s="3312" t="s">
        <v>3981</v>
      </c>
      <c r="C48" s="3312" t="s">
        <v>3982</v>
      </c>
      <c r="D48" s="3312" t="s">
        <v>1327</v>
      </c>
      <c r="E48" s="3312" t="s">
        <v>4278</v>
      </c>
      <c r="F48" s="3312" t="s">
        <v>3984</v>
      </c>
      <c r="G48" s="3312" t="s">
        <v>4279</v>
      </c>
      <c r="H48" s="3312" t="s">
        <v>4026</v>
      </c>
      <c r="I48" s="3312">
        <v>27377.24</v>
      </c>
      <c r="J48" s="3312">
        <v>62968</v>
      </c>
      <c r="K48" s="3312">
        <v>2.2999999999999998</v>
      </c>
      <c r="L48" s="3312" t="s">
        <v>4275</v>
      </c>
      <c r="M48" s="3312" t="s">
        <v>4279</v>
      </c>
      <c r="N48" s="3312" t="s">
        <v>4089</v>
      </c>
      <c r="O48" s="3312">
        <v>65000</v>
      </c>
      <c r="P48" s="3312">
        <v>1582.82</v>
      </c>
      <c r="Q48" s="3312">
        <v>10322.700000000001</v>
      </c>
      <c r="R48" s="3312">
        <v>0</v>
      </c>
      <c r="S48" s="3312" t="s">
        <v>4029</v>
      </c>
      <c r="T48" s="3312" t="s">
        <v>4010</v>
      </c>
    </row>
    <row r="49" spans="1:20" s="3312" customFormat="1" ht="26.25" customHeight="1">
      <c r="A49" s="3311" t="s">
        <v>4280</v>
      </c>
      <c r="B49" s="3312" t="s">
        <v>3981</v>
      </c>
      <c r="C49" s="3312" t="s">
        <v>3982</v>
      </c>
      <c r="D49" s="3312" t="s">
        <v>1327</v>
      </c>
      <c r="E49" s="3312" t="s">
        <v>4281</v>
      </c>
      <c r="F49" s="3312" t="s">
        <v>3984</v>
      </c>
      <c r="G49" s="3312" t="s">
        <v>4282</v>
      </c>
      <c r="H49" s="3312" t="s">
        <v>3986</v>
      </c>
      <c r="I49" s="3312">
        <v>14788.3</v>
      </c>
      <c r="J49" s="3312">
        <v>59153</v>
      </c>
      <c r="K49" s="3312">
        <v>4</v>
      </c>
      <c r="L49" s="3312" t="s">
        <v>4283</v>
      </c>
      <c r="M49" s="3312" t="s">
        <v>4282</v>
      </c>
      <c r="N49" s="3312" t="s">
        <v>4284</v>
      </c>
      <c r="O49" s="3312">
        <v>176000</v>
      </c>
      <c r="P49" s="3312">
        <v>7934.2</v>
      </c>
      <c r="Q49" s="3312">
        <v>29753.34</v>
      </c>
      <c r="R49" s="3312">
        <v>146.15</v>
      </c>
      <c r="S49" s="3312" t="s">
        <v>3989</v>
      </c>
      <c r="T49" s="3312" t="s">
        <v>4010</v>
      </c>
    </row>
    <row r="50" spans="1:20" s="3312" customFormat="1" ht="26.25" customHeight="1">
      <c r="A50" s="3311" t="s">
        <v>4285</v>
      </c>
      <c r="B50" s="3312" t="s">
        <v>3981</v>
      </c>
      <c r="C50" s="3312" t="s">
        <v>3982</v>
      </c>
      <c r="D50" s="3312" t="s">
        <v>1327</v>
      </c>
      <c r="E50" s="3312" t="s">
        <v>4281</v>
      </c>
      <c r="F50" s="3312" t="s">
        <v>3984</v>
      </c>
      <c r="G50" s="3312" t="s">
        <v>4286</v>
      </c>
      <c r="H50" s="3312" t="s">
        <v>3986</v>
      </c>
      <c r="I50" s="3312">
        <v>29500</v>
      </c>
      <c r="J50" s="3312">
        <v>118000</v>
      </c>
      <c r="K50" s="3312">
        <v>4</v>
      </c>
      <c r="L50" s="3312" t="s">
        <v>4283</v>
      </c>
      <c r="M50" s="3312" t="s">
        <v>4286</v>
      </c>
      <c r="N50" s="3312" t="s">
        <v>4284</v>
      </c>
      <c r="O50" s="3312">
        <v>342000</v>
      </c>
      <c r="P50" s="3312">
        <v>7728.81</v>
      </c>
      <c r="Q50" s="3312">
        <v>28983.040000000001</v>
      </c>
      <c r="R50" s="3312">
        <v>140.85</v>
      </c>
      <c r="S50" s="3312" t="s">
        <v>3989</v>
      </c>
      <c r="T50" s="3312" t="s">
        <v>4010</v>
      </c>
    </row>
    <row r="51" spans="1:20" s="3312" customFormat="1" ht="26.25" customHeight="1">
      <c r="A51" s="3311" t="s">
        <v>4287</v>
      </c>
      <c r="B51" s="3312" t="s">
        <v>3981</v>
      </c>
      <c r="C51" s="3312" t="s">
        <v>3982</v>
      </c>
      <c r="D51" s="3312" t="s">
        <v>1327</v>
      </c>
      <c r="E51" s="3312" t="s">
        <v>4281</v>
      </c>
      <c r="F51" s="3312" t="s">
        <v>3984</v>
      </c>
      <c r="G51" s="3312" t="s">
        <v>4288</v>
      </c>
      <c r="H51" s="3312" t="s">
        <v>3986</v>
      </c>
      <c r="I51" s="3312">
        <v>15089.35</v>
      </c>
      <c r="J51" s="3312">
        <v>60357</v>
      </c>
      <c r="K51" s="3312">
        <v>4</v>
      </c>
      <c r="L51" s="3312" t="s">
        <v>4289</v>
      </c>
      <c r="M51" s="3312" t="s">
        <v>4288</v>
      </c>
      <c r="N51" s="3312" t="s">
        <v>4290</v>
      </c>
      <c r="O51" s="3312">
        <v>110000</v>
      </c>
      <c r="P51" s="3312">
        <v>4859.9399999999996</v>
      </c>
      <c r="Q51" s="3312">
        <v>18224.900000000001</v>
      </c>
      <c r="R51" s="3312">
        <v>54.93</v>
      </c>
      <c r="S51" s="3312" t="s">
        <v>3989</v>
      </c>
      <c r="T51" s="3312" t="s">
        <v>4010</v>
      </c>
    </row>
    <row r="52" spans="1:20" s="3300" customFormat="1" ht="26.25" customHeight="1">
      <c r="A52" s="3302"/>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55" workbookViewId="0">
      <selection activeCell="P12" sqref="P12"/>
    </sheetView>
  </sheetViews>
  <sheetFormatPr defaultRowHeight="13.5"/>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E14" sqref="E14"/>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2520</v>
      </c>
      <c r="B1" s="2564"/>
      <c r="C1" s="2564"/>
      <c r="D1" s="2564"/>
      <c r="E1" s="2565"/>
    </row>
    <row r="2" spans="1:6" ht="15.75">
      <c r="A2" s="2566" t="s">
        <v>2321</v>
      </c>
      <c r="B2" s="2567">
        <f ca="1">SUMIF(B6:B13,"&lt;&gt;#ref!",B6:B13)</f>
        <v>189380</v>
      </c>
      <c r="C2" s="2568" t="s">
        <v>2513</v>
      </c>
      <c r="D2" s="2569" t="s">
        <v>2514</v>
      </c>
      <c r="E2" s="2570">
        <f>SUM(E6:E13)</f>
        <v>49991.200000000012</v>
      </c>
    </row>
    <row r="3" spans="1:6" ht="15.75">
      <c r="A3" s="2566" t="s">
        <v>1391</v>
      </c>
      <c r="B3" s="2567">
        <f ca="1">ROUND(B2*10000/E2,0)</f>
        <v>37883</v>
      </c>
      <c r="C3" s="2568" t="s">
        <v>2521</v>
      </c>
      <c r="D3" s="2571"/>
      <c r="E3" s="2572"/>
    </row>
    <row r="4" spans="1:6" ht="15.75">
      <c r="A4" s="2573"/>
      <c r="B4" s="2571"/>
      <c r="C4" s="2571"/>
      <c r="D4" s="2571"/>
      <c r="E4" s="2572"/>
    </row>
    <row r="5" spans="1:6" ht="15">
      <c r="A5" s="2574" t="s">
        <v>2515</v>
      </c>
      <c r="B5" s="3146" t="s">
        <v>2516</v>
      </c>
      <c r="C5" s="3146"/>
      <c r="D5" s="2575"/>
      <c r="E5" s="2576" t="s">
        <v>2517</v>
      </c>
      <c r="F5" s="2577" t="s">
        <v>2518</v>
      </c>
    </row>
    <row r="6" spans="1:6">
      <c r="A6" s="2578" t="str">
        <f>'数据-取费表'!AN6</f>
        <v>收益法（商业）</v>
      </c>
      <c r="B6" s="2577">
        <f ca="1">IF(F6="是",'数据-取费表'!AO6,0)</f>
        <v>10260</v>
      </c>
      <c r="C6" s="2568" t="s">
        <v>2513</v>
      </c>
      <c r="D6" s="2571"/>
      <c r="E6" s="2579">
        <f>IF(OR(A6=0,F6="否"),0,'数据-取费表'!K6+'数据-取费表'!S6)</f>
        <v>1600.16</v>
      </c>
      <c r="F6" s="2580" t="s">
        <v>2519</v>
      </c>
    </row>
    <row r="7" spans="1:6">
      <c r="A7" s="2578" t="str">
        <f>'数据-取费表'!AN7</f>
        <v>收益法（平层公寓）</v>
      </c>
      <c r="B7" s="2577">
        <f ca="1">IF(F7="是",'数据-取费表'!AO7,0)</f>
        <v>118894</v>
      </c>
      <c r="C7" s="2568" t="s">
        <v>2513</v>
      </c>
      <c r="D7" s="2571"/>
      <c r="E7" s="2579">
        <f>IF(OR(A7=0,F7="否"),0,'数据-取费表'!K7+'数据-取费表'!S7)</f>
        <v>33238.290000000008</v>
      </c>
      <c r="F7" s="2580" t="s">
        <v>2519</v>
      </c>
    </row>
    <row r="8" spans="1:6">
      <c r="A8" s="2578" t="str">
        <f>'数据-取费表'!AN8</f>
        <v>收益法（LOFT公寓）</v>
      </c>
      <c r="B8" s="2577">
        <f ca="1">IF(F8="是",'数据-取费表'!AO8,0)</f>
        <v>60226</v>
      </c>
      <c r="C8" s="2568" t="s">
        <v>2513</v>
      </c>
      <c r="D8" s="2571"/>
      <c r="E8" s="2579">
        <f>IF(OR(A8=0,F8="否"),0,'数据-取费表'!K8+'数据-取费表'!S8)</f>
        <v>15152.750000000002</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53" t="s">
        <v>1074</v>
      </c>
      <c r="B2" s="3154" t="s">
        <v>1075</v>
      </c>
      <c r="C2" s="3154"/>
      <c r="D2" s="1302" t="s">
        <v>1076</v>
      </c>
      <c r="E2" s="1302" t="s">
        <v>1077</v>
      </c>
      <c r="F2" s="1302" t="s">
        <v>1078</v>
      </c>
      <c r="G2" s="1302" t="s">
        <v>1079</v>
      </c>
      <c r="H2" s="1302" t="s">
        <v>1080</v>
      </c>
      <c r="I2" s="1303" t="s">
        <v>1081</v>
      </c>
    </row>
    <row r="3" spans="1:9">
      <c r="A3" s="3153"/>
      <c r="B3" s="3154" t="s">
        <v>1082</v>
      </c>
      <c r="C3" s="3154"/>
      <c r="D3" s="1304"/>
      <c r="E3" s="1302"/>
      <c r="F3" s="1305"/>
      <c r="G3" s="1305"/>
      <c r="H3" s="1306"/>
      <c r="I3" s="1307">
        <f>ROUND(D3*E3*F3*G3*H3/10000,0)</f>
        <v>0</v>
      </c>
    </row>
    <row r="4" spans="1:9">
      <c r="A4" s="3153"/>
      <c r="B4" s="3154" t="s">
        <v>1083</v>
      </c>
      <c r="C4" s="3154"/>
      <c r="D4" s="1304"/>
      <c r="E4" s="1302"/>
      <c r="F4" s="1305"/>
      <c r="G4" s="1305"/>
      <c r="H4" s="1306"/>
      <c r="I4" s="1307">
        <f t="shared" ref="I4:I9" si="0">ROUND(D4*E4*F4*G4*H4/10000,0)</f>
        <v>0</v>
      </c>
    </row>
    <row r="5" spans="1:9">
      <c r="A5" s="3153"/>
      <c r="B5" s="3154" t="s">
        <v>1084</v>
      </c>
      <c r="C5" s="3154"/>
      <c r="D5" s="1304"/>
      <c r="E5" s="1302"/>
      <c r="F5" s="1305"/>
      <c r="G5" s="1305"/>
      <c r="H5" s="1306"/>
      <c r="I5" s="1307">
        <f t="shared" si="0"/>
        <v>0</v>
      </c>
    </row>
    <row r="6" spans="1:9">
      <c r="A6" s="3153"/>
      <c r="B6" s="3154" t="s">
        <v>1085</v>
      </c>
      <c r="C6" s="3154"/>
      <c r="D6" s="1304"/>
      <c r="E6" s="1302"/>
      <c r="F6" s="1305"/>
      <c r="G6" s="1305"/>
      <c r="H6" s="1306"/>
      <c r="I6" s="1307">
        <f t="shared" si="0"/>
        <v>0</v>
      </c>
    </row>
    <row r="7" spans="1:9">
      <c r="A7" s="3153"/>
      <c r="B7" s="3154" t="s">
        <v>1086</v>
      </c>
      <c r="C7" s="3154"/>
      <c r="D7" s="1304"/>
      <c r="E7" s="1302"/>
      <c r="F7" s="1305"/>
      <c r="G7" s="1305"/>
      <c r="H7" s="1306"/>
      <c r="I7" s="1307">
        <f t="shared" si="0"/>
        <v>0</v>
      </c>
    </row>
    <row r="8" spans="1:9">
      <c r="A8" s="3153"/>
      <c r="B8" s="3154" t="s">
        <v>1087</v>
      </c>
      <c r="C8" s="3154"/>
      <c r="D8" s="1304"/>
      <c r="E8" s="1302"/>
      <c r="F8" s="1305"/>
      <c r="G8" s="1305"/>
      <c r="H8" s="1306"/>
      <c r="I8" s="1307">
        <f t="shared" si="0"/>
        <v>0</v>
      </c>
    </row>
    <row r="9" spans="1:9">
      <c r="A9" s="3153"/>
      <c r="B9" s="3154" t="s">
        <v>1088</v>
      </c>
      <c r="C9" s="3154"/>
      <c r="D9" s="1304"/>
      <c r="E9" s="1302"/>
      <c r="F9" s="1305"/>
      <c r="G9" s="1305"/>
      <c r="H9" s="1306"/>
      <c r="I9" s="1307">
        <f t="shared" si="0"/>
        <v>0</v>
      </c>
    </row>
    <row r="10" spans="1:9">
      <c r="A10" s="3153"/>
      <c r="B10" s="3155" t="s">
        <v>1089</v>
      </c>
      <c r="C10" s="3155"/>
      <c r="D10" s="1308"/>
      <c r="E10" s="1308" t="e">
        <f>ROUND(D1*10000/D10/H9,0)</f>
        <v>#DIV/0!</v>
      </c>
      <c r="F10" s="1309"/>
      <c r="G10" s="1309"/>
      <c r="H10" s="1310"/>
      <c r="I10" s="1311">
        <f>SUM(I3:I9)</f>
        <v>0</v>
      </c>
    </row>
    <row r="11" spans="1:9" ht="14.25">
      <c r="A11" s="3153" t="s">
        <v>1090</v>
      </c>
      <c r="B11" s="3154" t="s">
        <v>1091</v>
      </c>
      <c r="C11" s="3154"/>
      <c r="D11" s="1304" t="s">
        <v>1092</v>
      </c>
      <c r="E11" s="1304" t="s">
        <v>1093</v>
      </c>
      <c r="F11" s="1305" t="s">
        <v>1094</v>
      </c>
      <c r="G11" s="1305" t="s">
        <v>1080</v>
      </c>
      <c r="H11" s="1312" t="s">
        <v>1095</v>
      </c>
      <c r="I11" s="1303" t="s">
        <v>1081</v>
      </c>
    </row>
    <row r="12" spans="1:9">
      <c r="A12" s="3153"/>
      <c r="B12" s="3154" t="s">
        <v>1096</v>
      </c>
      <c r="C12" s="3154"/>
      <c r="D12" s="1304"/>
      <c r="E12" s="1304"/>
      <c r="F12" s="1305"/>
      <c r="G12" s="1306"/>
      <c r="H12" s="1313"/>
      <c r="I12" s="1303">
        <f>ROUND(D12*E12*F12*G12/10000,0)</f>
        <v>0</v>
      </c>
    </row>
    <row r="13" spans="1:9">
      <c r="A13" s="3153"/>
      <c r="B13" s="3154" t="s">
        <v>1097</v>
      </c>
      <c r="C13" s="3154"/>
      <c r="D13" s="1304"/>
      <c r="E13" s="1304"/>
      <c r="F13" s="1305"/>
      <c r="G13" s="1306"/>
      <c r="H13" s="1313"/>
      <c r="I13" s="1303">
        <f>ROUND(D13*E13*F13*G13/10000,0)</f>
        <v>0</v>
      </c>
    </row>
    <row r="14" spans="1:9">
      <c r="A14" s="3153"/>
      <c r="B14" s="3154" t="s">
        <v>1098</v>
      </c>
      <c r="C14" s="3154"/>
      <c r="D14" s="1304"/>
      <c r="E14" s="1304"/>
      <c r="F14" s="1305"/>
      <c r="G14" s="1306"/>
      <c r="H14" s="1313"/>
      <c r="I14" s="1303">
        <f>ROUND(D14*E14*F14*G14/10000,0)</f>
        <v>0</v>
      </c>
    </row>
    <row r="15" spans="1:9">
      <c r="A15" s="3153"/>
      <c r="B15" s="3155" t="s">
        <v>1089</v>
      </c>
      <c r="C15" s="3155"/>
      <c r="D15" s="1308"/>
      <c r="E15" s="1308">
        <f>SUM(E12:E14)</f>
        <v>0</v>
      </c>
      <c r="F15" s="1309"/>
      <c r="G15" s="1306"/>
      <c r="H15" s="1313"/>
      <c r="I15" s="1314">
        <f>SUM(I12:I14)</f>
        <v>0</v>
      </c>
    </row>
    <row r="16" spans="1:9" ht="24">
      <c r="A16" s="3153" t="s">
        <v>1099</v>
      </c>
      <c r="B16" s="3154" t="s">
        <v>1100</v>
      </c>
      <c r="C16" s="3154"/>
      <c r="D16" s="1304" t="s">
        <v>1076</v>
      </c>
      <c r="E16" s="1315" t="s">
        <v>1101</v>
      </c>
      <c r="F16" s="1305" t="s">
        <v>1102</v>
      </c>
      <c r="G16" s="1306" t="s">
        <v>1080</v>
      </c>
      <c r="H16" s="1312" t="s">
        <v>1095</v>
      </c>
      <c r="I16" s="1303" t="s">
        <v>1081</v>
      </c>
    </row>
    <row r="17" spans="1:9" ht="14.25">
      <c r="A17" s="3153"/>
      <c r="B17" s="3154" t="s">
        <v>1103</v>
      </c>
      <c r="C17" s="3154"/>
      <c r="D17" s="1304"/>
      <c r="E17" s="1304"/>
      <c r="F17" s="1305"/>
      <c r="G17" s="1306"/>
      <c r="H17" s="1316"/>
      <c r="I17" s="1317">
        <f>ROUND(D17*E17*F17*G17/10000,0)</f>
        <v>0</v>
      </c>
    </row>
    <row r="18" spans="1:9" ht="14.25">
      <c r="A18" s="3153"/>
      <c r="B18" s="3154" t="s">
        <v>1104</v>
      </c>
      <c r="C18" s="3154"/>
      <c r="D18" s="1304"/>
      <c r="E18" s="1304"/>
      <c r="F18" s="1305"/>
      <c r="G18" s="1306"/>
      <c r="H18" s="1316"/>
      <c r="I18" s="1317">
        <f>ROUND(D18*E18*F18*G18/10000,0)</f>
        <v>0</v>
      </c>
    </row>
    <row r="19" spans="1:9" ht="14.25">
      <c r="A19" s="3153"/>
      <c r="B19" s="3154" t="s">
        <v>1105</v>
      </c>
      <c r="C19" s="3154"/>
      <c r="D19" s="1304"/>
      <c r="E19" s="1304"/>
      <c r="F19" s="1305"/>
      <c r="G19" s="1306"/>
      <c r="H19" s="1316"/>
      <c r="I19" s="1317">
        <f>ROUND(D19*E19*F19*G19/10000,0)</f>
        <v>0</v>
      </c>
    </row>
    <row r="20" spans="1:9">
      <c r="A20" s="3153"/>
      <c r="B20" s="3155" t="s">
        <v>1089</v>
      </c>
      <c r="C20" s="3155"/>
      <c r="D20" s="1308">
        <f>SUM(D17:D19)</f>
        <v>0</v>
      </c>
      <c r="E20" s="1308"/>
      <c r="F20" s="1309"/>
      <c r="G20" s="1306"/>
      <c r="H20" s="1313"/>
      <c r="I20" s="1314">
        <f>SUM(I17:I19)</f>
        <v>0</v>
      </c>
    </row>
    <row r="21" spans="1:9">
      <c r="A21" s="3153" t="s">
        <v>1106</v>
      </c>
      <c r="B21" s="3156"/>
      <c r="C21" s="3156"/>
      <c r="D21" s="3156"/>
      <c r="E21" s="3156"/>
      <c r="F21" s="3156"/>
      <c r="G21" s="3156"/>
      <c r="H21" s="1765">
        <v>0.1</v>
      </c>
      <c r="I21" s="1311">
        <f>ROUND(I10*H21,0)</f>
        <v>0</v>
      </c>
    </row>
    <row r="22" spans="1:9" ht="14.25">
      <c r="A22" s="3157" t="s">
        <v>1107</v>
      </c>
      <c r="B22" s="3158"/>
      <c r="C22" s="3159"/>
      <c r="D22" s="1318" t="s">
        <v>1108</v>
      </c>
      <c r="E22" s="1318" t="s">
        <v>1109</v>
      </c>
      <c r="F22" s="1319" t="s">
        <v>1110</v>
      </c>
      <c r="G22" s="1319" t="s">
        <v>1111</v>
      </c>
      <c r="H22" s="1312" t="s">
        <v>1112</v>
      </c>
      <c r="I22" s="1303" t="s">
        <v>1113</v>
      </c>
    </row>
    <row r="23" spans="1:9" ht="14.25" thickBot="1">
      <c r="A23" s="3160"/>
      <c r="B23" s="3161"/>
      <c r="C23" s="3162"/>
      <c r="D23" s="1320"/>
      <c r="E23" s="1320"/>
      <c r="F23" s="1320"/>
      <c r="G23" s="1321"/>
      <c r="H23" s="1322"/>
      <c r="I23" s="1323">
        <f>ROUND(E23*D23*F23*(1-G23)/10000,0)</f>
        <v>0</v>
      </c>
    </row>
    <row r="26" spans="1:9">
      <c r="A26" s="1324" t="s">
        <v>1114</v>
      </c>
      <c r="B26" s="1324"/>
      <c r="C26" s="1324"/>
      <c r="D26" s="1324"/>
      <c r="E26" s="3150">
        <f>C27-C30-C31-C32</f>
        <v>0</v>
      </c>
      <c r="F26" s="3150"/>
      <c r="G26" s="3150"/>
      <c r="H26" s="1737" t="s">
        <v>1336</v>
      </c>
    </row>
    <row r="27" spans="1:9">
      <c r="A27" s="1325">
        <v>1</v>
      </c>
      <c r="B27" s="1326" t="s">
        <v>1115</v>
      </c>
      <c r="C27" s="1326">
        <f>C28+C29</f>
        <v>0</v>
      </c>
      <c r="D27" s="1326"/>
      <c r="E27" s="3151"/>
      <c r="F27" s="3151"/>
      <c r="G27" s="3151"/>
    </row>
    <row r="28" spans="1:9">
      <c r="A28" s="1327" t="s">
        <v>1116</v>
      </c>
      <c r="B28" s="1326" t="s">
        <v>1117</v>
      </c>
      <c r="C28" s="1326"/>
      <c r="D28" s="1326"/>
      <c r="E28" s="3151"/>
      <c r="F28" s="3151"/>
      <c r="G28" s="3151"/>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52"/>
      <c r="F32" s="3152"/>
      <c r="G32" s="3152"/>
    </row>
    <row r="33" spans="1:7" hidden="1">
      <c r="A33" s="3147" t="s">
        <v>1126</v>
      </c>
      <c r="B33" s="3148"/>
      <c r="C33" s="3148"/>
      <c r="D33" s="3149"/>
      <c r="E33" s="3150"/>
      <c r="F33" s="3150"/>
      <c r="G33" s="3150"/>
    </row>
    <row r="34" spans="1:7" hidden="1">
      <c r="A34" s="1329">
        <v>1</v>
      </c>
      <c r="B34" s="1326" t="s">
        <v>1127</v>
      </c>
      <c r="C34" s="1326"/>
      <c r="D34" s="1326"/>
      <c r="E34" s="3151"/>
      <c r="F34" s="3151"/>
      <c r="G34" s="3151"/>
    </row>
    <row r="35" spans="1:7" hidden="1">
      <c r="A35" s="1329">
        <v>2</v>
      </c>
      <c r="B35" s="1326" t="s">
        <v>1128</v>
      </c>
      <c r="C35" s="1326"/>
      <c r="D35" s="1326"/>
      <c r="E35" s="3151"/>
      <c r="F35" s="3151"/>
      <c r="G35" s="3151"/>
    </row>
    <row r="36" spans="1:7" hidden="1">
      <c r="A36" s="1329">
        <v>3</v>
      </c>
      <c r="B36" s="1326" t="s">
        <v>1129</v>
      </c>
      <c r="C36" s="1326"/>
      <c r="D36" s="1326"/>
      <c r="E36" s="3151"/>
      <c r="F36" s="3151"/>
      <c r="G36" s="3151"/>
    </row>
    <row r="37" spans="1:7" hidden="1">
      <c r="A37" s="1329">
        <v>4</v>
      </c>
      <c r="B37" s="1326" t="s">
        <v>1130</v>
      </c>
      <c r="C37" s="1326"/>
      <c r="D37" s="1326"/>
      <c r="E37" s="3151"/>
      <c r="F37" s="3151"/>
      <c r="G37" s="3151"/>
    </row>
    <row r="38" spans="1:7" hidden="1">
      <c r="A38" s="3147" t="s">
        <v>1131</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4" t="s">
        <v>2523</v>
      </c>
      <c r="C1" s="1634" t="s">
        <v>2524</v>
      </c>
      <c r="D1" s="1621"/>
      <c r="E1" s="2585"/>
      <c r="F1" s="2586" t="s">
        <v>2525</v>
      </c>
      <c r="G1" s="1631" t="s">
        <v>2526</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1390</v>
      </c>
      <c r="B2" s="1419" t="e">
        <f ca="1">IF(C2="——",ROUND(C49*D3/10000,0),ROUND(C49*D3/10000,0)-D2)</f>
        <v>#DIV/0!</v>
      </c>
      <c r="C2" s="2588"/>
      <c r="D2" s="1366" t="e">
        <f ca="1">SUMIF(INDIRECT("'"&amp;F2&amp;"'"&amp;"!A:A"),"承租人权益价值",INDIRECT("'"&amp;F2&amp;"'"&amp;"!c:c"))</f>
        <v>#REF!</v>
      </c>
      <c r="E2" s="2589" t="s">
        <v>2527</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1391</v>
      </c>
      <c r="B3" s="398" t="e">
        <f ca="1">IF(C2="——",C49,ROUND(B2*10000/D3,0))</f>
        <v>#DIV/0!</v>
      </c>
      <c r="C3" s="399" t="s">
        <v>2528</v>
      </c>
      <c r="D3" s="398">
        <f>IF(D1="",'数据-汇总表'!E3,SUMIF('数据-汇总表'!$C19:$C33,D1,'数据-汇总表'!$E19:$E33))</f>
        <v>49991.200000000004</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2529</v>
      </c>
      <c r="B4" s="401"/>
      <c r="C4" s="3186" t="s">
        <v>2530</v>
      </c>
      <c r="D4" s="3187"/>
      <c r="E4" s="3188" t="s">
        <v>2531</v>
      </c>
      <c r="F4" s="3189"/>
      <c r="G4" s="3186" t="s">
        <v>2532</v>
      </c>
      <c r="H4" s="3187"/>
      <c r="I4" s="3186" t="s">
        <v>2533</v>
      </c>
      <c r="J4" s="3187"/>
      <c r="K4" s="2598" t="s">
        <v>2534</v>
      </c>
      <c r="L4" s="1131"/>
      <c r="M4" s="1132"/>
      <c r="N4" s="1132"/>
      <c r="O4" s="1132"/>
      <c r="P4" s="3190" t="s">
        <v>2535</v>
      </c>
      <c r="Q4" s="3191"/>
      <c r="R4" s="3196" t="s">
        <v>2531</v>
      </c>
      <c r="S4" s="3197"/>
      <c r="T4" s="3196" t="s">
        <v>2532</v>
      </c>
      <c r="U4" s="3197"/>
      <c r="V4" s="3202" t="s">
        <v>2533</v>
      </c>
      <c r="W4" s="3202"/>
      <c r="X4" s="1813"/>
      <c r="Y4" s="3196" t="s">
        <v>2535</v>
      </c>
      <c r="Z4" s="3197"/>
      <c r="AA4" s="3183" t="s">
        <v>2531</v>
      </c>
      <c r="AB4" s="3183" t="s">
        <v>2532</v>
      </c>
      <c r="AC4" s="3183" t="s">
        <v>2533</v>
      </c>
    </row>
    <row r="5" spans="1:29" ht="15">
      <c r="A5" s="403"/>
      <c r="B5" s="404"/>
      <c r="C5" s="3205" t="s">
        <v>2536</v>
      </c>
      <c r="D5" s="3206"/>
      <c r="E5" s="3212" t="s">
        <v>2537</v>
      </c>
      <c r="F5" s="3213"/>
      <c r="G5" s="3205" t="s">
        <v>2538</v>
      </c>
      <c r="H5" s="3206"/>
      <c r="I5" s="3205" t="s">
        <v>2539</v>
      </c>
      <c r="J5" s="3206"/>
      <c r="K5" s="2599"/>
      <c r="L5" s="1131"/>
      <c r="M5" s="1132"/>
      <c r="N5" s="1132"/>
      <c r="O5" s="1132"/>
      <c r="P5" s="3192"/>
      <c r="Q5" s="3193"/>
      <c r="R5" s="3198"/>
      <c r="S5" s="3199"/>
      <c r="T5" s="3198"/>
      <c r="U5" s="3199"/>
      <c r="V5" s="3202"/>
      <c r="W5" s="3202"/>
      <c r="X5" s="1813"/>
      <c r="Y5" s="3198"/>
      <c r="Z5" s="3199"/>
      <c r="AA5" s="3184"/>
      <c r="AB5" s="3184"/>
      <c r="AC5" s="3184"/>
    </row>
    <row r="6" spans="1:29" ht="15.75" thickBot="1">
      <c r="A6" s="405"/>
      <c r="B6" s="406"/>
      <c r="C6" s="3203" t="s">
        <v>2540</v>
      </c>
      <c r="D6" s="3204"/>
      <c r="E6" s="3210" t="s">
        <v>2540</v>
      </c>
      <c r="F6" s="3211"/>
      <c r="G6" s="3203" t="s">
        <v>2540</v>
      </c>
      <c r="H6" s="3204"/>
      <c r="I6" s="3203" t="s">
        <v>2540</v>
      </c>
      <c r="J6" s="3204"/>
      <c r="K6" s="2599" t="s">
        <v>2541</v>
      </c>
      <c r="L6" s="1131"/>
      <c r="M6" s="1132"/>
      <c r="N6" s="1132"/>
      <c r="O6" s="1132"/>
      <c r="P6" s="3194"/>
      <c r="Q6" s="3195"/>
      <c r="R6" s="3198"/>
      <c r="S6" s="3199"/>
      <c r="T6" s="3200"/>
      <c r="U6" s="3201"/>
      <c r="V6" s="3202"/>
      <c r="W6" s="3202"/>
      <c r="X6" s="1813"/>
      <c r="Y6" s="3200"/>
      <c r="Z6" s="3201"/>
      <c r="AA6" s="3185"/>
      <c r="AB6" s="3185"/>
      <c r="AC6" s="3185"/>
    </row>
    <row r="7" spans="1:29" s="116" customFormat="1" ht="15.7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207" t="s">
        <v>2543</v>
      </c>
      <c r="Q7" s="3209"/>
      <c r="R7" s="769" t="s">
        <v>23</v>
      </c>
      <c r="S7" s="770">
        <f t="shared" ref="S7:S15" si="0">F7</f>
        <v>0</v>
      </c>
      <c r="T7" s="769" t="s">
        <v>23</v>
      </c>
      <c r="U7" s="770">
        <f t="shared" ref="U7:U15" si="1">H7</f>
        <v>0</v>
      </c>
      <c r="V7" s="769" t="s">
        <v>23</v>
      </c>
      <c r="W7" s="770">
        <f t="shared" ref="W7:W15" si="2">J7</f>
        <v>0</v>
      </c>
      <c r="X7" s="771"/>
      <c r="Y7" s="3207" t="s">
        <v>2543</v>
      </c>
      <c r="Z7" s="3208"/>
      <c r="AA7" s="772" t="e">
        <f>D7/F7</f>
        <v>#DIV/0!</v>
      </c>
      <c r="AB7" s="772" t="e">
        <f>D7/H7</f>
        <v>#DIV/0!</v>
      </c>
      <c r="AC7" s="772" t="e">
        <f>D7/J7</f>
        <v>#DIV/0!</v>
      </c>
    </row>
    <row r="8" spans="1:29" s="116" customFormat="1" ht="15.75" thickBot="1">
      <c r="A8" s="407" t="s">
        <v>2544</v>
      </c>
      <c r="B8" s="408"/>
      <c r="C8" s="413" t="s">
        <v>2545</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207" t="s">
        <v>2546</v>
      </c>
      <c r="Q8" s="3208"/>
      <c r="R8" s="769" t="s">
        <v>23</v>
      </c>
      <c r="S8" s="770">
        <f t="shared" si="0"/>
        <v>0</v>
      </c>
      <c r="T8" s="769" t="s">
        <v>23</v>
      </c>
      <c r="U8" s="770">
        <f t="shared" si="1"/>
        <v>0</v>
      </c>
      <c r="V8" s="769" t="s">
        <v>23</v>
      </c>
      <c r="W8" s="770">
        <f t="shared" si="2"/>
        <v>0</v>
      </c>
      <c r="X8" s="771"/>
      <c r="Y8" s="3207" t="s">
        <v>2546</v>
      </c>
      <c r="Z8" s="3208"/>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182" t="s">
        <v>2549</v>
      </c>
      <c r="Q9" s="1795"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82"/>
      <c r="Q10" s="1795"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82"/>
      <c r="Q11" s="1795" t="str">
        <f t="shared" si="6"/>
        <v>容积率</v>
      </c>
      <c r="R11" s="769" t="s">
        <v>21</v>
      </c>
      <c r="S11" s="770" t="e">
        <f t="shared" si="0"/>
        <v>#N/A</v>
      </c>
      <c r="T11" s="769" t="s">
        <v>21</v>
      </c>
      <c r="U11" s="770" t="e">
        <f t="shared" si="1"/>
        <v>#N/A</v>
      </c>
      <c r="V11" s="769" t="s">
        <v>21</v>
      </c>
      <c r="W11" s="770" t="e">
        <f t="shared" si="2"/>
        <v>#N/A</v>
      </c>
      <c r="X11" s="771"/>
      <c r="Y11" s="2997"/>
      <c r="Z11" s="54"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182"/>
      <c r="Q12" s="1795">
        <f t="shared" si="6"/>
        <v>111</v>
      </c>
      <c r="R12" s="769" t="s">
        <v>21</v>
      </c>
      <c r="S12" s="770">
        <f t="shared" si="0"/>
        <v>100</v>
      </c>
      <c r="T12" s="769" t="s">
        <v>21</v>
      </c>
      <c r="U12" s="770">
        <f t="shared" si="1"/>
        <v>100</v>
      </c>
      <c r="V12" s="769" t="s">
        <v>21</v>
      </c>
      <c r="W12" s="770">
        <f t="shared" si="2"/>
        <v>100</v>
      </c>
      <c r="X12" s="771"/>
      <c r="Y12" s="2997"/>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182"/>
      <c r="Q13" s="1795">
        <f t="shared" si="6"/>
        <v>111</v>
      </c>
      <c r="R13" s="769" t="s">
        <v>21</v>
      </c>
      <c r="S13" s="770">
        <f t="shared" si="0"/>
        <v>100</v>
      </c>
      <c r="T13" s="769" t="s">
        <v>21</v>
      </c>
      <c r="U13" s="770">
        <f t="shared" si="1"/>
        <v>100</v>
      </c>
      <c r="V13" s="769" t="s">
        <v>21</v>
      </c>
      <c r="W13" s="770">
        <f t="shared" si="2"/>
        <v>100</v>
      </c>
      <c r="X13" s="771"/>
      <c r="Y13" s="2997"/>
      <c r="Z13" s="54">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182"/>
      <c r="Q14" s="1795">
        <f t="shared" si="6"/>
        <v>111</v>
      </c>
      <c r="R14" s="769" t="s">
        <v>21</v>
      </c>
      <c r="S14" s="770">
        <f t="shared" si="0"/>
        <v>100</v>
      </c>
      <c r="T14" s="769" t="s">
        <v>21</v>
      </c>
      <c r="U14" s="770">
        <f t="shared" si="1"/>
        <v>100</v>
      </c>
      <c r="V14" s="769" t="s">
        <v>21</v>
      </c>
      <c r="W14" s="770">
        <f t="shared" si="2"/>
        <v>100</v>
      </c>
      <c r="X14" s="771"/>
      <c r="Y14" s="2997"/>
      <c r="Z14" s="54">
        <f t="shared" si="7"/>
        <v>111</v>
      </c>
      <c r="AA14" s="772">
        <f t="shared" si="3"/>
        <v>1</v>
      </c>
      <c r="AB14" s="772">
        <f t="shared" si="4"/>
        <v>1</v>
      </c>
      <c r="AC14" s="772">
        <f t="shared" si="5"/>
        <v>1</v>
      </c>
    </row>
    <row r="15" spans="1:29" ht="99.75">
      <c r="A15" s="439" t="s">
        <v>2553</v>
      </c>
      <c r="B15" s="68" t="s">
        <v>2078</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80" t="s">
        <v>2554</v>
      </c>
      <c r="Q15" s="1810" t="str">
        <f t="shared" si="6"/>
        <v>居住社区成熟度</v>
      </c>
      <c r="R15" s="773" t="s">
        <v>21</v>
      </c>
      <c r="S15" s="774">
        <f t="shared" si="0"/>
        <v>100</v>
      </c>
      <c r="T15" s="773" t="s">
        <v>21</v>
      </c>
      <c r="U15" s="774">
        <f t="shared" si="1"/>
        <v>100</v>
      </c>
      <c r="V15" s="773" t="s">
        <v>21</v>
      </c>
      <c r="W15" s="774">
        <f t="shared" si="2"/>
        <v>100</v>
      </c>
      <c r="X15" s="1813"/>
      <c r="Y15" s="3173" t="s">
        <v>2554</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1"/>
      <c r="M16" s="1132"/>
      <c r="N16" s="1132"/>
      <c r="O16" s="1132"/>
      <c r="P16" s="3181"/>
      <c r="Q16" s="1810"/>
      <c r="R16" s="773"/>
      <c r="S16" s="774"/>
      <c r="T16" s="773"/>
      <c r="U16" s="774"/>
      <c r="V16" s="773"/>
      <c r="W16" s="774"/>
      <c r="X16" s="1813"/>
      <c r="Y16" s="3174"/>
      <c r="Z16" s="1814"/>
      <c r="AA16" s="1811">
        <v>1</v>
      </c>
      <c r="AB16" s="1811">
        <v>1</v>
      </c>
      <c r="AC16" s="1811">
        <v>1</v>
      </c>
    </row>
    <row r="17" spans="1:29" ht="85.5">
      <c r="A17" s="427"/>
      <c r="B17" s="450" t="s">
        <v>2090</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81"/>
      <c r="Q17" s="1810" t="str">
        <f>B17</f>
        <v>交通便捷度</v>
      </c>
      <c r="R17" s="773" t="s">
        <v>21</v>
      </c>
      <c r="S17" s="774">
        <f>F17</f>
        <v>100</v>
      </c>
      <c r="T17" s="773" t="s">
        <v>21</v>
      </c>
      <c r="U17" s="774">
        <f>H17</f>
        <v>100</v>
      </c>
      <c r="V17" s="773" t="s">
        <v>21</v>
      </c>
      <c r="W17" s="774">
        <f>J17</f>
        <v>100</v>
      </c>
      <c r="X17" s="1813"/>
      <c r="Y17" s="3174"/>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1"/>
      <c r="M18" s="1132"/>
      <c r="N18" s="1132"/>
      <c r="O18" s="1132"/>
      <c r="P18" s="3181"/>
      <c r="Q18" s="1810"/>
      <c r="R18" s="773"/>
      <c r="S18" s="774"/>
      <c r="T18" s="773"/>
      <c r="U18" s="774"/>
      <c r="V18" s="773"/>
      <c r="W18" s="774"/>
      <c r="X18" s="1813"/>
      <c r="Y18" s="3174"/>
      <c r="Z18" s="1814"/>
      <c r="AA18" s="1811">
        <v>1</v>
      </c>
      <c r="AB18" s="1811">
        <v>1</v>
      </c>
      <c r="AC18" s="1811">
        <v>1</v>
      </c>
    </row>
    <row r="19" spans="1:29" ht="42.75">
      <c r="A19" s="427"/>
      <c r="B19" s="450" t="s">
        <v>2088</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81"/>
      <c r="Q19" s="1810" t="str">
        <f>B19</f>
        <v>公共配套设施</v>
      </c>
      <c r="R19" s="773" t="s">
        <v>21</v>
      </c>
      <c r="S19" s="774">
        <f>F19</f>
        <v>100</v>
      </c>
      <c r="T19" s="773" t="s">
        <v>21</v>
      </c>
      <c r="U19" s="774">
        <f>H19</f>
        <v>100</v>
      </c>
      <c r="V19" s="773" t="s">
        <v>21</v>
      </c>
      <c r="W19" s="774">
        <f>J19</f>
        <v>100</v>
      </c>
      <c r="X19" s="1813"/>
      <c r="Y19" s="3174"/>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1"/>
      <c r="M20" s="1132"/>
      <c r="N20" s="1132"/>
      <c r="O20" s="1132"/>
      <c r="P20" s="3181"/>
      <c r="Q20" s="1810"/>
      <c r="R20" s="773"/>
      <c r="S20" s="774"/>
      <c r="T20" s="773"/>
      <c r="U20" s="774"/>
      <c r="V20" s="773"/>
      <c r="W20" s="774"/>
      <c r="X20" s="1813"/>
      <c r="Y20" s="3174"/>
      <c r="Z20" s="1814"/>
      <c r="AA20" s="1811">
        <v>1</v>
      </c>
      <c r="AB20" s="1811">
        <v>1</v>
      </c>
      <c r="AC20" s="1811">
        <v>1</v>
      </c>
    </row>
    <row r="21" spans="1:29" ht="28.5">
      <c r="A21" s="427"/>
      <c r="B21" s="1385" t="s">
        <v>2091</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81"/>
      <c r="Q21" s="1810" t="str">
        <f>B21</f>
        <v>基础设施水平</v>
      </c>
      <c r="R21" s="773" t="s">
        <v>17</v>
      </c>
      <c r="S21" s="774">
        <f>F21</f>
        <v>100</v>
      </c>
      <c r="T21" s="773" t="s">
        <v>17</v>
      </c>
      <c r="U21" s="774">
        <f>H21</f>
        <v>100</v>
      </c>
      <c r="V21" s="773" t="s">
        <v>17</v>
      </c>
      <c r="W21" s="774">
        <f>J21</f>
        <v>100</v>
      </c>
      <c r="X21" s="1813"/>
      <c r="Y21" s="3174"/>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7"/>
      <c r="G22" s="2613"/>
      <c r="H22" s="447"/>
      <c r="I22" s="446"/>
      <c r="J22" s="447"/>
      <c r="K22" s="2614"/>
      <c r="L22" s="1141"/>
      <c r="M22" s="1132"/>
      <c r="N22" s="1132"/>
      <c r="O22" s="1132"/>
      <c r="P22" s="3181"/>
      <c r="Q22" s="1810"/>
      <c r="R22" s="773"/>
      <c r="S22" s="774"/>
      <c r="T22" s="773"/>
      <c r="U22" s="774"/>
      <c r="V22" s="773"/>
      <c r="W22" s="774"/>
      <c r="X22" s="1813"/>
      <c r="Y22" s="3174"/>
      <c r="Z22" s="1814"/>
      <c r="AA22" s="1811">
        <v>1</v>
      </c>
      <c r="AB22" s="1811">
        <v>1</v>
      </c>
      <c r="AC22" s="1811">
        <v>1</v>
      </c>
    </row>
    <row r="23" spans="1:29" ht="57">
      <c r="A23" s="427"/>
      <c r="B23" s="450" t="s">
        <v>2095</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81"/>
      <c r="Q23" s="1810" t="str">
        <f>B23</f>
        <v>自然及人文环境</v>
      </c>
      <c r="R23" s="773" t="s">
        <v>21</v>
      </c>
      <c r="S23" s="774">
        <f>F23</f>
        <v>100</v>
      </c>
      <c r="T23" s="773" t="s">
        <v>21</v>
      </c>
      <c r="U23" s="774">
        <f>H23</f>
        <v>100</v>
      </c>
      <c r="V23" s="773" t="s">
        <v>21</v>
      </c>
      <c r="W23" s="774">
        <f>J23</f>
        <v>100</v>
      </c>
      <c r="X23" s="1813"/>
      <c r="Y23" s="3174"/>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1"/>
      <c r="M24" s="1132"/>
      <c r="N24" s="1132"/>
      <c r="O24" s="1132"/>
      <c r="P24" s="3181"/>
      <c r="Q24" s="1810"/>
      <c r="R24" s="773"/>
      <c r="S24" s="774"/>
      <c r="T24" s="773"/>
      <c r="U24" s="774"/>
      <c r="V24" s="773"/>
      <c r="W24" s="774"/>
      <c r="X24" s="1813"/>
      <c r="Y24" s="3174"/>
      <c r="Z24" s="1814"/>
      <c r="AA24" s="1811">
        <v>1</v>
      </c>
      <c r="AB24" s="1811">
        <v>1</v>
      </c>
      <c r="AC24" s="1811">
        <v>1</v>
      </c>
    </row>
    <row r="25" spans="1:29" ht="15">
      <c r="A25" s="427"/>
      <c r="B25" s="421" t="s">
        <v>2555</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181"/>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174"/>
      <c r="Z25" s="1814" t="str">
        <f>Q25</f>
        <v>楼层-1</v>
      </c>
      <c r="AA25" s="1811">
        <f t="shared" ref="AA25:AA46" si="15">D25/F25</f>
        <v>1</v>
      </c>
      <c r="AB25" s="1811">
        <f t="shared" ref="AB25:AB46" si="16">D25/H25</f>
        <v>1</v>
      </c>
      <c r="AC25" s="1811">
        <f t="shared" ref="AC25:AC46" si="17">D25/J25</f>
        <v>1</v>
      </c>
    </row>
    <row r="26" spans="1:29" ht="15">
      <c r="A26" s="427"/>
      <c r="B26" s="421" t="s">
        <v>2556</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181"/>
      <c r="Q26" s="1810" t="str">
        <f t="shared" si="11"/>
        <v>朝向</v>
      </c>
      <c r="R26" s="773" t="s">
        <v>21</v>
      </c>
      <c r="S26" s="774">
        <f t="shared" si="12"/>
        <v>100</v>
      </c>
      <c r="T26" s="773" t="s">
        <v>21</v>
      </c>
      <c r="U26" s="774">
        <f t="shared" si="13"/>
        <v>100</v>
      </c>
      <c r="V26" s="773" t="s">
        <v>21</v>
      </c>
      <c r="W26" s="774">
        <f t="shared" si="14"/>
        <v>100</v>
      </c>
      <c r="X26" s="1813"/>
      <c r="Y26" s="3174"/>
      <c r="Z26" s="1814" t="str">
        <f>Q26</f>
        <v>朝向</v>
      </c>
      <c r="AA26" s="1811">
        <f t="shared" si="15"/>
        <v>1</v>
      </c>
      <c r="AB26" s="1811">
        <f t="shared" si="16"/>
        <v>1</v>
      </c>
      <c r="AC26" s="1811">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181"/>
      <c r="Q27" s="1795">
        <f t="shared" si="11"/>
        <v>111</v>
      </c>
      <c r="R27" s="769" t="s">
        <v>21</v>
      </c>
      <c r="S27" s="770">
        <f t="shared" si="12"/>
        <v>100</v>
      </c>
      <c r="T27" s="769" t="s">
        <v>21</v>
      </c>
      <c r="U27" s="770">
        <f t="shared" si="13"/>
        <v>100</v>
      </c>
      <c r="V27" s="769" t="s">
        <v>21</v>
      </c>
      <c r="W27" s="770">
        <f t="shared" si="14"/>
        <v>100</v>
      </c>
      <c r="X27" s="771"/>
      <c r="Y27" s="3174"/>
      <c r="Z27" s="54">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181"/>
      <c r="Q28" s="1810">
        <f t="shared" si="11"/>
        <v>111</v>
      </c>
      <c r="R28" s="773" t="s">
        <v>21</v>
      </c>
      <c r="S28" s="774">
        <f t="shared" si="12"/>
        <v>100</v>
      </c>
      <c r="T28" s="773" t="s">
        <v>21</v>
      </c>
      <c r="U28" s="774">
        <f t="shared" si="13"/>
        <v>100</v>
      </c>
      <c r="V28" s="773" t="s">
        <v>21</v>
      </c>
      <c r="W28" s="774">
        <f t="shared" si="14"/>
        <v>100</v>
      </c>
      <c r="X28" s="1813"/>
      <c r="Y28" s="3174"/>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181"/>
      <c r="Q29" s="1810">
        <f t="shared" si="11"/>
        <v>111</v>
      </c>
      <c r="R29" s="773" t="s">
        <v>21</v>
      </c>
      <c r="S29" s="774">
        <f t="shared" si="12"/>
        <v>100</v>
      </c>
      <c r="T29" s="773" t="s">
        <v>21</v>
      </c>
      <c r="U29" s="774">
        <f t="shared" si="13"/>
        <v>100</v>
      </c>
      <c r="V29" s="773" t="s">
        <v>21</v>
      </c>
      <c r="W29" s="774">
        <f t="shared" si="14"/>
        <v>100</v>
      </c>
      <c r="X29" s="1813"/>
      <c r="Y29" s="3174"/>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181"/>
      <c r="Q30" s="1810">
        <f t="shared" si="11"/>
        <v>111</v>
      </c>
      <c r="R30" s="773" t="s">
        <v>21</v>
      </c>
      <c r="S30" s="774">
        <f t="shared" si="12"/>
        <v>100</v>
      </c>
      <c r="T30" s="773" t="s">
        <v>21</v>
      </c>
      <c r="U30" s="774">
        <f t="shared" si="13"/>
        <v>100</v>
      </c>
      <c r="V30" s="773" t="s">
        <v>21</v>
      </c>
      <c r="W30" s="774">
        <f t="shared" si="14"/>
        <v>100</v>
      </c>
      <c r="X30" s="1813"/>
      <c r="Y30" s="3174"/>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181"/>
      <c r="Q31" s="1810">
        <f t="shared" si="11"/>
        <v>111</v>
      </c>
      <c r="R31" s="773" t="s">
        <v>21</v>
      </c>
      <c r="S31" s="774">
        <f t="shared" si="12"/>
        <v>100</v>
      </c>
      <c r="T31" s="773" t="s">
        <v>21</v>
      </c>
      <c r="U31" s="774">
        <f t="shared" si="13"/>
        <v>100</v>
      </c>
      <c r="V31" s="773" t="s">
        <v>21</v>
      </c>
      <c r="W31" s="774">
        <f t="shared" si="14"/>
        <v>100</v>
      </c>
      <c r="X31" s="1813"/>
      <c r="Y31" s="3174"/>
      <c r="Z31" s="1814">
        <f t="shared" si="18"/>
        <v>111</v>
      </c>
      <c r="AA31" s="1811">
        <f t="shared" si="15"/>
        <v>1</v>
      </c>
      <c r="AB31" s="1811">
        <f t="shared" si="16"/>
        <v>1</v>
      </c>
      <c r="AC31" s="1811">
        <f t="shared" si="17"/>
        <v>1</v>
      </c>
    </row>
    <row r="32" spans="1:29" ht="15">
      <c r="A32" s="439" t="s">
        <v>2557</v>
      </c>
      <c r="B32" s="70" t="s">
        <v>2558</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175" t="s">
        <v>2559</v>
      </c>
      <c r="Q32" s="1810" t="str">
        <f t="shared" si="11"/>
        <v>建筑类型</v>
      </c>
      <c r="R32" s="773" t="s">
        <v>21</v>
      </c>
      <c r="S32" s="774">
        <f t="shared" si="12"/>
        <v>100</v>
      </c>
      <c r="T32" s="773" t="s">
        <v>21</v>
      </c>
      <c r="U32" s="774">
        <f t="shared" si="13"/>
        <v>100</v>
      </c>
      <c r="V32" s="773" t="s">
        <v>21</v>
      </c>
      <c r="W32" s="774">
        <f t="shared" si="14"/>
        <v>100</v>
      </c>
      <c r="X32" s="1813"/>
      <c r="Y32" s="3178" t="s">
        <v>2559</v>
      </c>
      <c r="Z32" s="1814" t="str">
        <f t="shared" si="18"/>
        <v>建筑类型</v>
      </c>
      <c r="AA32" s="1811">
        <f t="shared" si="15"/>
        <v>1</v>
      </c>
      <c r="AB32" s="1811">
        <f t="shared" si="16"/>
        <v>1</v>
      </c>
      <c r="AC32" s="1811">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176"/>
      <c r="Q33" s="775" t="str">
        <f t="shared" si="11"/>
        <v>项目建筑规模</v>
      </c>
      <c r="R33" s="776" t="s">
        <v>21</v>
      </c>
      <c r="S33" s="777" t="e">
        <f t="shared" si="12"/>
        <v>#N/A</v>
      </c>
      <c r="T33" s="776" t="s">
        <v>21</v>
      </c>
      <c r="U33" s="777" t="e">
        <f t="shared" si="13"/>
        <v>#N/A</v>
      </c>
      <c r="V33" s="776" t="s">
        <v>21</v>
      </c>
      <c r="W33" s="777" t="e">
        <f t="shared" si="14"/>
        <v>#N/A</v>
      </c>
      <c r="X33" s="778"/>
      <c r="Y33" s="3178"/>
      <c r="Z33" s="779" t="str">
        <f t="shared" si="18"/>
        <v>项目建筑规模</v>
      </c>
      <c r="AA33" s="1811" t="e">
        <f t="shared" si="15"/>
        <v>#N/A</v>
      </c>
      <c r="AB33" s="1811" t="e">
        <f t="shared" si="16"/>
        <v>#N/A</v>
      </c>
      <c r="AC33" s="1811" t="e">
        <f t="shared" si="17"/>
        <v>#N/A</v>
      </c>
    </row>
    <row r="34" spans="1:29" ht="15">
      <c r="A34" s="471"/>
      <c r="B34" s="421" t="s">
        <v>2561</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176"/>
      <c r="Q34" s="1810" t="str">
        <f t="shared" si="11"/>
        <v>建筑结构</v>
      </c>
      <c r="R34" s="773" t="s">
        <v>21</v>
      </c>
      <c r="S34" s="774">
        <f t="shared" si="12"/>
        <v>100</v>
      </c>
      <c r="T34" s="773" t="s">
        <v>21</v>
      </c>
      <c r="U34" s="774">
        <f t="shared" si="13"/>
        <v>100</v>
      </c>
      <c r="V34" s="773" t="s">
        <v>21</v>
      </c>
      <c r="W34" s="774">
        <f t="shared" si="14"/>
        <v>100</v>
      </c>
      <c r="X34" s="1813"/>
      <c r="Y34" s="3178"/>
      <c r="Z34" s="1814" t="str">
        <f t="shared" si="18"/>
        <v>建筑结构</v>
      </c>
      <c r="AA34" s="1811">
        <f t="shared" si="15"/>
        <v>1</v>
      </c>
      <c r="AB34" s="1811">
        <f t="shared" si="16"/>
        <v>1</v>
      </c>
      <c r="AC34" s="1811">
        <f t="shared" si="17"/>
        <v>1</v>
      </c>
    </row>
    <row r="35" spans="1:29" ht="15">
      <c r="A35" s="471"/>
      <c r="B35" s="421" t="s">
        <v>2562</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176"/>
      <c r="Q35" s="1810" t="str">
        <f t="shared" si="11"/>
        <v>建筑品质</v>
      </c>
      <c r="R35" s="773" t="s">
        <v>21</v>
      </c>
      <c r="S35" s="774">
        <f t="shared" si="12"/>
        <v>100</v>
      </c>
      <c r="T35" s="773" t="s">
        <v>21</v>
      </c>
      <c r="U35" s="774">
        <f t="shared" si="13"/>
        <v>100</v>
      </c>
      <c r="V35" s="773" t="s">
        <v>21</v>
      </c>
      <c r="W35" s="774">
        <f t="shared" si="14"/>
        <v>100</v>
      </c>
      <c r="X35" s="1813"/>
      <c r="Y35" s="3178"/>
      <c r="Z35" s="1814" t="str">
        <f t="shared" si="18"/>
        <v>建筑品质</v>
      </c>
      <c r="AA35" s="1811">
        <f t="shared" si="15"/>
        <v>1</v>
      </c>
      <c r="AB35" s="1811">
        <f t="shared" si="16"/>
        <v>1</v>
      </c>
      <c r="AC35" s="1811">
        <f t="shared" si="17"/>
        <v>1</v>
      </c>
    </row>
    <row r="36" spans="1:29" ht="15">
      <c r="A36" s="471"/>
      <c r="B36" s="421" t="s">
        <v>2563</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176"/>
      <c r="Q36" s="1810" t="str">
        <f t="shared" si="11"/>
        <v>公共部分装修</v>
      </c>
      <c r="R36" s="773" t="s">
        <v>21</v>
      </c>
      <c r="S36" s="774">
        <f t="shared" si="12"/>
        <v>100</v>
      </c>
      <c r="T36" s="773" t="s">
        <v>21</v>
      </c>
      <c r="U36" s="774">
        <f t="shared" si="13"/>
        <v>100</v>
      </c>
      <c r="V36" s="773" t="s">
        <v>21</v>
      </c>
      <c r="W36" s="774">
        <f t="shared" si="14"/>
        <v>100</v>
      </c>
      <c r="X36" s="1813"/>
      <c r="Y36" s="3178"/>
      <c r="Z36" s="1814" t="str">
        <f t="shared" si="18"/>
        <v>公共部分装修</v>
      </c>
      <c r="AA36" s="1811">
        <f t="shared" si="15"/>
        <v>1</v>
      </c>
      <c r="AB36" s="1811">
        <f t="shared" si="16"/>
        <v>1</v>
      </c>
      <c r="AC36" s="1811">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176"/>
      <c r="Q37" s="1795" t="str">
        <f t="shared" si="11"/>
        <v>成新度</v>
      </c>
      <c r="R37" s="769" t="s">
        <v>21</v>
      </c>
      <c r="S37" s="770" t="e">
        <f t="shared" si="12"/>
        <v>#N/A</v>
      </c>
      <c r="T37" s="769" t="s">
        <v>21</v>
      </c>
      <c r="U37" s="770" t="e">
        <f t="shared" si="13"/>
        <v>#N/A</v>
      </c>
      <c r="V37" s="769" t="s">
        <v>21</v>
      </c>
      <c r="W37" s="770" t="e">
        <f t="shared" si="14"/>
        <v>#N/A</v>
      </c>
      <c r="X37" s="771"/>
      <c r="Y37" s="3178"/>
      <c r="Z37" s="54" t="str">
        <f t="shared" si="18"/>
        <v>成新度</v>
      </c>
      <c r="AA37" s="772" t="e">
        <f t="shared" si="15"/>
        <v>#N/A</v>
      </c>
      <c r="AB37" s="772" t="e">
        <f t="shared" si="16"/>
        <v>#N/A</v>
      </c>
      <c r="AC37" s="772" t="e">
        <f t="shared" si="17"/>
        <v>#N/A</v>
      </c>
    </row>
    <row r="38" spans="1:29" ht="15">
      <c r="A38" s="471"/>
      <c r="B38" s="421" t="s">
        <v>2565</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176" t="s">
        <v>2559</v>
      </c>
      <c r="Q38" s="1810" t="str">
        <f t="shared" si="11"/>
        <v>物业管理</v>
      </c>
      <c r="R38" s="773" t="s">
        <v>21</v>
      </c>
      <c r="S38" s="774">
        <f t="shared" si="12"/>
        <v>100</v>
      </c>
      <c r="T38" s="773" t="s">
        <v>21</v>
      </c>
      <c r="U38" s="774">
        <f t="shared" si="13"/>
        <v>100</v>
      </c>
      <c r="V38" s="773" t="s">
        <v>21</v>
      </c>
      <c r="W38" s="774">
        <f t="shared" si="14"/>
        <v>100</v>
      </c>
      <c r="X38" s="1813"/>
      <c r="Y38" s="3178" t="s">
        <v>2559</v>
      </c>
      <c r="Z38" s="1814" t="str">
        <f t="shared" si="18"/>
        <v>物业管理</v>
      </c>
      <c r="AA38" s="1811">
        <f t="shared" si="15"/>
        <v>1</v>
      </c>
      <c r="AB38" s="1811">
        <f t="shared" si="16"/>
        <v>1</v>
      </c>
      <c r="AC38" s="1811">
        <f t="shared" si="17"/>
        <v>1</v>
      </c>
    </row>
    <row r="39" spans="1:29" ht="15">
      <c r="A39" s="471"/>
      <c r="B39" s="421" t="s">
        <v>2566</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176"/>
      <c r="Q39" s="1810" t="str">
        <f t="shared" si="11"/>
        <v>市政基础设施</v>
      </c>
      <c r="R39" s="773" t="s">
        <v>21</v>
      </c>
      <c r="S39" s="774">
        <f t="shared" si="12"/>
        <v>100</v>
      </c>
      <c r="T39" s="773" t="s">
        <v>21</v>
      </c>
      <c r="U39" s="774">
        <f t="shared" si="13"/>
        <v>100</v>
      </c>
      <c r="V39" s="773" t="s">
        <v>21</v>
      </c>
      <c r="W39" s="774">
        <f t="shared" si="14"/>
        <v>100</v>
      </c>
      <c r="X39" s="1813"/>
      <c r="Y39" s="3178"/>
      <c r="Z39" s="1814" t="str">
        <f t="shared" si="18"/>
        <v>市政基础设施</v>
      </c>
      <c r="AA39" s="1811">
        <f t="shared" si="15"/>
        <v>1</v>
      </c>
      <c r="AB39" s="1811">
        <f t="shared" si="16"/>
        <v>1</v>
      </c>
      <c r="AC39" s="1811">
        <f t="shared" si="17"/>
        <v>1</v>
      </c>
    </row>
    <row r="40" spans="1:29" ht="15">
      <c r="A40" s="471"/>
      <c r="B40" s="421" t="s">
        <v>2567</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176"/>
      <c r="Q40" s="1810" t="str">
        <f t="shared" si="11"/>
        <v>房型</v>
      </c>
      <c r="R40" s="773" t="s">
        <v>21</v>
      </c>
      <c r="S40" s="774">
        <f t="shared" si="12"/>
        <v>100</v>
      </c>
      <c r="T40" s="773" t="s">
        <v>21</v>
      </c>
      <c r="U40" s="774">
        <f t="shared" si="13"/>
        <v>100</v>
      </c>
      <c r="V40" s="773" t="s">
        <v>21</v>
      </c>
      <c r="W40" s="774">
        <f t="shared" si="14"/>
        <v>100</v>
      </c>
      <c r="X40" s="1813"/>
      <c r="Y40" s="3178"/>
      <c r="Z40" s="1814" t="str">
        <f t="shared" si="18"/>
        <v>房型</v>
      </c>
      <c r="AA40" s="1811">
        <f t="shared" si="15"/>
        <v>1</v>
      </c>
      <c r="AB40" s="1811">
        <f t="shared" si="16"/>
        <v>1</v>
      </c>
      <c r="AC40" s="1811">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176"/>
      <c r="Q41" s="775" t="str">
        <f t="shared" si="11"/>
        <v>单套/主力户型建筑面积</v>
      </c>
      <c r="R41" s="776" t="s">
        <v>21</v>
      </c>
      <c r="S41" s="777">
        <f t="shared" si="12"/>
        <v>100</v>
      </c>
      <c r="T41" s="776" t="s">
        <v>21</v>
      </c>
      <c r="U41" s="777">
        <f t="shared" si="13"/>
        <v>100</v>
      </c>
      <c r="V41" s="776" t="s">
        <v>21</v>
      </c>
      <c r="W41" s="777">
        <f t="shared" si="14"/>
        <v>100</v>
      </c>
      <c r="X41" s="778"/>
      <c r="Y41" s="3178"/>
      <c r="Z41" s="779" t="str">
        <f t="shared" si="18"/>
        <v>单套/主力户型建筑面积</v>
      </c>
      <c r="AA41" s="1811">
        <f t="shared" si="15"/>
        <v>1</v>
      </c>
      <c r="AB41" s="1811">
        <f t="shared" si="16"/>
        <v>1</v>
      </c>
      <c r="AC41" s="1811">
        <f t="shared" si="17"/>
        <v>1</v>
      </c>
    </row>
    <row r="42" spans="1:29" ht="15">
      <c r="A42" s="471"/>
      <c r="B42" s="421" t="s">
        <v>2569</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176"/>
      <c r="Q42" s="1810" t="str">
        <f t="shared" si="11"/>
        <v>内部装修</v>
      </c>
      <c r="R42" s="773" t="s">
        <v>21</v>
      </c>
      <c r="S42" s="774">
        <f t="shared" si="12"/>
        <v>100</v>
      </c>
      <c r="T42" s="773" t="s">
        <v>21</v>
      </c>
      <c r="U42" s="774">
        <f t="shared" si="13"/>
        <v>100</v>
      </c>
      <c r="V42" s="773" t="s">
        <v>21</v>
      </c>
      <c r="W42" s="774">
        <f t="shared" si="14"/>
        <v>100</v>
      </c>
      <c r="X42" s="1813"/>
      <c r="Y42" s="3178"/>
      <c r="Z42" s="1814" t="str">
        <f t="shared" si="18"/>
        <v>内部装修</v>
      </c>
      <c r="AA42" s="1811">
        <f t="shared" si="15"/>
        <v>1</v>
      </c>
      <c r="AB42" s="1811">
        <f t="shared" si="16"/>
        <v>1</v>
      </c>
      <c r="AC42" s="1811">
        <f t="shared" si="17"/>
        <v>1</v>
      </c>
    </row>
    <row r="43" spans="1:29" ht="15">
      <c r="A43" s="471"/>
      <c r="B43" s="421" t="s">
        <v>2570</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176"/>
      <c r="Q43" s="1810" t="str">
        <f t="shared" si="11"/>
        <v>内部装修维护情况</v>
      </c>
      <c r="R43" s="773" t="s">
        <v>21</v>
      </c>
      <c r="S43" s="774">
        <f t="shared" si="12"/>
        <v>100</v>
      </c>
      <c r="T43" s="773" t="s">
        <v>21</v>
      </c>
      <c r="U43" s="774">
        <f t="shared" si="13"/>
        <v>100</v>
      </c>
      <c r="V43" s="773" t="s">
        <v>21</v>
      </c>
      <c r="W43" s="774">
        <f t="shared" si="14"/>
        <v>100</v>
      </c>
      <c r="X43" s="1813"/>
      <c r="Y43" s="3178"/>
      <c r="Z43" s="1814" t="str">
        <f t="shared" si="18"/>
        <v>内部装修维护情况</v>
      </c>
      <c r="AA43" s="1811">
        <f t="shared" si="15"/>
        <v>1</v>
      </c>
      <c r="AB43" s="1811">
        <f t="shared" si="16"/>
        <v>1</v>
      </c>
      <c r="AC43" s="1811">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176"/>
      <c r="Q44" s="1795">
        <f t="shared" si="11"/>
        <v>111</v>
      </c>
      <c r="R44" s="769" t="s">
        <v>21</v>
      </c>
      <c r="S44" s="770">
        <f t="shared" si="12"/>
        <v>100</v>
      </c>
      <c r="T44" s="769" t="s">
        <v>21</v>
      </c>
      <c r="U44" s="770">
        <f t="shared" si="13"/>
        <v>100</v>
      </c>
      <c r="V44" s="769" t="s">
        <v>21</v>
      </c>
      <c r="W44" s="770">
        <f t="shared" si="14"/>
        <v>100</v>
      </c>
      <c r="X44" s="771"/>
      <c r="Y44" s="3178"/>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176"/>
      <c r="Q45" s="1810">
        <f t="shared" si="11"/>
        <v>111</v>
      </c>
      <c r="R45" s="773" t="s">
        <v>21</v>
      </c>
      <c r="S45" s="774">
        <f t="shared" si="12"/>
        <v>100</v>
      </c>
      <c r="T45" s="773" t="s">
        <v>21</v>
      </c>
      <c r="U45" s="774">
        <f t="shared" si="13"/>
        <v>100</v>
      </c>
      <c r="V45" s="773" t="s">
        <v>21</v>
      </c>
      <c r="W45" s="774">
        <f t="shared" si="14"/>
        <v>100</v>
      </c>
      <c r="X45" s="1813"/>
      <c r="Y45" s="3178"/>
      <c r="Z45" s="1814">
        <f t="shared" si="18"/>
        <v>111</v>
      </c>
      <c r="AA45" s="1811">
        <f t="shared" si="15"/>
        <v>1</v>
      </c>
      <c r="AB45" s="1811">
        <f t="shared" si="16"/>
        <v>1</v>
      </c>
      <c r="AC45" s="181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177"/>
      <c r="Q46" s="1810">
        <f t="shared" si="11"/>
        <v>111</v>
      </c>
      <c r="R46" s="773" t="s">
        <v>20</v>
      </c>
      <c r="S46" s="774">
        <f t="shared" si="12"/>
        <v>100</v>
      </c>
      <c r="T46" s="773" t="s">
        <v>20</v>
      </c>
      <c r="U46" s="774">
        <f t="shared" si="13"/>
        <v>100</v>
      </c>
      <c r="V46" s="773" t="s">
        <v>20</v>
      </c>
      <c r="W46" s="774">
        <f t="shared" si="14"/>
        <v>100</v>
      </c>
      <c r="X46" s="1813"/>
      <c r="Y46" s="3179"/>
      <c r="Z46" s="1814">
        <f t="shared" si="18"/>
        <v>111</v>
      </c>
      <c r="AA46" s="1811">
        <f t="shared" si="15"/>
        <v>1</v>
      </c>
      <c r="AB46" s="1811">
        <f t="shared" si="16"/>
        <v>1</v>
      </c>
      <c r="AC46" s="1811">
        <f t="shared" si="17"/>
        <v>1</v>
      </c>
    </row>
    <row r="47" spans="1:29" ht="15">
      <c r="A47" s="478" t="s">
        <v>2571</v>
      </c>
      <c r="B47" s="479"/>
      <c r="C47" s="1408" t="s">
        <v>19</v>
      </c>
      <c r="D47" s="1409"/>
      <c r="E47" s="1410"/>
      <c r="F47" s="1411"/>
      <c r="G47" s="1412"/>
      <c r="H47" s="1413"/>
      <c r="I47" s="1410"/>
      <c r="J47" s="1413"/>
      <c r="K47" s="2623"/>
      <c r="L47" s="1144"/>
      <c r="M47" s="1145"/>
      <c r="N47" s="1132"/>
      <c r="O47" s="1145"/>
      <c r="P47" s="3171" t="str">
        <f>A47</f>
        <v>成交单价（元/平方米）</v>
      </c>
      <c r="Q47" s="3171"/>
      <c r="R47" s="3172">
        <f>E47</f>
        <v>0</v>
      </c>
      <c r="S47" s="3172"/>
      <c r="T47" s="3172">
        <f>G47</f>
        <v>0</v>
      </c>
      <c r="U47" s="3172"/>
      <c r="V47" s="3172">
        <f>I47</f>
        <v>0</v>
      </c>
      <c r="W47" s="3172"/>
      <c r="X47" s="758"/>
      <c r="Y47" s="780"/>
      <c r="Z47" s="758"/>
      <c r="AA47" s="758"/>
      <c r="AB47" s="758"/>
      <c r="AC47" s="758"/>
    </row>
    <row r="48" spans="1:29" ht="15.75" thickBot="1">
      <c r="A48" s="485" t="s">
        <v>2572</v>
      </c>
      <c r="B48" s="486"/>
      <c r="C48" s="1414" t="e">
        <f>R49</f>
        <v>#DIV/0!</v>
      </c>
      <c r="D48" s="1415"/>
      <c r="E48" s="1416" t="e">
        <f>R48</f>
        <v>#DIV/0!</v>
      </c>
      <c r="F48" s="1416"/>
      <c r="G48" s="1414" t="e">
        <f>T48</f>
        <v>#DIV/0!</v>
      </c>
      <c r="H48" s="1415"/>
      <c r="I48" s="1416" t="e">
        <f>V48</f>
        <v>#DIV/0!</v>
      </c>
      <c r="J48" s="1415"/>
      <c r="K48" s="2624"/>
      <c r="L48" s="1144"/>
      <c r="M48" s="1145"/>
      <c r="N48" s="1145"/>
      <c r="O48" s="1145"/>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8"/>
      <c r="Y48" s="758"/>
      <c r="Z48" s="758"/>
      <c r="AA48" s="758"/>
      <c r="AB48" s="758"/>
      <c r="AC48" s="758"/>
    </row>
    <row r="49" spans="1:29" ht="15.75" thickBot="1">
      <c r="A49" s="491" t="s">
        <v>2573</v>
      </c>
      <c r="B49" s="492"/>
      <c r="C49" s="1417" t="e">
        <f>R49</f>
        <v>#DIV/0!</v>
      </c>
      <c r="D49" s="1418"/>
      <c r="E49" s="1418"/>
      <c r="F49" s="1418"/>
      <c r="G49" s="1418"/>
      <c r="H49" s="1418"/>
      <c r="I49" s="1418"/>
      <c r="J49" s="1418"/>
      <c r="K49" s="2625"/>
      <c r="L49" s="1144"/>
      <c r="M49" s="1145"/>
      <c r="N49" s="1145"/>
      <c r="O49" s="1145"/>
      <c r="P49" s="3168" t="str">
        <f>A49</f>
        <v>估价对象XX用房的比较价值（楼面单价，元/平方米）</v>
      </c>
      <c r="Q49" s="3169"/>
      <c r="R49" s="3170" t="e">
        <f>IF(F1="售价",ROUND(AVERAGE(R48:V48),0),ROUND(AVERAGE(R48:V48),1))</f>
        <v>#DIV/0!</v>
      </c>
      <c r="S49" s="3170"/>
      <c r="T49" s="3170"/>
      <c r="U49" s="3170"/>
      <c r="V49" s="3170"/>
      <c r="W49" s="3170"/>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2577</v>
      </c>
      <c r="B57" s="758"/>
      <c r="C57" s="763"/>
      <c r="D57" s="763"/>
      <c r="E57" s="763"/>
      <c r="F57" s="764"/>
      <c r="G57" s="764"/>
      <c r="H57" s="763"/>
      <c r="I57" s="763"/>
      <c r="J57" s="763"/>
      <c r="K57" s="1161"/>
      <c r="L57" s="1162"/>
      <c r="M57" s="1160"/>
      <c r="N57" s="1160"/>
      <c r="O57" s="1160"/>
      <c r="P57" s="2628"/>
      <c r="Q57" s="503"/>
    </row>
    <row r="58" spans="1:29" s="507" customFormat="1" ht="15">
      <c r="A58" s="504" t="s">
        <v>2578</v>
      </c>
      <c r="B58" s="505"/>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0"/>
    </row>
    <row r="59" spans="1:29" s="116" customFormat="1" ht="15">
      <c r="A59" s="508"/>
      <c r="B59" s="2629"/>
      <c r="C59" s="1573">
        <v>100</v>
      </c>
      <c r="D59" s="510"/>
      <c r="E59" s="511"/>
      <c r="F59" s="511"/>
      <c r="G59" s="511"/>
      <c r="H59" s="511"/>
      <c r="I59" s="511"/>
      <c r="J59" s="511"/>
      <c r="K59" s="511"/>
      <c r="L59" s="511"/>
      <c r="M59" s="512"/>
      <c r="N59" s="511"/>
      <c r="O59" s="512"/>
      <c r="P59" s="2630"/>
    </row>
    <row r="60" spans="1:29" s="116" customFormat="1" ht="15.75" thickBot="1">
      <c r="A60" s="514" t="s">
        <v>2579</v>
      </c>
      <c r="B60" s="515"/>
      <c r="C60" s="516"/>
      <c r="D60" s="517"/>
      <c r="E60" s="517"/>
      <c r="F60" s="517"/>
      <c r="G60" s="517"/>
      <c r="H60" s="517"/>
      <c r="I60" s="517"/>
      <c r="J60" s="517"/>
      <c r="K60" s="517"/>
      <c r="L60" s="517"/>
      <c r="M60" s="518"/>
      <c r="N60" s="517"/>
      <c r="O60" s="518"/>
      <c r="P60" s="2630"/>
      <c r="Q60" s="503"/>
    </row>
    <row r="61" spans="1:29" s="116" customFormat="1" ht="15">
      <c r="A61" s="520" t="s">
        <v>2580</v>
      </c>
      <c r="B61" s="509"/>
      <c r="C61" s="521" t="s">
        <v>2581</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2582</v>
      </c>
      <c r="B63" s="527" t="s">
        <v>2548</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2091</v>
      </c>
      <c r="C82" s="538" t="s">
        <v>2598</v>
      </c>
      <c r="D82" s="538" t="s">
        <v>2599</v>
      </c>
      <c r="E82" s="538" t="s">
        <v>2600</v>
      </c>
      <c r="F82" s="538" t="s">
        <v>2601</v>
      </c>
      <c r="G82" s="538" t="s">
        <v>2602</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2604</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2605</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2557</v>
      </c>
      <c r="B100" s="527" t="s">
        <v>2606</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2609</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2610</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2613</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2568</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5" t="s">
        <v>2619</v>
      </c>
      <c r="D138" s="145" t="s">
        <v>2620</v>
      </c>
      <c r="E138" s="2647" t="s">
        <v>2621</v>
      </c>
      <c r="F138" s="2648" t="s">
        <v>2622</v>
      </c>
      <c r="G138" s="145" t="s">
        <v>2620</v>
      </c>
      <c r="H138" s="146" t="s">
        <v>2621</v>
      </c>
      <c r="I138" s="2649"/>
      <c r="J138" s="145" t="s">
        <v>2623</v>
      </c>
      <c r="K138" s="146" t="s">
        <v>2624</v>
      </c>
    </row>
    <row r="139" spans="1:17" ht="15">
      <c r="B139" s="1085">
        <v>6</v>
      </c>
      <c r="C139" s="1086">
        <v>96</v>
      </c>
      <c r="D139" s="2650" t="s">
        <v>2625</v>
      </c>
      <c r="E139" s="1087">
        <v>100</v>
      </c>
      <c r="F139" s="1088">
        <v>102.5</v>
      </c>
      <c r="G139" s="2650" t="s">
        <v>2625</v>
      </c>
      <c r="H139" s="1089">
        <v>105</v>
      </c>
      <c r="I139" s="2651" t="s">
        <v>2626</v>
      </c>
      <c r="J139" s="1086">
        <v>20</v>
      </c>
      <c r="K139" s="1090">
        <f>C145/(J139-2)</f>
        <v>4.0555555555555553E-3</v>
      </c>
    </row>
    <row r="140" spans="1:17" ht="15">
      <c r="B140" s="1091">
        <v>5</v>
      </c>
      <c r="C140" s="1092">
        <v>100</v>
      </c>
      <c r="D140" s="1092"/>
      <c r="E140" s="1093"/>
      <c r="F140" s="1094">
        <v>102</v>
      </c>
      <c r="G140" s="1092"/>
      <c r="H140" s="1095"/>
      <c r="I140" s="2652" t="s">
        <v>2627</v>
      </c>
      <c r="J140" s="314">
        <f>ROUNDUP((J139-1)/2,0)</f>
        <v>10</v>
      </c>
      <c r="K140" s="1096">
        <v>100</v>
      </c>
    </row>
    <row r="141" spans="1:17" ht="15">
      <c r="B141" s="1091">
        <v>4</v>
      </c>
      <c r="C141" s="1092">
        <v>102</v>
      </c>
      <c r="D141" s="1092"/>
      <c r="E141" s="1093"/>
      <c r="F141" s="1094">
        <v>101.5</v>
      </c>
      <c r="G141" s="1092"/>
      <c r="H141" s="1095"/>
      <c r="I141" s="2652" t="s">
        <v>2628</v>
      </c>
      <c r="J141" s="314">
        <v>1</v>
      </c>
      <c r="K141" s="1097">
        <f>ROUND(100+(J141-J140)*K139*100,1)</f>
        <v>96.4</v>
      </c>
    </row>
    <row r="142" spans="1:17" ht="15">
      <c r="B142" s="1091">
        <v>3</v>
      </c>
      <c r="C142" s="1092">
        <v>103</v>
      </c>
      <c r="D142" s="1092"/>
      <c r="E142" s="1093"/>
      <c r="F142" s="1094">
        <v>101</v>
      </c>
      <c r="G142" s="1092"/>
      <c r="H142" s="1095"/>
      <c r="I142" s="2652" t="s">
        <v>2629</v>
      </c>
      <c r="J142" s="314">
        <f>J139</f>
        <v>20</v>
      </c>
      <c r="K142" s="1098">
        <v>95</v>
      </c>
    </row>
    <row r="143" spans="1:17" ht="15">
      <c r="B143" s="1091">
        <v>2</v>
      </c>
      <c r="C143" s="1092">
        <v>100</v>
      </c>
      <c r="D143" s="1092"/>
      <c r="E143" s="1093"/>
      <c r="F143" s="1094">
        <v>100.5</v>
      </c>
      <c r="G143" s="1092"/>
      <c r="H143" s="1095"/>
      <c r="I143" s="2652" t="s">
        <v>2630</v>
      </c>
      <c r="J143" s="1092">
        <v>15</v>
      </c>
      <c r="K143" s="1097">
        <f>ROUND(100+(J143-J140)*K139*100,1)</f>
        <v>102</v>
      </c>
    </row>
    <row r="144" spans="1:17" ht="15">
      <c r="B144" s="1091">
        <v>1</v>
      </c>
      <c r="C144" s="1092">
        <v>98</v>
      </c>
      <c r="D144" s="2653" t="s">
        <v>2631</v>
      </c>
      <c r="E144" s="1093">
        <v>102</v>
      </c>
      <c r="F144" s="1099">
        <v>100</v>
      </c>
      <c r="G144" s="2653" t="s">
        <v>2631</v>
      </c>
      <c r="H144" s="1095">
        <v>105</v>
      </c>
      <c r="I144" s="2652" t="s">
        <v>2630</v>
      </c>
      <c r="J144" s="1092">
        <v>18</v>
      </c>
      <c r="K144" s="1097">
        <f>ROUND(100+(J144-J140)*K139*100,1)</f>
        <v>103.2</v>
      </c>
    </row>
    <row r="145" spans="2:11" ht="15.75" thickBot="1">
      <c r="B145" s="2654" t="s">
        <v>2632</v>
      </c>
      <c r="C145" s="1100">
        <f>ROUND(MAX(C139:C144)/MIN(C139:C144)-1,3)</f>
        <v>7.2999999999999995E-2</v>
      </c>
      <c r="D145" s="1101"/>
      <c r="E145" s="1101"/>
      <c r="F145" s="2655" t="s">
        <v>2633</v>
      </c>
      <c r="G145" s="2656"/>
      <c r="H145" s="2657"/>
      <c r="I145" s="2658" t="s">
        <v>2630</v>
      </c>
      <c r="J145" s="1102">
        <v>8</v>
      </c>
      <c r="K145" s="1103">
        <f>ROUND(100+(J145-J140)*K139*100,1)</f>
        <v>99.2</v>
      </c>
    </row>
    <row r="147" spans="2:11">
      <c r="B147" s="2639" t="s">
        <v>2634</v>
      </c>
    </row>
    <row r="148" spans="2:11">
      <c r="B148" s="263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受贵公司委托，我公司对北京市门头沟区新城东街19号院“西长安街壹号”综合项目房地产房地产抵押价值进行了预评估。</v>
      </c>
    </row>
    <row r="5" spans="1:1" ht="18.75">
      <c r="A5" s="1949" t="s">
        <v>1608</v>
      </c>
    </row>
    <row r="6" spans="1:1" ht="18.75">
      <c r="A6" s="1950" t="s">
        <v>1609</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1" ht="57.75">
      <c r="A8" s="1951" t="s">
        <v>1610</v>
      </c>
    </row>
    <row r="9" spans="1:1" ht="18.75">
      <c r="A9" s="1950" t="s">
        <v>1611</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2019年1月23日（评估专业人员实地查勘之日）</v>
      </c>
    </row>
    <row r="16" spans="1:1" ht="18.75">
      <c r="A16" s="1953" t="s">
        <v>1615</v>
      </c>
    </row>
    <row r="17" spans="1:1" ht="75">
      <c r="A17" s="1948" t="s">
        <v>1616</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4" t="s">
        <v>2636</v>
      </c>
      <c r="C1" s="1634" t="s">
        <v>2524</v>
      </c>
      <c r="D1" s="1621"/>
      <c r="E1" s="2659"/>
      <c r="F1" s="2586"/>
      <c r="G1" s="1631" t="s">
        <v>2637</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2321</v>
      </c>
      <c r="B2" s="1419" t="e">
        <f ca="1">IF(C2="——",ROUND(C49*D3/10000,0),ROUND(C49*D3/10000,0)-D2)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2323</v>
      </c>
      <c r="B3" s="608" t="e">
        <f ca="1">IF(C2="——",C49,ROUND(B2*10000/D3,0))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2639</v>
      </c>
      <c r="B4" s="401"/>
      <c r="C4" s="3186" t="s">
        <v>2640</v>
      </c>
      <c r="D4" s="3187"/>
      <c r="E4" s="3188" t="s">
        <v>2641</v>
      </c>
      <c r="F4" s="3189"/>
      <c r="G4" s="3186" t="s">
        <v>2642</v>
      </c>
      <c r="H4" s="3187"/>
      <c r="I4" s="3186" t="s">
        <v>2643</v>
      </c>
      <c r="J4" s="3187"/>
      <c r="K4" s="609" t="s">
        <v>2644</v>
      </c>
      <c r="L4" s="1131"/>
      <c r="M4" s="1132"/>
      <c r="N4" s="1132"/>
      <c r="O4" s="1132"/>
      <c r="P4" s="3190" t="s">
        <v>2645</v>
      </c>
      <c r="Q4" s="3191"/>
      <c r="R4" s="3196" t="s">
        <v>2641</v>
      </c>
      <c r="S4" s="3197"/>
      <c r="T4" s="3196" t="s">
        <v>2642</v>
      </c>
      <c r="U4" s="3197"/>
      <c r="V4" s="3202" t="s">
        <v>2643</v>
      </c>
      <c r="W4" s="3202"/>
      <c r="X4" s="1813"/>
      <c r="Y4" s="3196" t="s">
        <v>2645</v>
      </c>
      <c r="Z4" s="3197"/>
      <c r="AA4" s="3183" t="s">
        <v>2641</v>
      </c>
      <c r="AB4" s="3202" t="s">
        <v>2642</v>
      </c>
      <c r="AC4" s="3183" t="s">
        <v>2643</v>
      </c>
    </row>
    <row r="5" spans="1:29" ht="15">
      <c r="A5" s="403"/>
      <c r="B5" s="404"/>
      <c r="C5" s="3205" t="s">
        <v>2536</v>
      </c>
      <c r="D5" s="3206"/>
      <c r="E5" s="3212" t="s">
        <v>2537</v>
      </c>
      <c r="F5" s="3213"/>
      <c r="G5" s="3205" t="s">
        <v>2538</v>
      </c>
      <c r="H5" s="3206"/>
      <c r="I5" s="3205" t="s">
        <v>2539</v>
      </c>
      <c r="J5" s="3206"/>
      <c r="K5" s="609"/>
      <c r="L5" s="1131"/>
      <c r="M5" s="1132"/>
      <c r="N5" s="1132"/>
      <c r="O5" s="1132"/>
      <c r="P5" s="3192"/>
      <c r="Q5" s="3193"/>
      <c r="R5" s="3198"/>
      <c r="S5" s="3199"/>
      <c r="T5" s="3198"/>
      <c r="U5" s="3199"/>
      <c r="V5" s="3202"/>
      <c r="W5" s="3202"/>
      <c r="X5" s="1813"/>
      <c r="Y5" s="3198"/>
      <c r="Z5" s="3199"/>
      <c r="AA5" s="3184"/>
      <c r="AB5" s="3202"/>
      <c r="AC5" s="3184"/>
    </row>
    <row r="6" spans="1:29" ht="15.75" thickBot="1">
      <c r="A6" s="405"/>
      <c r="B6" s="406"/>
      <c r="C6" s="3203" t="s">
        <v>2540</v>
      </c>
      <c r="D6" s="3204"/>
      <c r="E6" s="3210" t="s">
        <v>2540</v>
      </c>
      <c r="F6" s="3211"/>
      <c r="G6" s="3203" t="s">
        <v>2540</v>
      </c>
      <c r="H6" s="3204"/>
      <c r="I6" s="3203" t="s">
        <v>2540</v>
      </c>
      <c r="J6" s="3204"/>
      <c r="K6" s="609" t="s">
        <v>2541</v>
      </c>
      <c r="L6" s="1131"/>
      <c r="M6" s="1132"/>
      <c r="N6" s="1132"/>
      <c r="O6" s="1132"/>
      <c r="P6" s="3194"/>
      <c r="Q6" s="3195"/>
      <c r="R6" s="3198"/>
      <c r="S6" s="3199"/>
      <c r="T6" s="3200"/>
      <c r="U6" s="3201"/>
      <c r="V6" s="3202"/>
      <c r="W6" s="3202"/>
      <c r="X6" s="1813"/>
      <c r="Y6" s="3200"/>
      <c r="Z6" s="3201"/>
      <c r="AA6" s="3185"/>
      <c r="AB6" s="3202"/>
      <c r="AC6" s="3185"/>
    </row>
    <row r="7" spans="1:29" s="116" customFormat="1" ht="15.7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07" t="s">
        <v>2543</v>
      </c>
      <c r="Q7" s="3209"/>
      <c r="R7" s="769" t="s">
        <v>17</v>
      </c>
      <c r="S7" s="770">
        <f t="shared" ref="S7:S15" si="0">F7</f>
        <v>0</v>
      </c>
      <c r="T7" s="769" t="s">
        <v>17</v>
      </c>
      <c r="U7" s="770">
        <f t="shared" ref="U7:U15" si="1">H7</f>
        <v>0</v>
      </c>
      <c r="V7" s="769" t="s">
        <v>17</v>
      </c>
      <c r="W7" s="770">
        <f t="shared" ref="W7:W15" si="2">J7</f>
        <v>0</v>
      </c>
      <c r="X7" s="771"/>
      <c r="Y7" s="3207" t="s">
        <v>2543</v>
      </c>
      <c r="Z7" s="3208"/>
      <c r="AA7" s="772" t="e">
        <f>D7/F7</f>
        <v>#DIV/0!</v>
      </c>
      <c r="AB7" s="772" t="e">
        <f>D7/H7</f>
        <v>#DIV/0!</v>
      </c>
      <c r="AC7" s="772" t="e">
        <f>D7/J7</f>
        <v>#DIV/0!</v>
      </c>
    </row>
    <row r="8" spans="1:29" s="116"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07" t="s">
        <v>2546</v>
      </c>
      <c r="Q8" s="3208"/>
      <c r="R8" s="769" t="s">
        <v>17</v>
      </c>
      <c r="S8" s="770">
        <f t="shared" si="0"/>
        <v>0</v>
      </c>
      <c r="T8" s="769" t="s">
        <v>17</v>
      </c>
      <c r="U8" s="770">
        <f t="shared" si="1"/>
        <v>0</v>
      </c>
      <c r="V8" s="769" t="s">
        <v>17</v>
      </c>
      <c r="W8" s="770">
        <f t="shared" si="2"/>
        <v>0</v>
      </c>
      <c r="X8" s="771"/>
      <c r="Y8" s="3207" t="s">
        <v>2546</v>
      </c>
      <c r="Z8" s="3208"/>
      <c r="AA8" s="772" t="e">
        <f t="shared" ref="AA8:AA46" si="3">D8/F8</f>
        <v>#DIV/0!</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82" t="s">
        <v>2549</v>
      </c>
      <c r="Q9" s="1795"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82"/>
      <c r="Q10" s="1795"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82"/>
      <c r="Q11" s="1795" t="str">
        <f t="shared" si="6"/>
        <v>容积率</v>
      </c>
      <c r="R11" s="769" t="s">
        <v>17</v>
      </c>
      <c r="S11" s="770" t="e">
        <f t="shared" si="0"/>
        <v>#N/A</v>
      </c>
      <c r="T11" s="769" t="s">
        <v>17</v>
      </c>
      <c r="U11" s="770" t="e">
        <f t="shared" si="1"/>
        <v>#N/A</v>
      </c>
      <c r="V11" s="769" t="s">
        <v>17</v>
      </c>
      <c r="W11" s="770" t="e">
        <f t="shared" si="2"/>
        <v>#N/A</v>
      </c>
      <c r="X11" s="771"/>
      <c r="Y11" s="2997"/>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82"/>
      <c r="Q12" s="1795">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82"/>
      <c r="Q13" s="1795">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82"/>
      <c r="Q14" s="1795">
        <f t="shared" si="6"/>
        <v>111</v>
      </c>
      <c r="R14" s="769" t="s">
        <v>17</v>
      </c>
      <c r="S14" s="770">
        <f t="shared" si="0"/>
        <v>100</v>
      </c>
      <c r="T14" s="769" t="s">
        <v>17</v>
      </c>
      <c r="U14" s="770">
        <f t="shared" si="1"/>
        <v>100</v>
      </c>
      <c r="V14" s="769" t="s">
        <v>17</v>
      </c>
      <c r="W14" s="770">
        <f t="shared" si="2"/>
        <v>100</v>
      </c>
      <c r="X14" s="771"/>
      <c r="Y14" s="2997"/>
      <c r="Z14" s="54">
        <f t="shared" si="7"/>
        <v>111</v>
      </c>
      <c r="AA14" s="772">
        <f t="shared" si="3"/>
        <v>1</v>
      </c>
      <c r="AB14" s="772">
        <f t="shared" si="4"/>
        <v>1</v>
      </c>
      <c r="AC14" s="772">
        <f t="shared" si="5"/>
        <v>1</v>
      </c>
    </row>
    <row r="15" spans="1:29" ht="71.25">
      <c r="A15" s="439" t="s">
        <v>2553</v>
      </c>
      <c r="B15" s="68" t="s">
        <v>2647</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180" t="s">
        <v>2554</v>
      </c>
      <c r="Q15" s="1810" t="str">
        <f t="shared" si="6"/>
        <v>商业繁华度</v>
      </c>
      <c r="R15" s="773" t="s">
        <v>17</v>
      </c>
      <c r="S15" s="774">
        <f t="shared" si="0"/>
        <v>100</v>
      </c>
      <c r="T15" s="773" t="s">
        <v>17</v>
      </c>
      <c r="U15" s="774">
        <f t="shared" si="1"/>
        <v>100</v>
      </c>
      <c r="V15" s="773" t="s">
        <v>17</v>
      </c>
      <c r="W15" s="774">
        <f t="shared" si="2"/>
        <v>100</v>
      </c>
      <c r="X15" s="1813"/>
      <c r="Y15" s="3173" t="s">
        <v>2554</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181"/>
      <c r="Q16" s="1810"/>
      <c r="R16" s="773"/>
      <c r="S16" s="774"/>
      <c r="T16" s="773"/>
      <c r="U16" s="774"/>
      <c r="V16" s="773"/>
      <c r="W16" s="774"/>
      <c r="X16" s="1813"/>
      <c r="Y16" s="3174"/>
      <c r="Z16" s="1814"/>
      <c r="AA16" s="1811">
        <v>1</v>
      </c>
      <c r="AB16" s="1811">
        <v>1</v>
      </c>
      <c r="AC16" s="1811">
        <v>1</v>
      </c>
    </row>
    <row r="17" spans="1:29" ht="85.5">
      <c r="A17" s="427"/>
      <c r="B17" s="450" t="s">
        <v>2090</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181"/>
      <c r="Q17" s="1810" t="str">
        <f>B17</f>
        <v>交通便捷度</v>
      </c>
      <c r="R17" s="773" t="s">
        <v>17</v>
      </c>
      <c r="S17" s="774">
        <f>F17</f>
        <v>100</v>
      </c>
      <c r="T17" s="773" t="s">
        <v>17</v>
      </c>
      <c r="U17" s="774">
        <f>H17</f>
        <v>100</v>
      </c>
      <c r="V17" s="773" t="s">
        <v>17</v>
      </c>
      <c r="W17" s="774">
        <f>J17</f>
        <v>100</v>
      </c>
      <c r="X17" s="1813"/>
      <c r="Y17" s="3174"/>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32"/>
      <c r="P18" s="3181"/>
      <c r="Q18" s="1810"/>
      <c r="R18" s="773"/>
      <c r="S18" s="774"/>
      <c r="T18" s="773"/>
      <c r="U18" s="774"/>
      <c r="V18" s="773"/>
      <c r="W18" s="774"/>
      <c r="X18" s="1813"/>
      <c r="Y18" s="3174"/>
      <c r="Z18" s="1814"/>
      <c r="AA18" s="1811">
        <v>1</v>
      </c>
      <c r="AB18" s="1811">
        <v>1</v>
      </c>
      <c r="AC18" s="1811">
        <v>1</v>
      </c>
    </row>
    <row r="19" spans="1:29" ht="42.75">
      <c r="A19" s="427"/>
      <c r="B19" s="450" t="s">
        <v>2648</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181"/>
      <c r="Q19" s="1810" t="str">
        <f>B19</f>
        <v>公共配套设施</v>
      </c>
      <c r="R19" s="773" t="s">
        <v>17</v>
      </c>
      <c r="S19" s="774">
        <f>F19</f>
        <v>100</v>
      </c>
      <c r="T19" s="773" t="s">
        <v>17</v>
      </c>
      <c r="U19" s="774">
        <f>H19</f>
        <v>100</v>
      </c>
      <c r="V19" s="773" t="s">
        <v>17</v>
      </c>
      <c r="W19" s="774">
        <f>J19</f>
        <v>100</v>
      </c>
      <c r="X19" s="1813"/>
      <c r="Y19" s="3174"/>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32"/>
      <c r="P20" s="3181"/>
      <c r="Q20" s="1810"/>
      <c r="R20" s="773"/>
      <c r="S20" s="774"/>
      <c r="T20" s="773"/>
      <c r="U20" s="774"/>
      <c r="V20" s="773"/>
      <c r="W20" s="774"/>
      <c r="X20" s="1813"/>
      <c r="Y20" s="3174"/>
      <c r="Z20" s="1814"/>
      <c r="AA20" s="1811">
        <v>1</v>
      </c>
      <c r="AB20" s="1811">
        <v>1</v>
      </c>
      <c r="AC20" s="1811">
        <v>1</v>
      </c>
    </row>
    <row r="21" spans="1:29" ht="28.5">
      <c r="A21" s="427"/>
      <c r="B21" s="1385" t="s">
        <v>2649</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181"/>
      <c r="Q21" s="1810" t="str">
        <f>B21</f>
        <v>基础设施水平</v>
      </c>
      <c r="R21" s="773" t="s">
        <v>17</v>
      </c>
      <c r="S21" s="774">
        <f>F21</f>
        <v>100</v>
      </c>
      <c r="T21" s="773" t="s">
        <v>17</v>
      </c>
      <c r="U21" s="774">
        <f>H21</f>
        <v>100</v>
      </c>
      <c r="V21" s="773" t="s">
        <v>17</v>
      </c>
      <c r="W21" s="774">
        <f>J21</f>
        <v>100</v>
      </c>
      <c r="X21" s="1813"/>
      <c r="Y21" s="3174"/>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32"/>
      <c r="P22" s="3181"/>
      <c r="Q22" s="1810"/>
      <c r="R22" s="773"/>
      <c r="S22" s="774"/>
      <c r="T22" s="773"/>
      <c r="U22" s="774"/>
      <c r="V22" s="773"/>
      <c r="W22" s="774"/>
      <c r="X22" s="1813"/>
      <c r="Y22" s="3174"/>
      <c r="Z22" s="1814"/>
      <c r="AA22" s="1811">
        <v>1</v>
      </c>
      <c r="AB22" s="1811">
        <v>1</v>
      </c>
      <c r="AC22" s="1811">
        <v>1</v>
      </c>
    </row>
    <row r="23" spans="1:29" ht="57">
      <c r="A23" s="427"/>
      <c r="B23" s="450" t="s">
        <v>2095</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181"/>
      <c r="Q23" s="1810" t="str">
        <f>B23</f>
        <v>自然及人文环境</v>
      </c>
      <c r="R23" s="773" t="s">
        <v>17</v>
      </c>
      <c r="S23" s="774">
        <f>F23</f>
        <v>100</v>
      </c>
      <c r="T23" s="773" t="s">
        <v>17</v>
      </c>
      <c r="U23" s="774">
        <f>H23</f>
        <v>100</v>
      </c>
      <c r="V23" s="773" t="s">
        <v>17</v>
      </c>
      <c r="W23" s="774">
        <f>J23</f>
        <v>100</v>
      </c>
      <c r="X23" s="1813"/>
      <c r="Y23" s="3174"/>
      <c r="Z23" s="1814" t="str">
        <f>Q23</f>
        <v>自然及人文环境</v>
      </c>
      <c r="AA23" s="1811">
        <f t="shared" si="3"/>
        <v>1</v>
      </c>
      <c r="AB23" s="1811">
        <f t="shared" si="4"/>
        <v>1</v>
      </c>
      <c r="AC23" s="1811">
        <f t="shared" si="5"/>
        <v>1</v>
      </c>
    </row>
    <row r="24" spans="1:29" ht="15">
      <c r="A24" s="427"/>
      <c r="B24" s="455"/>
      <c r="C24" s="446"/>
      <c r="D24" s="447"/>
      <c r="E24" s="2607"/>
      <c r="F24" s="448"/>
      <c r="G24" s="2606"/>
      <c r="H24" s="447"/>
      <c r="I24" s="2607"/>
      <c r="J24" s="447"/>
      <c r="K24" s="614"/>
      <c r="L24" s="1141"/>
      <c r="M24" s="1132"/>
      <c r="N24" s="1132"/>
      <c r="O24" s="1132"/>
      <c r="P24" s="3181"/>
      <c r="Q24" s="1810"/>
      <c r="R24" s="773"/>
      <c r="S24" s="774"/>
      <c r="T24" s="773"/>
      <c r="U24" s="774"/>
      <c r="V24" s="773"/>
      <c r="W24" s="774"/>
      <c r="X24" s="1813"/>
      <c r="Y24" s="3174"/>
      <c r="Z24" s="1814"/>
      <c r="AA24" s="1811">
        <v>1</v>
      </c>
      <c r="AB24" s="1811">
        <v>1</v>
      </c>
      <c r="AC24" s="1811">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181"/>
      <c r="Q25" s="1810" t="str">
        <f t="shared" ref="Q25:Q46" si="11">B25</f>
        <v>临街状况</v>
      </c>
      <c r="R25" s="773" t="s">
        <v>17</v>
      </c>
      <c r="S25" s="774">
        <f>F25</f>
        <v>100</v>
      </c>
      <c r="T25" s="773" t="s">
        <v>17</v>
      </c>
      <c r="U25" s="774">
        <f>H25</f>
        <v>100</v>
      </c>
      <c r="V25" s="773" t="s">
        <v>17</v>
      </c>
      <c r="W25" s="774">
        <f>J25</f>
        <v>100</v>
      </c>
      <c r="X25" s="1813"/>
      <c r="Y25" s="3174"/>
      <c r="Z25" s="1814" t="str">
        <f>Q25</f>
        <v>临街状况</v>
      </c>
      <c r="AA25" s="1811">
        <f t="shared" si="3"/>
        <v>1</v>
      </c>
      <c r="AB25" s="1811">
        <f t="shared" si="4"/>
        <v>1</v>
      </c>
      <c r="AC25" s="1811">
        <f t="shared" si="5"/>
        <v>1</v>
      </c>
    </row>
    <row r="26" spans="1:29" ht="15">
      <c r="A26" s="427"/>
      <c r="B26" s="1387" t="s">
        <v>2651</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181"/>
      <c r="Q26" s="1810" t="str">
        <f t="shared" si="11"/>
        <v>平面位置/可视性</v>
      </c>
      <c r="R26" s="773" t="s">
        <v>17</v>
      </c>
      <c r="S26" s="774">
        <f>F26</f>
        <v>100</v>
      </c>
      <c r="T26" s="773" t="s">
        <v>17</v>
      </c>
      <c r="U26" s="774">
        <f>H26</f>
        <v>100</v>
      </c>
      <c r="V26" s="773" t="s">
        <v>17</v>
      </c>
      <c r="W26" s="774">
        <f>J26</f>
        <v>100</v>
      </c>
      <c r="X26" s="1813"/>
      <c r="Y26" s="3174"/>
      <c r="Z26" s="1814" t="str">
        <f>Q26</f>
        <v>平面位置/可视性</v>
      </c>
      <c r="AA26" s="1811">
        <f t="shared" si="3"/>
        <v>1</v>
      </c>
      <c r="AB26" s="1811">
        <f t="shared" si="4"/>
        <v>1</v>
      </c>
      <c r="AC26" s="1811">
        <f t="shared" si="5"/>
        <v>1</v>
      </c>
    </row>
    <row r="27" spans="1:29" s="116" customFormat="1" ht="15">
      <c r="A27" s="430"/>
      <c r="B27" s="450" t="s">
        <v>2652</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181"/>
      <c r="Q27" s="1795" t="str">
        <f t="shared" si="11"/>
        <v>人流量</v>
      </c>
      <c r="R27" s="769" t="s">
        <v>17</v>
      </c>
      <c r="S27" s="770">
        <f>F27</f>
        <v>100</v>
      </c>
      <c r="T27" s="769" t="s">
        <v>17</v>
      </c>
      <c r="U27" s="770">
        <f>H27</f>
        <v>100</v>
      </c>
      <c r="V27" s="769" t="s">
        <v>17</v>
      </c>
      <c r="W27" s="770">
        <f>J27</f>
        <v>100</v>
      </c>
      <c r="X27" s="771"/>
      <c r="Y27" s="3174"/>
      <c r="Z27" s="54" t="str">
        <f>Q27</f>
        <v>人流量</v>
      </c>
      <c r="AA27" s="1811">
        <f>D27/F27</f>
        <v>1</v>
      </c>
      <c r="AB27" s="1811">
        <f>D27/H27</f>
        <v>1</v>
      </c>
      <c r="AC27" s="1811">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181"/>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174"/>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181"/>
      <c r="Q29" s="1810">
        <f t="shared" si="11"/>
        <v>111</v>
      </c>
      <c r="R29" s="773" t="s">
        <v>17</v>
      </c>
      <c r="S29" s="774">
        <f t="shared" si="12"/>
        <v>100</v>
      </c>
      <c r="T29" s="773" t="s">
        <v>17</v>
      </c>
      <c r="U29" s="774">
        <f t="shared" si="13"/>
        <v>100</v>
      </c>
      <c r="V29" s="773" t="s">
        <v>17</v>
      </c>
      <c r="W29" s="774">
        <f t="shared" si="14"/>
        <v>100</v>
      </c>
      <c r="X29" s="1813"/>
      <c r="Y29" s="3174"/>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181"/>
      <c r="Q30" s="1810">
        <f t="shared" si="11"/>
        <v>111</v>
      </c>
      <c r="R30" s="773" t="s">
        <v>17</v>
      </c>
      <c r="S30" s="774">
        <f t="shared" si="12"/>
        <v>100</v>
      </c>
      <c r="T30" s="773" t="s">
        <v>17</v>
      </c>
      <c r="U30" s="774">
        <f t="shared" si="13"/>
        <v>100</v>
      </c>
      <c r="V30" s="773" t="s">
        <v>17</v>
      </c>
      <c r="W30" s="774">
        <f t="shared" si="14"/>
        <v>100</v>
      </c>
      <c r="X30" s="1813"/>
      <c r="Y30" s="3174"/>
      <c r="Z30" s="1814">
        <f t="shared" si="15"/>
        <v>111</v>
      </c>
      <c r="AA30" s="1811">
        <f t="shared" si="3"/>
        <v>1</v>
      </c>
      <c r="AB30" s="1811">
        <f t="shared" si="4"/>
        <v>1</v>
      </c>
      <c r="AC30" s="181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181"/>
      <c r="Q31" s="1810">
        <f t="shared" si="11"/>
        <v>111</v>
      </c>
      <c r="R31" s="773" t="s">
        <v>17</v>
      </c>
      <c r="S31" s="774">
        <f t="shared" si="12"/>
        <v>100</v>
      </c>
      <c r="T31" s="773" t="s">
        <v>17</v>
      </c>
      <c r="U31" s="774">
        <f t="shared" si="13"/>
        <v>100</v>
      </c>
      <c r="V31" s="773" t="s">
        <v>17</v>
      </c>
      <c r="W31" s="774">
        <f t="shared" si="14"/>
        <v>100</v>
      </c>
      <c r="X31" s="1813"/>
      <c r="Y31" s="3174"/>
      <c r="Z31" s="1814">
        <f t="shared" si="15"/>
        <v>111</v>
      </c>
      <c r="AA31" s="1811">
        <f t="shared" si="3"/>
        <v>1</v>
      </c>
      <c r="AB31" s="1811">
        <f t="shared" si="4"/>
        <v>1</v>
      </c>
      <c r="AC31" s="1811">
        <f t="shared" si="5"/>
        <v>1</v>
      </c>
    </row>
    <row r="32" spans="1:29" ht="15">
      <c r="A32" s="439" t="s">
        <v>2557</v>
      </c>
      <c r="B32" s="70" t="s">
        <v>2654</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175" t="s">
        <v>2559</v>
      </c>
      <c r="Q32" s="1810" t="str">
        <f t="shared" si="11"/>
        <v>商业类型</v>
      </c>
      <c r="R32" s="773" t="s">
        <v>17</v>
      </c>
      <c r="S32" s="774">
        <f t="shared" si="12"/>
        <v>100</v>
      </c>
      <c r="T32" s="773" t="s">
        <v>17</v>
      </c>
      <c r="U32" s="774">
        <f t="shared" si="13"/>
        <v>100</v>
      </c>
      <c r="V32" s="773" t="s">
        <v>17</v>
      </c>
      <c r="W32" s="774">
        <f t="shared" si="14"/>
        <v>100</v>
      </c>
      <c r="X32" s="1813"/>
      <c r="Y32" s="3178" t="s">
        <v>2559</v>
      </c>
      <c r="Z32" s="1814" t="str">
        <f t="shared" si="15"/>
        <v>商业类型</v>
      </c>
      <c r="AA32" s="1811">
        <f t="shared" si="3"/>
        <v>1</v>
      </c>
      <c r="AB32" s="1811">
        <f t="shared" si="4"/>
        <v>1</v>
      </c>
      <c r="AC32" s="1811">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176"/>
      <c r="Q33" s="775" t="str">
        <f t="shared" si="11"/>
        <v>项目建筑规模</v>
      </c>
      <c r="R33" s="776" t="s">
        <v>17</v>
      </c>
      <c r="S33" s="777" t="e">
        <f t="shared" si="12"/>
        <v>#N/A</v>
      </c>
      <c r="T33" s="776" t="s">
        <v>17</v>
      </c>
      <c r="U33" s="777" t="e">
        <f t="shared" si="13"/>
        <v>#N/A</v>
      </c>
      <c r="V33" s="776" t="s">
        <v>17</v>
      </c>
      <c r="W33" s="777" t="e">
        <f t="shared" si="14"/>
        <v>#N/A</v>
      </c>
      <c r="X33" s="778"/>
      <c r="Y33" s="3178"/>
      <c r="Z33" s="779" t="str">
        <f t="shared" si="15"/>
        <v>项目建筑规模</v>
      </c>
      <c r="AA33" s="1811" t="e">
        <f t="shared" si="3"/>
        <v>#N/A</v>
      </c>
      <c r="AB33" s="1811" t="e">
        <f t="shared" si="4"/>
        <v>#N/A</v>
      </c>
      <c r="AC33" s="1811" t="e">
        <f t="shared" si="5"/>
        <v>#N/A</v>
      </c>
    </row>
    <row r="34" spans="1:29" ht="15">
      <c r="A34" s="471"/>
      <c r="B34" s="421" t="s">
        <v>2561</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176"/>
      <c r="Q34" s="1810" t="str">
        <f t="shared" si="11"/>
        <v>建筑结构</v>
      </c>
      <c r="R34" s="773" t="s">
        <v>17</v>
      </c>
      <c r="S34" s="774">
        <f t="shared" si="12"/>
        <v>100</v>
      </c>
      <c r="T34" s="773" t="s">
        <v>17</v>
      </c>
      <c r="U34" s="774">
        <f t="shared" si="13"/>
        <v>100</v>
      </c>
      <c r="V34" s="773" t="s">
        <v>17</v>
      </c>
      <c r="W34" s="774">
        <f t="shared" si="14"/>
        <v>100</v>
      </c>
      <c r="X34" s="1813"/>
      <c r="Y34" s="3178"/>
      <c r="Z34" s="1814" t="str">
        <f t="shared" si="15"/>
        <v>建筑结构</v>
      </c>
      <c r="AA34" s="1811">
        <f t="shared" si="3"/>
        <v>1</v>
      </c>
      <c r="AB34" s="1811">
        <f t="shared" si="4"/>
        <v>1</v>
      </c>
      <c r="AC34" s="1811">
        <f t="shared" si="5"/>
        <v>1</v>
      </c>
    </row>
    <row r="35" spans="1:29" ht="15">
      <c r="A35" s="471"/>
      <c r="B35" s="421" t="s">
        <v>2655</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176"/>
      <c r="Q35" s="1810" t="str">
        <f t="shared" si="11"/>
        <v>公共部分装修</v>
      </c>
      <c r="R35" s="773" t="s">
        <v>17</v>
      </c>
      <c r="S35" s="774">
        <f t="shared" si="12"/>
        <v>100</v>
      </c>
      <c r="T35" s="773" t="s">
        <v>17</v>
      </c>
      <c r="U35" s="774">
        <f t="shared" si="13"/>
        <v>100</v>
      </c>
      <c r="V35" s="773" t="s">
        <v>17</v>
      </c>
      <c r="W35" s="774">
        <f t="shared" si="14"/>
        <v>100</v>
      </c>
      <c r="X35" s="1813"/>
      <c r="Y35" s="3178"/>
      <c r="Z35" s="1814" t="str">
        <f t="shared" si="15"/>
        <v>公共部分装修</v>
      </c>
      <c r="AA35" s="1811">
        <f t="shared" si="3"/>
        <v>1</v>
      </c>
      <c r="AB35" s="1811">
        <f t="shared" si="4"/>
        <v>1</v>
      </c>
      <c r="AC35" s="1811">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76"/>
      <c r="Q36" s="1810" t="str">
        <f t="shared" si="11"/>
        <v>成新度</v>
      </c>
      <c r="R36" s="773" t="s">
        <v>17</v>
      </c>
      <c r="S36" s="774" t="e">
        <f t="shared" si="12"/>
        <v>#N/A</v>
      </c>
      <c r="T36" s="773" t="s">
        <v>17</v>
      </c>
      <c r="U36" s="774" t="e">
        <f t="shared" si="13"/>
        <v>#N/A</v>
      </c>
      <c r="V36" s="773" t="s">
        <v>17</v>
      </c>
      <c r="W36" s="774" t="e">
        <f t="shared" si="14"/>
        <v>#N/A</v>
      </c>
      <c r="X36" s="1813"/>
      <c r="Y36" s="3178"/>
      <c r="Z36" s="1814" t="str">
        <f t="shared" si="15"/>
        <v>成新度</v>
      </c>
      <c r="AA36" s="1811" t="e">
        <f t="shared" si="3"/>
        <v>#N/A</v>
      </c>
      <c r="AB36" s="1811" t="e">
        <f t="shared" si="4"/>
        <v>#N/A</v>
      </c>
      <c r="AC36" s="1811" t="e">
        <f t="shared" si="5"/>
        <v>#N/A</v>
      </c>
    </row>
    <row r="37" spans="1:29" s="116" customFormat="1" ht="15">
      <c r="A37" s="472"/>
      <c r="B37" s="421" t="s">
        <v>2657</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176"/>
      <c r="Q37" s="1795" t="str">
        <f t="shared" si="11"/>
        <v>市政基础设施</v>
      </c>
      <c r="R37" s="769" t="s">
        <v>17</v>
      </c>
      <c r="S37" s="770">
        <f t="shared" si="12"/>
        <v>100</v>
      </c>
      <c r="T37" s="769" t="s">
        <v>17</v>
      </c>
      <c r="U37" s="770">
        <f t="shared" si="13"/>
        <v>100</v>
      </c>
      <c r="V37" s="769" t="s">
        <v>17</v>
      </c>
      <c r="W37" s="770">
        <f t="shared" si="14"/>
        <v>100</v>
      </c>
      <c r="X37" s="771"/>
      <c r="Y37" s="3178"/>
      <c r="Z37" s="54" t="str">
        <f t="shared" si="15"/>
        <v>市政基础设施</v>
      </c>
      <c r="AA37" s="772">
        <f t="shared" si="3"/>
        <v>1</v>
      </c>
      <c r="AB37" s="772">
        <f t="shared" si="4"/>
        <v>1</v>
      </c>
      <c r="AC37" s="772">
        <f t="shared" si="5"/>
        <v>1</v>
      </c>
    </row>
    <row r="38" spans="1:29" ht="15">
      <c r="A38" s="471"/>
      <c r="B38" s="421" t="s">
        <v>2658</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176" t="s">
        <v>2559</v>
      </c>
      <c r="Q38" s="1810" t="str">
        <f t="shared" si="11"/>
        <v>业态</v>
      </c>
      <c r="R38" s="773" t="s">
        <v>17</v>
      </c>
      <c r="S38" s="774">
        <f t="shared" si="12"/>
        <v>100</v>
      </c>
      <c r="T38" s="773" t="s">
        <v>17</v>
      </c>
      <c r="U38" s="774">
        <f t="shared" si="13"/>
        <v>100</v>
      </c>
      <c r="V38" s="773" t="s">
        <v>17</v>
      </c>
      <c r="W38" s="774">
        <f t="shared" si="14"/>
        <v>100</v>
      </c>
      <c r="X38" s="1813"/>
      <c r="Y38" s="3178" t="s">
        <v>2559</v>
      </c>
      <c r="Z38" s="1814" t="str">
        <f t="shared" si="15"/>
        <v>业态</v>
      </c>
      <c r="AA38" s="1811">
        <f t="shared" si="3"/>
        <v>1</v>
      </c>
      <c r="AB38" s="1811">
        <f t="shared" si="4"/>
        <v>1</v>
      </c>
      <c r="AC38" s="1811">
        <f t="shared" si="5"/>
        <v>1</v>
      </c>
    </row>
    <row r="39" spans="1:29" ht="15">
      <c r="A39" s="471"/>
      <c r="B39" s="421" t="s">
        <v>2659</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176"/>
      <c r="Q39" s="1810" t="str">
        <f t="shared" si="11"/>
        <v>层高</v>
      </c>
      <c r="R39" s="773" t="s">
        <v>17</v>
      </c>
      <c r="S39" s="774">
        <f t="shared" si="12"/>
        <v>100</v>
      </c>
      <c r="T39" s="773" t="s">
        <v>17</v>
      </c>
      <c r="U39" s="774">
        <f t="shared" si="13"/>
        <v>100</v>
      </c>
      <c r="V39" s="773" t="s">
        <v>17</v>
      </c>
      <c r="W39" s="774">
        <f t="shared" si="14"/>
        <v>100</v>
      </c>
      <c r="X39" s="1813"/>
      <c r="Y39" s="3178"/>
      <c r="Z39" s="1814" t="str">
        <f t="shared" si="15"/>
        <v>层高</v>
      </c>
      <c r="AA39" s="1811">
        <f t="shared" si="3"/>
        <v>1</v>
      </c>
      <c r="AB39" s="1811">
        <f t="shared" si="4"/>
        <v>1</v>
      </c>
      <c r="AC39" s="1811">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76"/>
      <c r="Q40" s="1810" t="str">
        <f t="shared" si="11"/>
        <v>单套建筑面积</v>
      </c>
      <c r="R40" s="773" t="s">
        <v>17</v>
      </c>
      <c r="S40" s="774">
        <f t="shared" si="12"/>
        <v>100</v>
      </c>
      <c r="T40" s="773" t="s">
        <v>17</v>
      </c>
      <c r="U40" s="774">
        <f t="shared" si="13"/>
        <v>100</v>
      </c>
      <c r="V40" s="773" t="s">
        <v>17</v>
      </c>
      <c r="W40" s="774">
        <f t="shared" si="14"/>
        <v>100</v>
      </c>
      <c r="X40" s="1813"/>
      <c r="Y40" s="3178"/>
      <c r="Z40" s="1814" t="str">
        <f t="shared" si="15"/>
        <v>单套建筑面积</v>
      </c>
      <c r="AA40" s="1811">
        <f t="shared" si="3"/>
        <v>1</v>
      </c>
      <c r="AB40" s="1811">
        <f t="shared" si="4"/>
        <v>1</v>
      </c>
      <c r="AC40" s="1811">
        <f t="shared" si="5"/>
        <v>1</v>
      </c>
    </row>
    <row r="41" spans="1:29" s="470" customFormat="1" ht="15">
      <c r="A41" s="467"/>
      <c r="B41" s="1812"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76"/>
      <c r="Q41" s="775" t="str">
        <f t="shared" si="11"/>
        <v>进深比</v>
      </c>
      <c r="R41" s="776" t="s">
        <v>17</v>
      </c>
      <c r="S41" s="777">
        <f t="shared" si="12"/>
        <v>100</v>
      </c>
      <c r="T41" s="776" t="s">
        <v>17</v>
      </c>
      <c r="U41" s="777">
        <f t="shared" si="13"/>
        <v>100</v>
      </c>
      <c r="V41" s="776" t="s">
        <v>17</v>
      </c>
      <c r="W41" s="777">
        <f t="shared" si="14"/>
        <v>100</v>
      </c>
      <c r="X41" s="778"/>
      <c r="Y41" s="3178"/>
      <c r="Z41" s="779" t="str">
        <f t="shared" si="15"/>
        <v>进深比</v>
      </c>
      <c r="AA41" s="1811">
        <f t="shared" si="3"/>
        <v>1</v>
      </c>
      <c r="AB41" s="1811">
        <f t="shared" si="4"/>
        <v>1</v>
      </c>
      <c r="AC41" s="1811">
        <f t="shared" si="5"/>
        <v>1</v>
      </c>
    </row>
    <row r="42" spans="1:29" ht="15">
      <c r="A42" s="471"/>
      <c r="B42" s="421" t="s">
        <v>2662</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176"/>
      <c r="Q42" s="1810" t="str">
        <f t="shared" si="11"/>
        <v>内部装修</v>
      </c>
      <c r="R42" s="773" t="s">
        <v>17</v>
      </c>
      <c r="S42" s="774">
        <f t="shared" si="12"/>
        <v>100</v>
      </c>
      <c r="T42" s="773" t="s">
        <v>17</v>
      </c>
      <c r="U42" s="774">
        <f t="shared" si="13"/>
        <v>100</v>
      </c>
      <c r="V42" s="773" t="s">
        <v>17</v>
      </c>
      <c r="W42" s="774">
        <f t="shared" si="14"/>
        <v>100</v>
      </c>
      <c r="X42" s="1813"/>
      <c r="Y42" s="3178"/>
      <c r="Z42" s="1814" t="str">
        <f t="shared" si="15"/>
        <v>内部装修</v>
      </c>
      <c r="AA42" s="1811">
        <f t="shared" si="3"/>
        <v>1</v>
      </c>
      <c r="AB42" s="1811">
        <f t="shared" si="4"/>
        <v>1</v>
      </c>
      <c r="AC42" s="1811">
        <f t="shared" si="5"/>
        <v>1</v>
      </c>
    </row>
    <row r="43" spans="1:29" ht="15">
      <c r="A43" s="471"/>
      <c r="B43" s="421" t="s">
        <v>2570</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176"/>
      <c r="Q43" s="1810" t="str">
        <f t="shared" si="11"/>
        <v>内部装修维护情况</v>
      </c>
      <c r="R43" s="773" t="s">
        <v>17</v>
      </c>
      <c r="S43" s="774">
        <f t="shared" si="12"/>
        <v>100</v>
      </c>
      <c r="T43" s="773" t="s">
        <v>17</v>
      </c>
      <c r="U43" s="774">
        <f t="shared" si="13"/>
        <v>100</v>
      </c>
      <c r="V43" s="773" t="s">
        <v>17</v>
      </c>
      <c r="W43" s="774">
        <f t="shared" si="14"/>
        <v>100</v>
      </c>
      <c r="X43" s="1813"/>
      <c r="Y43" s="3178"/>
      <c r="Z43" s="1814" t="str">
        <f t="shared" si="15"/>
        <v>内部装修维护情况</v>
      </c>
      <c r="AA43" s="1811">
        <f t="shared" si="3"/>
        <v>1</v>
      </c>
      <c r="AB43" s="1811">
        <f t="shared" si="4"/>
        <v>1</v>
      </c>
      <c r="AC43" s="1811">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176"/>
      <c r="Q44" s="1795">
        <f t="shared" si="11"/>
        <v>111</v>
      </c>
      <c r="R44" s="769" t="s">
        <v>17</v>
      </c>
      <c r="S44" s="770">
        <f t="shared" si="12"/>
        <v>100</v>
      </c>
      <c r="T44" s="769" t="s">
        <v>17</v>
      </c>
      <c r="U44" s="770">
        <f t="shared" si="13"/>
        <v>100</v>
      </c>
      <c r="V44" s="769" t="s">
        <v>17</v>
      </c>
      <c r="W44" s="770">
        <f t="shared" si="14"/>
        <v>100</v>
      </c>
      <c r="X44" s="771"/>
      <c r="Y44" s="3178"/>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76"/>
      <c r="Q45" s="1810">
        <f t="shared" si="11"/>
        <v>111</v>
      </c>
      <c r="R45" s="773" t="s">
        <v>17</v>
      </c>
      <c r="S45" s="774">
        <f t="shared" si="12"/>
        <v>100</v>
      </c>
      <c r="T45" s="773" t="s">
        <v>17</v>
      </c>
      <c r="U45" s="774">
        <f t="shared" si="13"/>
        <v>100</v>
      </c>
      <c r="V45" s="773" t="s">
        <v>17</v>
      </c>
      <c r="W45" s="774">
        <f t="shared" si="14"/>
        <v>100</v>
      </c>
      <c r="X45" s="1813"/>
      <c r="Y45" s="3178"/>
      <c r="Z45" s="1814">
        <f t="shared" si="15"/>
        <v>111</v>
      </c>
      <c r="AA45" s="1811">
        <f t="shared" si="3"/>
        <v>1</v>
      </c>
      <c r="AB45" s="1811">
        <f t="shared" si="4"/>
        <v>1</v>
      </c>
      <c r="AC45" s="1811">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77"/>
      <c r="Q46" s="1810">
        <f t="shared" si="11"/>
        <v>111</v>
      </c>
      <c r="R46" s="773" t="s">
        <v>17</v>
      </c>
      <c r="S46" s="774">
        <f t="shared" si="12"/>
        <v>100</v>
      </c>
      <c r="T46" s="773" t="s">
        <v>17</v>
      </c>
      <c r="U46" s="774">
        <f t="shared" si="13"/>
        <v>100</v>
      </c>
      <c r="V46" s="773" t="s">
        <v>17</v>
      </c>
      <c r="W46" s="774">
        <f t="shared" si="14"/>
        <v>100</v>
      </c>
      <c r="X46" s="1813"/>
      <c r="Y46" s="3179"/>
      <c r="Z46" s="1814">
        <f t="shared" si="15"/>
        <v>111</v>
      </c>
      <c r="AA46" s="1811">
        <f t="shared" si="3"/>
        <v>1</v>
      </c>
      <c r="AB46" s="1811">
        <f t="shared" si="4"/>
        <v>1</v>
      </c>
      <c r="AC46" s="1811">
        <f t="shared" si="5"/>
        <v>1</v>
      </c>
    </row>
    <row r="47" spans="1:29" ht="15">
      <c r="A47" s="478" t="s">
        <v>2571</v>
      </c>
      <c r="B47" s="479"/>
      <c r="C47" s="1408" t="s">
        <v>1</v>
      </c>
      <c r="D47" s="1409"/>
      <c r="E47" s="1410"/>
      <c r="F47" s="1411"/>
      <c r="G47" s="1412"/>
      <c r="H47" s="1413"/>
      <c r="I47" s="1410"/>
      <c r="J47" s="1413"/>
      <c r="K47" s="782"/>
      <c r="L47" s="1144"/>
      <c r="M47" s="1145"/>
      <c r="N47" s="1132"/>
      <c r="O47" s="1145"/>
      <c r="P47" s="3171" t="str">
        <f>A47</f>
        <v>成交单价（元/平方米）</v>
      </c>
      <c r="Q47" s="3171"/>
      <c r="R47" s="3202">
        <f>E47</f>
        <v>0</v>
      </c>
      <c r="S47" s="3202"/>
      <c r="T47" s="3202">
        <f>G47</f>
        <v>0</v>
      </c>
      <c r="U47" s="3202"/>
      <c r="V47" s="3202">
        <f>I47</f>
        <v>0</v>
      </c>
      <c r="W47" s="3202"/>
      <c r="X47" s="758"/>
      <c r="Y47" s="780"/>
      <c r="Z47" s="758"/>
      <c r="AA47" s="758"/>
      <c r="AB47" s="758"/>
      <c r="AC47" s="758"/>
    </row>
    <row r="48" spans="1:29" ht="15.75" thickBot="1">
      <c r="A48" s="485" t="s">
        <v>2663</v>
      </c>
      <c r="B48" s="486"/>
      <c r="C48" s="1414" t="e">
        <f>R49</f>
        <v>#DIV/0!</v>
      </c>
      <c r="D48" s="1415"/>
      <c r="E48" s="1416" t="e">
        <f>R48</f>
        <v>#DIV/0!</v>
      </c>
      <c r="F48" s="1416"/>
      <c r="G48" s="1414" t="e">
        <f>T48</f>
        <v>#DIV/0!</v>
      </c>
      <c r="H48" s="1415"/>
      <c r="I48" s="1416" t="e">
        <f>V48</f>
        <v>#DIV/0!</v>
      </c>
      <c r="J48" s="1415"/>
      <c r="K48" s="783"/>
      <c r="L48" s="1144"/>
      <c r="M48" s="1145"/>
      <c r="N48" s="1132"/>
      <c r="O48" s="1145"/>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8"/>
      <c r="Y48" s="758"/>
      <c r="Z48" s="758"/>
      <c r="AA48" s="758"/>
      <c r="AB48" s="758"/>
      <c r="AC48" s="758"/>
    </row>
    <row r="49" spans="1:29" ht="15.75" thickBot="1">
      <c r="A49" s="491" t="s">
        <v>2664</v>
      </c>
      <c r="B49" s="492"/>
      <c r="C49" s="1418" t="e">
        <f>R49</f>
        <v>#DIV/0!</v>
      </c>
      <c r="D49" s="1418"/>
      <c r="E49" s="1418"/>
      <c r="F49" s="1418"/>
      <c r="G49" s="1418"/>
      <c r="H49" s="1418"/>
      <c r="I49" s="1418"/>
      <c r="J49" s="1418"/>
      <c r="K49" s="784"/>
      <c r="L49" s="1144"/>
      <c r="M49" s="1145"/>
      <c r="N49" s="1132"/>
      <c r="O49" s="1145"/>
      <c r="P49" s="3168" t="str">
        <f>A49</f>
        <v>估价对象XX用房的比较价值（楼面单价，元/平方米）</v>
      </c>
      <c r="Q49" s="3169"/>
      <c r="R49" s="3170" t="e">
        <f>IF(F1="售价",ROUND(AVERAGE(R48:V48),0),ROUND(AVERAGE(R48:V48),1))</f>
        <v>#DIV/0!</v>
      </c>
      <c r="S49" s="3170"/>
      <c r="T49" s="3170"/>
      <c r="U49" s="3170"/>
      <c r="V49" s="3170"/>
      <c r="W49" s="3170"/>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2542</v>
      </c>
      <c r="B58" s="505"/>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0"/>
    </row>
    <row r="59" spans="1:29" s="116" customFormat="1" ht="15">
      <c r="A59" s="508"/>
      <c r="B59" s="509"/>
      <c r="C59" s="1573">
        <v>100</v>
      </c>
      <c r="D59" s="511"/>
      <c r="E59" s="511"/>
      <c r="F59" s="511"/>
      <c r="G59" s="511"/>
      <c r="H59" s="511"/>
      <c r="I59" s="511"/>
      <c r="J59" s="511"/>
      <c r="K59" s="511"/>
      <c r="L59" s="511"/>
      <c r="M59" s="512"/>
      <c r="N59" s="511"/>
      <c r="O59" s="512"/>
      <c r="P59" s="2630"/>
    </row>
    <row r="60" spans="1:29" s="116" customFormat="1" ht="15.75" thickBot="1">
      <c r="A60" s="514" t="s">
        <v>2579</v>
      </c>
      <c r="B60" s="515"/>
      <c r="C60" s="516"/>
      <c r="D60" s="517"/>
      <c r="E60" s="517"/>
      <c r="F60" s="517"/>
      <c r="G60" s="517"/>
      <c r="H60" s="517"/>
      <c r="I60" s="517"/>
      <c r="J60" s="517"/>
      <c r="K60" s="517"/>
      <c r="L60" s="517"/>
      <c r="M60" s="518"/>
      <c r="N60" s="517"/>
      <c r="O60" s="518"/>
      <c r="P60" s="2630"/>
      <c r="Q60" s="503"/>
    </row>
    <row r="61" spans="1:29" s="116" customFormat="1" ht="15">
      <c r="A61" s="520" t="s">
        <v>2544</v>
      </c>
      <c r="B61" s="509"/>
      <c r="C61" s="521" t="s">
        <v>2646</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2582</v>
      </c>
      <c r="B63" s="527" t="s">
        <v>2548</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2649</v>
      </c>
      <c r="C82" s="659" t="s">
        <v>2669</v>
      </c>
      <c r="D82" s="659" t="s">
        <v>2670</v>
      </c>
      <c r="E82" s="659" t="s">
        <v>2671</v>
      </c>
      <c r="F82" s="659" t="s">
        <v>2672</v>
      </c>
      <c r="G82" s="659" t="s">
        <v>2673</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2674</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2557</v>
      </c>
      <c r="B100" s="527" t="s">
        <v>2675</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2610</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2612</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2676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2677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2678</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2679</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71" t="s">
        <v>2680</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IF(C2="——",ROUND(C50*D3/10000,0),ROUND(C50*D3/10000,0)-D2)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2639</v>
      </c>
      <c r="B4" s="401"/>
      <c r="C4" s="3186" t="s">
        <v>2640</v>
      </c>
      <c r="D4" s="3187"/>
      <c r="E4" s="3188" t="s">
        <v>2641</v>
      </c>
      <c r="F4" s="3189"/>
      <c r="G4" s="3186" t="s">
        <v>2642</v>
      </c>
      <c r="H4" s="3187"/>
      <c r="I4" s="3186" t="s">
        <v>2643</v>
      </c>
      <c r="J4" s="3187"/>
      <c r="K4" s="609" t="s">
        <v>2644</v>
      </c>
      <c r="L4" s="1131"/>
      <c r="M4" s="1132"/>
      <c r="N4" s="1132"/>
      <c r="O4" s="1132"/>
      <c r="P4" s="3220" t="s">
        <v>2645</v>
      </c>
      <c r="Q4" s="3221"/>
      <c r="R4" s="3224" t="s">
        <v>2641</v>
      </c>
      <c r="S4" s="3225"/>
      <c r="T4" s="3224" t="s">
        <v>2642</v>
      </c>
      <c r="U4" s="3225"/>
      <c r="V4" s="3226" t="s">
        <v>2643</v>
      </c>
      <c r="W4" s="3226"/>
      <c r="X4" s="2672"/>
      <c r="Y4" s="3224" t="s">
        <v>2645</v>
      </c>
      <c r="Z4" s="3225"/>
      <c r="AA4" s="3228" t="s">
        <v>2641</v>
      </c>
      <c r="AB4" s="3228" t="s">
        <v>2642</v>
      </c>
      <c r="AC4" s="3217" t="s">
        <v>2643</v>
      </c>
    </row>
    <row r="5" spans="1:29" ht="15">
      <c r="A5" s="403"/>
      <c r="B5" s="404"/>
      <c r="C5" s="3205" t="s">
        <v>2536</v>
      </c>
      <c r="D5" s="3206"/>
      <c r="E5" s="3212" t="s">
        <v>2537</v>
      </c>
      <c r="F5" s="3213"/>
      <c r="G5" s="3205" t="s">
        <v>2538</v>
      </c>
      <c r="H5" s="3206"/>
      <c r="I5" s="3205" t="s">
        <v>2539</v>
      </c>
      <c r="J5" s="3206"/>
      <c r="K5" s="609"/>
      <c r="L5" s="1131"/>
      <c r="M5" s="1132"/>
      <c r="N5" s="1132"/>
      <c r="O5" s="1132"/>
      <c r="P5" s="3222"/>
      <c r="Q5" s="3193"/>
      <c r="R5" s="3198"/>
      <c r="S5" s="3199"/>
      <c r="T5" s="3198"/>
      <c r="U5" s="3199"/>
      <c r="V5" s="3202"/>
      <c r="W5" s="3202"/>
      <c r="X5" s="1813"/>
      <c r="Y5" s="3198"/>
      <c r="Z5" s="3199"/>
      <c r="AA5" s="3184"/>
      <c r="AB5" s="3184"/>
      <c r="AC5" s="3218"/>
    </row>
    <row r="6" spans="1:29" ht="15.75" thickBot="1">
      <c r="A6" s="405"/>
      <c r="B6" s="406"/>
      <c r="C6" s="3203" t="s">
        <v>2540</v>
      </c>
      <c r="D6" s="3204"/>
      <c r="E6" s="3210" t="s">
        <v>2540</v>
      </c>
      <c r="F6" s="3211"/>
      <c r="G6" s="3203" t="s">
        <v>2540</v>
      </c>
      <c r="H6" s="3204"/>
      <c r="I6" s="3203" t="s">
        <v>2540</v>
      </c>
      <c r="J6" s="3204"/>
      <c r="K6" s="609" t="s">
        <v>2541</v>
      </c>
      <c r="L6" s="1131"/>
      <c r="M6" s="1132"/>
      <c r="N6" s="1132"/>
      <c r="O6" s="1132"/>
      <c r="P6" s="3223"/>
      <c r="Q6" s="3195"/>
      <c r="R6" s="3198"/>
      <c r="S6" s="3199"/>
      <c r="T6" s="3200"/>
      <c r="U6" s="3201"/>
      <c r="V6" s="3202"/>
      <c r="W6" s="3202"/>
      <c r="X6" s="1813"/>
      <c r="Y6" s="3200"/>
      <c r="Z6" s="3201"/>
      <c r="AA6" s="3185"/>
      <c r="AB6" s="3185"/>
      <c r="AC6" s="3219"/>
    </row>
    <row r="7" spans="1:29" s="116" customFormat="1" ht="15.75" thickBot="1">
      <c r="A7" s="407" t="s">
        <v>2542</v>
      </c>
      <c r="B7" s="408"/>
      <c r="C7" s="409">
        <f>'数据-取费表'!B2</f>
        <v>43488</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27" t="s">
        <v>2543</v>
      </c>
      <c r="Q7" s="3209"/>
      <c r="R7" s="769" t="s">
        <v>17</v>
      </c>
      <c r="S7" s="770">
        <f t="shared" ref="S7:S15" si="0">F7</f>
        <v>0</v>
      </c>
      <c r="T7" s="769" t="s">
        <v>17</v>
      </c>
      <c r="U7" s="770">
        <f t="shared" ref="U7:U15" si="1">H7</f>
        <v>0</v>
      </c>
      <c r="V7" s="769" t="s">
        <v>17</v>
      </c>
      <c r="W7" s="770">
        <f t="shared" ref="W7:W15" si="2">J7</f>
        <v>0</v>
      </c>
      <c r="X7" s="771"/>
      <c r="Y7" s="3207" t="s">
        <v>2543</v>
      </c>
      <c r="Z7" s="3208"/>
      <c r="AA7" s="772" t="e">
        <f>D7/F7</f>
        <v>#DIV/0!</v>
      </c>
      <c r="AB7" s="772" t="e">
        <f>D7/H7</f>
        <v>#DIV/0!</v>
      </c>
      <c r="AC7" s="2673"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27" t="s">
        <v>2546</v>
      </c>
      <c r="Q8" s="3208"/>
      <c r="R8" s="769" t="s">
        <v>17</v>
      </c>
      <c r="S8" s="770">
        <f t="shared" si="0"/>
        <v>0</v>
      </c>
      <c r="T8" s="769" t="s">
        <v>17</v>
      </c>
      <c r="U8" s="770">
        <f t="shared" si="1"/>
        <v>0</v>
      </c>
      <c r="V8" s="769" t="s">
        <v>17</v>
      </c>
      <c r="W8" s="770">
        <f t="shared" si="2"/>
        <v>0</v>
      </c>
      <c r="X8" s="771"/>
      <c r="Y8" s="3207" t="s">
        <v>2546</v>
      </c>
      <c r="Z8" s="3208"/>
      <c r="AA8" s="772" t="e">
        <f t="shared" ref="AA8:AA47" si="3">D8/F8</f>
        <v>#DIV/0!</v>
      </c>
      <c r="AB8" s="772" t="e">
        <f t="shared" ref="AB8:AB47" si="4">D8/H8</f>
        <v>#DIV/0!</v>
      </c>
      <c r="AC8" s="2673"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82" t="s">
        <v>2549</v>
      </c>
      <c r="Q9" s="1795"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2673">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82"/>
      <c r="Q10" s="1795"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2673">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82"/>
      <c r="Q11" s="1795" t="str">
        <f t="shared" si="6"/>
        <v>容积率</v>
      </c>
      <c r="R11" s="769" t="s">
        <v>17</v>
      </c>
      <c r="S11" s="770" t="e">
        <f t="shared" si="0"/>
        <v>#N/A</v>
      </c>
      <c r="T11" s="769" t="s">
        <v>17</v>
      </c>
      <c r="U11" s="770" t="e">
        <f t="shared" si="1"/>
        <v>#N/A</v>
      </c>
      <c r="V11" s="769" t="s">
        <v>17</v>
      </c>
      <c r="W11" s="770" t="e">
        <f t="shared" si="2"/>
        <v>#N/A</v>
      </c>
      <c r="X11" s="771"/>
      <c r="Y11" s="2997"/>
      <c r="Z11" s="54"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182"/>
      <c r="Q12" s="1795">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182"/>
      <c r="Q13" s="1795">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182"/>
      <c r="Q14" s="1795">
        <f t="shared" si="6"/>
        <v>111</v>
      </c>
      <c r="R14" s="769" t="s">
        <v>17</v>
      </c>
      <c r="S14" s="770">
        <f t="shared" si="0"/>
        <v>100</v>
      </c>
      <c r="T14" s="769" t="s">
        <v>17</v>
      </c>
      <c r="U14" s="770">
        <f t="shared" si="1"/>
        <v>100</v>
      </c>
      <c r="V14" s="769" t="s">
        <v>17</v>
      </c>
      <c r="W14" s="770">
        <f t="shared" si="2"/>
        <v>100</v>
      </c>
      <c r="X14" s="771"/>
      <c r="Y14" s="2997"/>
      <c r="Z14" s="54">
        <f t="shared" si="7"/>
        <v>111</v>
      </c>
      <c r="AA14" s="772">
        <f t="shared" si="3"/>
        <v>1</v>
      </c>
      <c r="AB14" s="772">
        <f t="shared" si="4"/>
        <v>1</v>
      </c>
      <c r="AC14" s="2673">
        <f t="shared" si="5"/>
        <v>1</v>
      </c>
    </row>
    <row r="15" spans="1:29" ht="71.25">
      <c r="A15" s="439" t="s">
        <v>2553</v>
      </c>
      <c r="B15" s="628" t="s">
        <v>2681</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180" t="s">
        <v>2554</v>
      </c>
      <c r="Q15" s="1810" t="str">
        <f t="shared" si="6"/>
        <v>办公集聚程度</v>
      </c>
      <c r="R15" s="773" t="s">
        <v>17</v>
      </c>
      <c r="S15" s="774">
        <f t="shared" si="0"/>
        <v>100</v>
      </c>
      <c r="T15" s="773" t="s">
        <v>17</v>
      </c>
      <c r="U15" s="774">
        <f t="shared" si="1"/>
        <v>100</v>
      </c>
      <c r="V15" s="773" t="s">
        <v>17</v>
      </c>
      <c r="W15" s="774">
        <f t="shared" si="2"/>
        <v>100</v>
      </c>
      <c r="X15" s="1813"/>
      <c r="Y15" s="3173" t="s">
        <v>2554</v>
      </c>
      <c r="Z15" s="1814" t="str">
        <f t="shared" si="7"/>
        <v>办公集聚程度</v>
      </c>
      <c r="AA15" s="1811">
        <f t="shared" si="3"/>
        <v>1</v>
      </c>
      <c r="AB15" s="1811">
        <f t="shared" si="4"/>
        <v>1</v>
      </c>
      <c r="AC15" s="2676">
        <f t="shared" si="5"/>
        <v>1</v>
      </c>
    </row>
    <row r="16" spans="1:29" ht="15">
      <c r="A16" s="427"/>
      <c r="B16" s="629"/>
      <c r="C16" s="2613"/>
      <c r="D16" s="447"/>
      <c r="E16" s="446"/>
      <c r="F16" s="447"/>
      <c r="G16" s="2613"/>
      <c r="H16" s="449"/>
      <c r="I16" s="446"/>
      <c r="J16" s="447"/>
      <c r="K16" s="614"/>
      <c r="L16" s="1141"/>
      <c r="M16" s="1132"/>
      <c r="N16" s="1132"/>
      <c r="O16" s="1132"/>
      <c r="P16" s="3181"/>
      <c r="Q16" s="1810"/>
      <c r="R16" s="773"/>
      <c r="S16" s="774"/>
      <c r="T16" s="773"/>
      <c r="U16" s="774"/>
      <c r="V16" s="773"/>
      <c r="W16" s="774"/>
      <c r="X16" s="1813"/>
      <c r="Y16" s="3174"/>
      <c r="Z16" s="1814"/>
      <c r="AA16" s="1811">
        <v>1</v>
      </c>
      <c r="AB16" s="1811">
        <v>1</v>
      </c>
      <c r="AC16" s="2676">
        <v>1</v>
      </c>
    </row>
    <row r="17" spans="1:29" ht="71.25">
      <c r="A17" s="427"/>
      <c r="B17" s="630" t="s">
        <v>2090</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181"/>
      <c r="Q17" s="1810" t="str">
        <f>B17</f>
        <v>交通便捷度</v>
      </c>
      <c r="R17" s="773" t="s">
        <v>17</v>
      </c>
      <c r="S17" s="774">
        <f>F17</f>
        <v>100</v>
      </c>
      <c r="T17" s="773" t="s">
        <v>17</v>
      </c>
      <c r="U17" s="774">
        <f>H17</f>
        <v>100</v>
      </c>
      <c r="V17" s="773" t="s">
        <v>17</v>
      </c>
      <c r="W17" s="774">
        <f>J17</f>
        <v>100</v>
      </c>
      <c r="X17" s="1813"/>
      <c r="Y17" s="3174"/>
      <c r="Z17" s="1814" t="str">
        <f>Q17</f>
        <v>交通便捷度</v>
      </c>
      <c r="AA17" s="1811">
        <f t="shared" si="3"/>
        <v>1</v>
      </c>
      <c r="AB17" s="1811">
        <f t="shared" si="4"/>
        <v>1</v>
      </c>
      <c r="AC17" s="2676">
        <f t="shared" si="5"/>
        <v>1</v>
      </c>
    </row>
    <row r="18" spans="1:29" ht="15">
      <c r="A18" s="427"/>
      <c r="B18" s="631"/>
      <c r="C18" s="2678"/>
      <c r="D18" s="449"/>
      <c r="E18" s="2611"/>
      <c r="F18" s="449"/>
      <c r="G18" s="2612"/>
      <c r="H18" s="447"/>
      <c r="I18" s="2612"/>
      <c r="J18" s="447"/>
      <c r="K18" s="614"/>
      <c r="L18" s="1141"/>
      <c r="M18" s="1132"/>
      <c r="N18" s="1132"/>
      <c r="O18" s="1132"/>
      <c r="P18" s="3181"/>
      <c r="Q18" s="1810"/>
      <c r="R18" s="773"/>
      <c r="S18" s="774"/>
      <c r="T18" s="773"/>
      <c r="U18" s="774"/>
      <c r="V18" s="773"/>
      <c r="W18" s="774"/>
      <c r="X18" s="1813"/>
      <c r="Y18" s="3174"/>
      <c r="Z18" s="1814"/>
      <c r="AA18" s="1811">
        <v>1</v>
      </c>
      <c r="AB18" s="1811">
        <v>1</v>
      </c>
      <c r="AC18" s="2676">
        <v>1</v>
      </c>
    </row>
    <row r="19" spans="1:29" ht="42.75">
      <c r="A19" s="427"/>
      <c r="B19" s="630" t="s">
        <v>2682</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181"/>
      <c r="Q19" s="1810" t="str">
        <f>B19</f>
        <v>公共配套设施</v>
      </c>
      <c r="R19" s="773" t="s">
        <v>17</v>
      </c>
      <c r="S19" s="774">
        <f>F19</f>
        <v>100</v>
      </c>
      <c r="T19" s="773" t="s">
        <v>17</v>
      </c>
      <c r="U19" s="774">
        <f>H19</f>
        <v>100</v>
      </c>
      <c r="V19" s="773" t="s">
        <v>17</v>
      </c>
      <c r="W19" s="774">
        <f>J19</f>
        <v>100</v>
      </c>
      <c r="X19" s="1813"/>
      <c r="Y19" s="3174"/>
      <c r="Z19" s="1814" t="str">
        <f>Q19</f>
        <v>公共配套设施</v>
      </c>
      <c r="AA19" s="1811">
        <f t="shared" si="3"/>
        <v>1</v>
      </c>
      <c r="AB19" s="1811">
        <f t="shared" si="4"/>
        <v>1</v>
      </c>
      <c r="AC19" s="2676">
        <f t="shared" si="5"/>
        <v>1</v>
      </c>
    </row>
    <row r="20" spans="1:29" ht="15">
      <c r="A20" s="427"/>
      <c r="B20" s="631"/>
      <c r="C20" s="2613"/>
      <c r="D20" s="447"/>
      <c r="E20" s="2606"/>
      <c r="F20" s="447"/>
      <c r="G20" s="2607"/>
      <c r="H20" s="447"/>
      <c r="I20" s="2607"/>
      <c r="J20" s="447"/>
      <c r="K20" s="614"/>
      <c r="L20" s="1141"/>
      <c r="M20" s="1132"/>
      <c r="N20" s="1132"/>
      <c r="O20" s="1132"/>
      <c r="P20" s="3181"/>
      <c r="Q20" s="1810"/>
      <c r="R20" s="773"/>
      <c r="S20" s="774"/>
      <c r="T20" s="773"/>
      <c r="U20" s="774"/>
      <c r="V20" s="773"/>
      <c r="W20" s="774"/>
      <c r="X20" s="1813"/>
      <c r="Y20" s="3174"/>
      <c r="Z20" s="1814"/>
      <c r="AA20" s="1811">
        <v>1</v>
      </c>
      <c r="AB20" s="1811">
        <v>1</v>
      </c>
      <c r="AC20" s="2676">
        <v>1</v>
      </c>
    </row>
    <row r="21" spans="1:29" ht="28.5">
      <c r="A21" s="427"/>
      <c r="B21" s="632" t="s">
        <v>2683</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181"/>
      <c r="Q21" s="1810" t="str">
        <f>B21</f>
        <v>基础设施水平</v>
      </c>
      <c r="R21" s="773" t="s">
        <v>17</v>
      </c>
      <c r="S21" s="774">
        <f>F21</f>
        <v>100</v>
      </c>
      <c r="T21" s="773" t="s">
        <v>17</v>
      </c>
      <c r="U21" s="774">
        <f>H21</f>
        <v>100</v>
      </c>
      <c r="V21" s="773" t="s">
        <v>17</v>
      </c>
      <c r="W21" s="774">
        <f>J21</f>
        <v>100</v>
      </c>
      <c r="X21" s="1813"/>
      <c r="Y21" s="3174"/>
      <c r="Z21" s="1814" t="str">
        <f>Q21</f>
        <v>基础设施水平</v>
      </c>
      <c r="AA21" s="1811">
        <f t="shared" ref="AA21" si="8">D21/F21</f>
        <v>1</v>
      </c>
      <c r="AB21" s="1811">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181"/>
      <c r="Q22" s="1810"/>
      <c r="R22" s="773"/>
      <c r="S22" s="774"/>
      <c r="T22" s="773"/>
      <c r="U22" s="774"/>
      <c r="V22" s="773"/>
      <c r="W22" s="774"/>
      <c r="X22" s="1813"/>
      <c r="Y22" s="3174"/>
      <c r="Z22" s="1814"/>
      <c r="AA22" s="1811">
        <v>1</v>
      </c>
      <c r="AB22" s="1811">
        <v>1</v>
      </c>
      <c r="AC22" s="2676">
        <v>1</v>
      </c>
    </row>
    <row r="23" spans="1:29" ht="42.75">
      <c r="A23" s="427"/>
      <c r="B23" s="630" t="s">
        <v>2684</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181"/>
      <c r="Q23" s="1810" t="str">
        <f>B23</f>
        <v>环境质量</v>
      </c>
      <c r="R23" s="773" t="s">
        <v>17</v>
      </c>
      <c r="S23" s="774">
        <f>F23</f>
        <v>100</v>
      </c>
      <c r="T23" s="773" t="s">
        <v>17</v>
      </c>
      <c r="U23" s="774">
        <f>H23</f>
        <v>100</v>
      </c>
      <c r="V23" s="773" t="s">
        <v>17</v>
      </c>
      <c r="W23" s="774">
        <f>J23</f>
        <v>100</v>
      </c>
      <c r="X23" s="1813"/>
      <c r="Y23" s="3174"/>
      <c r="Z23" s="1814" t="str">
        <f>Q23</f>
        <v>环境质量</v>
      </c>
      <c r="AA23" s="1811">
        <f t="shared" si="3"/>
        <v>1</v>
      </c>
      <c r="AB23" s="1811">
        <f t="shared" si="4"/>
        <v>1</v>
      </c>
      <c r="AC23" s="2676">
        <f t="shared" si="5"/>
        <v>1</v>
      </c>
    </row>
    <row r="24" spans="1:29" ht="15">
      <c r="A24" s="427"/>
      <c r="B24" s="632"/>
      <c r="C24" s="2613"/>
      <c r="D24" s="447"/>
      <c r="E24" s="2606"/>
      <c r="F24" s="447"/>
      <c r="G24" s="2607"/>
      <c r="H24" s="447"/>
      <c r="I24" s="2607"/>
      <c r="J24" s="447"/>
      <c r="K24" s="614"/>
      <c r="L24" s="1141"/>
      <c r="M24" s="1132"/>
      <c r="N24" s="1132"/>
      <c r="O24" s="1132"/>
      <c r="P24" s="3181"/>
      <c r="Q24" s="1810"/>
      <c r="R24" s="773"/>
      <c r="S24" s="774"/>
      <c r="T24" s="773"/>
      <c r="U24" s="774"/>
      <c r="V24" s="773"/>
      <c r="W24" s="774"/>
      <c r="X24" s="1813"/>
      <c r="Y24" s="3174"/>
      <c r="Z24" s="1814"/>
      <c r="AA24" s="1811">
        <v>1</v>
      </c>
      <c r="AB24" s="1811">
        <v>1</v>
      </c>
      <c r="AC24" s="2676">
        <v>1</v>
      </c>
    </row>
    <row r="25" spans="1:29" ht="27">
      <c r="A25" s="403"/>
      <c r="B25" s="630" t="s">
        <v>2685</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181"/>
      <c r="Q25" s="1810" t="str">
        <f>B25</f>
        <v>毗邻道路的类型与等级</v>
      </c>
      <c r="R25" s="773" t="s">
        <v>17</v>
      </c>
      <c r="S25" s="774">
        <f>F25</f>
        <v>100</v>
      </c>
      <c r="T25" s="773" t="s">
        <v>17</v>
      </c>
      <c r="U25" s="774">
        <f>H25</f>
        <v>100</v>
      </c>
      <c r="V25" s="773" t="s">
        <v>17</v>
      </c>
      <c r="W25" s="774">
        <f>J25</f>
        <v>100</v>
      </c>
      <c r="X25" s="1813"/>
      <c r="Y25" s="3174"/>
      <c r="Z25" s="1814" t="str">
        <f>Q25</f>
        <v>毗邻道路的类型与等级</v>
      </c>
      <c r="AA25" s="1811">
        <f t="shared" si="3"/>
        <v>1</v>
      </c>
      <c r="AB25" s="1811">
        <f t="shared" si="4"/>
        <v>1</v>
      </c>
      <c r="AC25" s="2676">
        <f t="shared" si="5"/>
        <v>1</v>
      </c>
    </row>
    <row r="26" spans="1:29" ht="15">
      <c r="A26" s="403"/>
      <c r="B26" s="631"/>
      <c r="C26" s="633"/>
      <c r="D26" s="434"/>
      <c r="E26" s="615"/>
      <c r="F26" s="434"/>
      <c r="G26" s="633"/>
      <c r="H26" s="434"/>
      <c r="I26" s="615"/>
      <c r="J26" s="434"/>
      <c r="K26" s="614"/>
      <c r="L26" s="1141"/>
      <c r="M26" s="1132"/>
      <c r="N26" s="1132"/>
      <c r="O26" s="1132"/>
      <c r="P26" s="3181"/>
      <c r="Q26" s="1810"/>
      <c r="R26" s="773"/>
      <c r="S26" s="774"/>
      <c r="T26" s="773"/>
      <c r="U26" s="774"/>
      <c r="V26" s="773"/>
      <c r="W26" s="774"/>
      <c r="X26" s="1813"/>
      <c r="Y26" s="3174"/>
      <c r="Z26" s="1814"/>
      <c r="AA26" s="1811">
        <v>1</v>
      </c>
      <c r="AB26" s="1811">
        <v>1</v>
      </c>
      <c r="AC26" s="2676">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181"/>
      <c r="Q27" s="1810" t="str">
        <f t="shared" ref="Q27:Q47" si="11">B27</f>
        <v>楼层</v>
      </c>
      <c r="R27" s="773" t="s">
        <v>17</v>
      </c>
      <c r="S27" s="774">
        <f>F27</f>
        <v>100</v>
      </c>
      <c r="T27" s="773" t="s">
        <v>17</v>
      </c>
      <c r="U27" s="774">
        <f>H27</f>
        <v>100</v>
      </c>
      <c r="V27" s="773" t="s">
        <v>17</v>
      </c>
      <c r="W27" s="774">
        <f>J27</f>
        <v>100</v>
      </c>
      <c r="X27" s="1813"/>
      <c r="Y27" s="3174"/>
      <c r="Z27" s="1814" t="str">
        <f>Q27</f>
        <v>楼层</v>
      </c>
      <c r="AA27" s="1811">
        <f t="shared" si="3"/>
        <v>1</v>
      </c>
      <c r="AB27" s="1811">
        <f t="shared" si="4"/>
        <v>1</v>
      </c>
      <c r="AC27" s="2676">
        <f t="shared" si="5"/>
        <v>1</v>
      </c>
    </row>
    <row r="28" spans="1:29" s="116" customFormat="1" ht="15">
      <c r="A28" s="430"/>
      <c r="B28" s="630" t="s">
        <v>2686</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181"/>
      <c r="Q28" s="1795" t="str">
        <f t="shared" si="11"/>
        <v>朝向</v>
      </c>
      <c r="R28" s="769" t="s">
        <v>17</v>
      </c>
      <c r="S28" s="770">
        <f>F28</f>
        <v>100</v>
      </c>
      <c r="T28" s="769" t="s">
        <v>17</v>
      </c>
      <c r="U28" s="770">
        <f>H28</f>
        <v>100</v>
      </c>
      <c r="V28" s="769" t="s">
        <v>17</v>
      </c>
      <c r="W28" s="770">
        <f>J28</f>
        <v>100</v>
      </c>
      <c r="X28" s="771"/>
      <c r="Y28" s="3174"/>
      <c r="Z28" s="54" t="str">
        <f>Q28</f>
        <v>朝向</v>
      </c>
      <c r="AA28" s="1811">
        <f>D28/F28</f>
        <v>1</v>
      </c>
      <c r="AB28" s="1811">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181"/>
      <c r="Q29" s="1810">
        <f t="shared" si="11"/>
        <v>111</v>
      </c>
      <c r="R29" s="773" t="s">
        <v>17</v>
      </c>
      <c r="S29" s="774">
        <f t="shared" ref="S29:S47" si="12">F29</f>
        <v>100</v>
      </c>
      <c r="T29" s="773" t="s">
        <v>17</v>
      </c>
      <c r="U29" s="774">
        <f t="shared" ref="U29:U47" si="13">H29</f>
        <v>100</v>
      </c>
      <c r="V29" s="773" t="s">
        <v>17</v>
      </c>
      <c r="W29" s="774">
        <f t="shared" ref="W29:W47" si="14">J29</f>
        <v>100</v>
      </c>
      <c r="X29" s="1813"/>
      <c r="Y29" s="3174"/>
      <c r="Z29" s="1814">
        <f t="shared" ref="Z29:Z47" si="15">Q29</f>
        <v>111</v>
      </c>
      <c r="AA29" s="1811">
        <f t="shared" si="3"/>
        <v>1</v>
      </c>
      <c r="AB29" s="1811">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181"/>
      <c r="Q30" s="1810">
        <f t="shared" si="11"/>
        <v>111</v>
      </c>
      <c r="R30" s="773" t="s">
        <v>17</v>
      </c>
      <c r="S30" s="774">
        <f t="shared" si="12"/>
        <v>100</v>
      </c>
      <c r="T30" s="773" t="s">
        <v>17</v>
      </c>
      <c r="U30" s="774">
        <f t="shared" si="13"/>
        <v>100</v>
      </c>
      <c r="V30" s="773" t="s">
        <v>17</v>
      </c>
      <c r="W30" s="774">
        <f t="shared" si="14"/>
        <v>100</v>
      </c>
      <c r="X30" s="1813"/>
      <c r="Y30" s="3174"/>
      <c r="Z30" s="1814">
        <f t="shared" si="15"/>
        <v>111</v>
      </c>
      <c r="AA30" s="1811">
        <f t="shared" si="3"/>
        <v>1</v>
      </c>
      <c r="AB30" s="1811">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181"/>
      <c r="Q31" s="1810">
        <f t="shared" si="11"/>
        <v>111</v>
      </c>
      <c r="R31" s="773" t="s">
        <v>17</v>
      </c>
      <c r="S31" s="774">
        <f t="shared" si="12"/>
        <v>100</v>
      </c>
      <c r="T31" s="773" t="s">
        <v>17</v>
      </c>
      <c r="U31" s="774">
        <f t="shared" si="13"/>
        <v>100</v>
      </c>
      <c r="V31" s="773" t="s">
        <v>17</v>
      </c>
      <c r="W31" s="774">
        <f t="shared" si="14"/>
        <v>100</v>
      </c>
      <c r="X31" s="1813"/>
      <c r="Y31" s="3174"/>
      <c r="Z31" s="1814">
        <f t="shared" si="15"/>
        <v>111</v>
      </c>
      <c r="AA31" s="1811">
        <f t="shared" si="3"/>
        <v>1</v>
      </c>
      <c r="AB31" s="1811">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181"/>
      <c r="Q32" s="1810">
        <f t="shared" si="11"/>
        <v>111</v>
      </c>
      <c r="R32" s="773" t="s">
        <v>17</v>
      </c>
      <c r="S32" s="774">
        <f t="shared" si="12"/>
        <v>100</v>
      </c>
      <c r="T32" s="773" t="s">
        <v>17</v>
      </c>
      <c r="U32" s="774">
        <f t="shared" si="13"/>
        <v>100</v>
      </c>
      <c r="V32" s="773" t="s">
        <v>17</v>
      </c>
      <c r="W32" s="774">
        <f t="shared" si="14"/>
        <v>100</v>
      </c>
      <c r="X32" s="1813"/>
      <c r="Y32" s="3174"/>
      <c r="Z32" s="1814">
        <f t="shared" si="15"/>
        <v>111</v>
      </c>
      <c r="AA32" s="1811">
        <f t="shared" si="3"/>
        <v>1</v>
      </c>
      <c r="AB32" s="1811">
        <f t="shared" si="4"/>
        <v>1</v>
      </c>
      <c r="AC32" s="2676">
        <f t="shared" si="5"/>
        <v>1</v>
      </c>
    </row>
    <row r="33" spans="1:29" ht="15">
      <c r="A33" s="439" t="s">
        <v>2557</v>
      </c>
      <c r="B33" s="70" t="s">
        <v>2687</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175" t="s">
        <v>2559</v>
      </c>
      <c r="Q33" s="1810" t="str">
        <f t="shared" si="11"/>
        <v>建筑类型</v>
      </c>
      <c r="R33" s="773" t="s">
        <v>17</v>
      </c>
      <c r="S33" s="774">
        <f t="shared" si="12"/>
        <v>100</v>
      </c>
      <c r="T33" s="773" t="s">
        <v>17</v>
      </c>
      <c r="U33" s="774">
        <f t="shared" si="13"/>
        <v>100</v>
      </c>
      <c r="V33" s="773" t="s">
        <v>17</v>
      </c>
      <c r="W33" s="774">
        <f t="shared" si="14"/>
        <v>100</v>
      </c>
      <c r="X33" s="1813"/>
      <c r="Y33" s="3178" t="s">
        <v>2559</v>
      </c>
      <c r="Z33" s="1814" t="str">
        <f t="shared" si="15"/>
        <v>建筑类型</v>
      </c>
      <c r="AA33" s="1811">
        <f t="shared" si="3"/>
        <v>1</v>
      </c>
      <c r="AB33" s="1811">
        <f t="shared" si="4"/>
        <v>1</v>
      </c>
      <c r="AC33" s="2676">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176"/>
      <c r="Q34" s="775" t="str">
        <f t="shared" si="11"/>
        <v>项目建筑规模</v>
      </c>
      <c r="R34" s="776" t="s">
        <v>17</v>
      </c>
      <c r="S34" s="777" t="e">
        <f t="shared" si="12"/>
        <v>#N/A</v>
      </c>
      <c r="T34" s="776" t="s">
        <v>17</v>
      </c>
      <c r="U34" s="777" t="e">
        <f t="shared" si="13"/>
        <v>#N/A</v>
      </c>
      <c r="V34" s="776" t="s">
        <v>17</v>
      </c>
      <c r="W34" s="777" t="e">
        <f t="shared" si="14"/>
        <v>#N/A</v>
      </c>
      <c r="X34" s="778"/>
      <c r="Y34" s="3178"/>
      <c r="Z34" s="779" t="str">
        <f t="shared" si="15"/>
        <v>项目建筑规模</v>
      </c>
      <c r="AA34" s="1811" t="e">
        <f t="shared" si="3"/>
        <v>#N/A</v>
      </c>
      <c r="AB34" s="1811" t="e">
        <f t="shared" si="4"/>
        <v>#N/A</v>
      </c>
      <c r="AC34" s="2676"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176"/>
      <c r="Q35" s="1810" t="str">
        <f t="shared" si="11"/>
        <v>建筑结构</v>
      </c>
      <c r="R35" s="773" t="s">
        <v>17</v>
      </c>
      <c r="S35" s="774">
        <f t="shared" si="12"/>
        <v>100</v>
      </c>
      <c r="T35" s="773" t="s">
        <v>17</v>
      </c>
      <c r="U35" s="774">
        <f t="shared" si="13"/>
        <v>100</v>
      </c>
      <c r="V35" s="773" t="s">
        <v>17</v>
      </c>
      <c r="W35" s="774">
        <f t="shared" si="14"/>
        <v>100</v>
      </c>
      <c r="X35" s="1813"/>
      <c r="Y35" s="3178"/>
      <c r="Z35" s="1814" t="str">
        <f t="shared" si="15"/>
        <v>建筑结构</v>
      </c>
      <c r="AA35" s="1811">
        <f t="shared" si="3"/>
        <v>1</v>
      </c>
      <c r="AB35" s="1811">
        <f t="shared" si="4"/>
        <v>1</v>
      </c>
      <c r="AC35" s="2676">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176"/>
      <c r="Q36" s="1810" t="str">
        <f t="shared" si="11"/>
        <v>公共部分装修</v>
      </c>
      <c r="R36" s="773" t="s">
        <v>17</v>
      </c>
      <c r="S36" s="774">
        <f t="shared" si="12"/>
        <v>100</v>
      </c>
      <c r="T36" s="773" t="s">
        <v>17</v>
      </c>
      <c r="U36" s="774">
        <f t="shared" si="13"/>
        <v>100</v>
      </c>
      <c r="V36" s="773" t="s">
        <v>17</v>
      </c>
      <c r="W36" s="774">
        <f t="shared" si="14"/>
        <v>100</v>
      </c>
      <c r="X36" s="1813"/>
      <c r="Y36" s="3178"/>
      <c r="Z36" s="1814" t="str">
        <f t="shared" si="15"/>
        <v>公共部分装修</v>
      </c>
      <c r="AA36" s="1811">
        <f t="shared" si="3"/>
        <v>1</v>
      </c>
      <c r="AB36" s="1811">
        <f t="shared" si="4"/>
        <v>1</v>
      </c>
      <c r="AC36" s="2676">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176"/>
      <c r="Q37" s="1810" t="str">
        <f t="shared" si="11"/>
        <v>成新度</v>
      </c>
      <c r="R37" s="773" t="s">
        <v>17</v>
      </c>
      <c r="S37" s="774" t="e">
        <f t="shared" si="12"/>
        <v>#N/A</v>
      </c>
      <c r="T37" s="773" t="s">
        <v>17</v>
      </c>
      <c r="U37" s="774" t="e">
        <f t="shared" si="13"/>
        <v>#N/A</v>
      </c>
      <c r="V37" s="773" t="s">
        <v>17</v>
      </c>
      <c r="W37" s="774" t="e">
        <f t="shared" si="14"/>
        <v>#N/A</v>
      </c>
      <c r="X37" s="1813"/>
      <c r="Y37" s="3178"/>
      <c r="Z37" s="1814" t="str">
        <f t="shared" si="15"/>
        <v>成新度</v>
      </c>
      <c r="AA37" s="1811" t="e">
        <f t="shared" si="3"/>
        <v>#N/A</v>
      </c>
      <c r="AB37" s="1811" t="e">
        <f t="shared" si="4"/>
        <v>#N/A</v>
      </c>
      <c r="AC37" s="2676"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176"/>
      <c r="Q38" s="1795" t="str">
        <f t="shared" si="11"/>
        <v>写字楼等级</v>
      </c>
      <c r="R38" s="769" t="s">
        <v>17</v>
      </c>
      <c r="S38" s="770">
        <f t="shared" si="12"/>
        <v>100</v>
      </c>
      <c r="T38" s="769" t="s">
        <v>17</v>
      </c>
      <c r="U38" s="770">
        <f t="shared" si="13"/>
        <v>100</v>
      </c>
      <c r="V38" s="769" t="s">
        <v>17</v>
      </c>
      <c r="W38" s="770">
        <f t="shared" si="14"/>
        <v>100</v>
      </c>
      <c r="X38" s="771"/>
      <c r="Y38" s="3178"/>
      <c r="Z38" s="54" t="str">
        <f t="shared" si="15"/>
        <v>写字楼等级</v>
      </c>
      <c r="AA38" s="772">
        <f t="shared" si="3"/>
        <v>1</v>
      </c>
      <c r="AB38" s="772">
        <f t="shared" si="4"/>
        <v>1</v>
      </c>
      <c r="AC38" s="2673">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176" t="s">
        <v>2559</v>
      </c>
      <c r="Q39" s="1810" t="str">
        <f t="shared" si="11"/>
        <v>物业管理</v>
      </c>
      <c r="R39" s="773" t="s">
        <v>17</v>
      </c>
      <c r="S39" s="774">
        <f t="shared" si="12"/>
        <v>100</v>
      </c>
      <c r="T39" s="773" t="s">
        <v>17</v>
      </c>
      <c r="U39" s="774">
        <f t="shared" si="13"/>
        <v>100</v>
      </c>
      <c r="V39" s="773" t="s">
        <v>17</v>
      </c>
      <c r="W39" s="774">
        <f t="shared" si="14"/>
        <v>100</v>
      </c>
      <c r="X39" s="1813"/>
      <c r="Y39" s="3178" t="s">
        <v>2559</v>
      </c>
      <c r="Z39" s="1814" t="str">
        <f t="shared" si="15"/>
        <v>物业管理</v>
      </c>
      <c r="AA39" s="1811">
        <f t="shared" si="3"/>
        <v>1</v>
      </c>
      <c r="AB39" s="1811">
        <f t="shared" si="4"/>
        <v>1</v>
      </c>
      <c r="AC39" s="2676">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176"/>
      <c r="Q40" s="1810" t="str">
        <f t="shared" si="11"/>
        <v>市政基础设施</v>
      </c>
      <c r="R40" s="773" t="s">
        <v>17</v>
      </c>
      <c r="S40" s="774">
        <f t="shared" si="12"/>
        <v>100</v>
      </c>
      <c r="T40" s="773" t="s">
        <v>17</v>
      </c>
      <c r="U40" s="774">
        <f t="shared" si="13"/>
        <v>100</v>
      </c>
      <c r="V40" s="773" t="s">
        <v>17</v>
      </c>
      <c r="W40" s="774">
        <f t="shared" si="14"/>
        <v>100</v>
      </c>
      <c r="X40" s="1813"/>
      <c r="Y40" s="3178"/>
      <c r="Z40" s="1814" t="str">
        <f t="shared" si="15"/>
        <v>市政基础设施</v>
      </c>
      <c r="AA40" s="1811">
        <f t="shared" si="3"/>
        <v>1</v>
      </c>
      <c r="AB40" s="1811">
        <f t="shared" si="4"/>
        <v>1</v>
      </c>
      <c r="AC40" s="2676">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176"/>
      <c r="Q41" s="1810" t="str">
        <f t="shared" si="11"/>
        <v>层高</v>
      </c>
      <c r="R41" s="773" t="s">
        <v>17</v>
      </c>
      <c r="S41" s="774">
        <f t="shared" si="12"/>
        <v>100</v>
      </c>
      <c r="T41" s="773" t="s">
        <v>17</v>
      </c>
      <c r="U41" s="774">
        <f t="shared" si="13"/>
        <v>100</v>
      </c>
      <c r="V41" s="773" t="s">
        <v>17</v>
      </c>
      <c r="W41" s="774">
        <f t="shared" si="14"/>
        <v>100</v>
      </c>
      <c r="X41" s="1813"/>
      <c r="Y41" s="3178"/>
      <c r="Z41" s="1814" t="str">
        <f t="shared" si="15"/>
        <v>层高</v>
      </c>
      <c r="AA41" s="1811">
        <f t="shared" si="3"/>
        <v>1</v>
      </c>
      <c r="AB41" s="1811">
        <f t="shared" si="4"/>
        <v>1</v>
      </c>
      <c r="AC41" s="2676">
        <f t="shared" si="5"/>
        <v>1</v>
      </c>
    </row>
    <row r="42" spans="1:29" s="470" customFormat="1" ht="15">
      <c r="A42" s="467"/>
      <c r="B42" s="1812"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76"/>
      <c r="Q42" s="775" t="str">
        <f t="shared" si="11"/>
        <v>单套建筑面积</v>
      </c>
      <c r="R42" s="776" t="s">
        <v>17</v>
      </c>
      <c r="S42" s="777">
        <f t="shared" si="12"/>
        <v>100</v>
      </c>
      <c r="T42" s="776" t="s">
        <v>17</v>
      </c>
      <c r="U42" s="777">
        <f t="shared" si="13"/>
        <v>100</v>
      </c>
      <c r="V42" s="776" t="s">
        <v>17</v>
      </c>
      <c r="W42" s="777">
        <f t="shared" si="14"/>
        <v>100</v>
      </c>
      <c r="X42" s="778"/>
      <c r="Y42" s="3178"/>
      <c r="Z42" s="779" t="str">
        <f t="shared" si="15"/>
        <v>单套建筑面积</v>
      </c>
      <c r="AA42" s="1811">
        <f t="shared" si="3"/>
        <v>1</v>
      </c>
      <c r="AB42" s="1811">
        <f t="shared" si="4"/>
        <v>1</v>
      </c>
      <c r="AC42" s="2676">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176"/>
      <c r="Q43" s="1810" t="str">
        <f t="shared" si="11"/>
        <v>内部装修</v>
      </c>
      <c r="R43" s="773" t="s">
        <v>17</v>
      </c>
      <c r="S43" s="774">
        <f t="shared" si="12"/>
        <v>100</v>
      </c>
      <c r="T43" s="773" t="s">
        <v>17</v>
      </c>
      <c r="U43" s="774">
        <f t="shared" si="13"/>
        <v>100</v>
      </c>
      <c r="V43" s="773" t="s">
        <v>17</v>
      </c>
      <c r="W43" s="774">
        <f t="shared" si="14"/>
        <v>100</v>
      </c>
      <c r="X43" s="1813"/>
      <c r="Y43" s="3178"/>
      <c r="Z43" s="1814" t="str">
        <f t="shared" si="15"/>
        <v>内部装修</v>
      </c>
      <c r="AA43" s="1811">
        <f t="shared" si="3"/>
        <v>1</v>
      </c>
      <c r="AB43" s="1811">
        <f t="shared" si="4"/>
        <v>1</v>
      </c>
      <c r="AC43" s="2676">
        <f t="shared" si="5"/>
        <v>1</v>
      </c>
    </row>
    <row r="44" spans="1:29" ht="15">
      <c r="A44" s="471"/>
      <c r="B44" s="421" t="s">
        <v>2570</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176"/>
      <c r="Q44" s="1810" t="str">
        <f t="shared" si="11"/>
        <v>内部装修维护情况</v>
      </c>
      <c r="R44" s="773" t="s">
        <v>17</v>
      </c>
      <c r="S44" s="774">
        <f t="shared" si="12"/>
        <v>100</v>
      </c>
      <c r="T44" s="773" t="s">
        <v>17</v>
      </c>
      <c r="U44" s="774">
        <f t="shared" si="13"/>
        <v>100</v>
      </c>
      <c r="V44" s="773" t="s">
        <v>17</v>
      </c>
      <c r="W44" s="774">
        <f t="shared" si="14"/>
        <v>100</v>
      </c>
      <c r="X44" s="1813"/>
      <c r="Y44" s="3178"/>
      <c r="Z44" s="1814" t="str">
        <f t="shared" si="15"/>
        <v>内部装修维护情况</v>
      </c>
      <c r="AA44" s="1811">
        <f t="shared" si="3"/>
        <v>1</v>
      </c>
      <c r="AB44" s="1811">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176"/>
      <c r="Q45" s="1795">
        <f t="shared" si="11"/>
        <v>111</v>
      </c>
      <c r="R45" s="769" t="s">
        <v>17</v>
      </c>
      <c r="S45" s="770">
        <f t="shared" si="12"/>
        <v>100</v>
      </c>
      <c r="T45" s="769" t="s">
        <v>17</v>
      </c>
      <c r="U45" s="770">
        <f t="shared" si="13"/>
        <v>100</v>
      </c>
      <c r="V45" s="769" t="s">
        <v>17</v>
      </c>
      <c r="W45" s="770">
        <f t="shared" si="14"/>
        <v>100</v>
      </c>
      <c r="X45" s="771"/>
      <c r="Y45" s="3178"/>
      <c r="Z45" s="54">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76"/>
      <c r="Q46" s="1810">
        <f t="shared" si="11"/>
        <v>111</v>
      </c>
      <c r="R46" s="773" t="s">
        <v>17</v>
      </c>
      <c r="S46" s="774">
        <f t="shared" si="12"/>
        <v>100</v>
      </c>
      <c r="T46" s="773" t="s">
        <v>17</v>
      </c>
      <c r="U46" s="774">
        <f t="shared" si="13"/>
        <v>100</v>
      </c>
      <c r="V46" s="773" t="s">
        <v>17</v>
      </c>
      <c r="W46" s="774">
        <f t="shared" si="14"/>
        <v>100</v>
      </c>
      <c r="X46" s="1813"/>
      <c r="Y46" s="3178"/>
      <c r="Z46" s="1814">
        <f t="shared" si="15"/>
        <v>111</v>
      </c>
      <c r="AA46" s="1811">
        <f t="shared" si="3"/>
        <v>1</v>
      </c>
      <c r="AB46" s="1811">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77"/>
      <c r="Q47" s="1810">
        <f t="shared" si="11"/>
        <v>111</v>
      </c>
      <c r="R47" s="773" t="s">
        <v>17</v>
      </c>
      <c r="S47" s="774">
        <f t="shared" si="12"/>
        <v>100</v>
      </c>
      <c r="T47" s="773" t="s">
        <v>17</v>
      </c>
      <c r="U47" s="774">
        <f t="shared" si="13"/>
        <v>100</v>
      </c>
      <c r="V47" s="773" t="s">
        <v>17</v>
      </c>
      <c r="W47" s="774">
        <f t="shared" si="14"/>
        <v>100</v>
      </c>
      <c r="X47" s="1813"/>
      <c r="Y47" s="3179"/>
      <c r="Z47" s="1814">
        <f t="shared" si="15"/>
        <v>111</v>
      </c>
      <c r="AA47" s="1811">
        <f t="shared" si="3"/>
        <v>1</v>
      </c>
      <c r="AB47" s="1811">
        <f t="shared" si="4"/>
        <v>1</v>
      </c>
      <c r="AC47" s="2676">
        <f t="shared" si="5"/>
        <v>1</v>
      </c>
    </row>
    <row r="48" spans="1:29" ht="15">
      <c r="A48" s="478" t="s">
        <v>2571</v>
      </c>
      <c r="B48" s="479"/>
      <c r="C48" s="1408" t="s">
        <v>1</v>
      </c>
      <c r="D48" s="1409"/>
      <c r="E48" s="1410"/>
      <c r="F48" s="1411"/>
      <c r="G48" s="1412"/>
      <c r="H48" s="1413"/>
      <c r="I48" s="1410"/>
      <c r="J48" s="484"/>
      <c r="K48" s="782"/>
      <c r="L48" s="1144"/>
      <c r="M48" s="1132"/>
      <c r="N48" s="1132"/>
      <c r="O48" s="1132"/>
      <c r="P48" s="3182" t="str">
        <f>A48</f>
        <v>成交单价（元/平方米）</v>
      </c>
      <c r="Q48" s="3171"/>
      <c r="R48" s="3172">
        <f>E48</f>
        <v>0</v>
      </c>
      <c r="S48" s="3172"/>
      <c r="T48" s="3172">
        <f>G48</f>
        <v>0</v>
      </c>
      <c r="U48" s="3172"/>
      <c r="V48" s="3172">
        <f>I48</f>
        <v>0</v>
      </c>
      <c r="W48" s="3172"/>
      <c r="X48" s="445"/>
      <c r="Y48" s="780"/>
      <c r="Z48" s="445"/>
      <c r="AA48" s="445"/>
      <c r="AB48" s="445"/>
      <c r="AC48" s="629"/>
    </row>
    <row r="49" spans="1:29" ht="15.75" thickBot="1">
      <c r="A49" s="485" t="s">
        <v>2663</v>
      </c>
      <c r="B49" s="486"/>
      <c r="C49" s="1414" t="e">
        <f>R50</f>
        <v>#DIV/0!</v>
      </c>
      <c r="D49" s="1415"/>
      <c r="E49" s="1416" t="e">
        <f>R49</f>
        <v>#DIV/0!</v>
      </c>
      <c r="F49" s="1416"/>
      <c r="G49" s="1414" t="e">
        <f>T49</f>
        <v>#DIV/0!</v>
      </c>
      <c r="H49" s="1415"/>
      <c r="I49" s="1416" t="e">
        <f>V49</f>
        <v>#DIV/0!</v>
      </c>
      <c r="J49" s="488"/>
      <c r="K49" s="783"/>
      <c r="L49" s="1144"/>
      <c r="M49" s="1132"/>
      <c r="N49" s="1132"/>
      <c r="O49" s="1132"/>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5"/>
      <c r="Y49" s="445"/>
      <c r="Z49" s="445"/>
      <c r="AA49" s="445"/>
      <c r="AB49" s="445"/>
      <c r="AC49" s="629"/>
    </row>
    <row r="50" spans="1:29" ht="15.75" thickBot="1">
      <c r="A50" s="491" t="s">
        <v>2664</v>
      </c>
      <c r="B50" s="492"/>
      <c r="C50" s="1418" t="e">
        <f>R50</f>
        <v>#DIV/0!</v>
      </c>
      <c r="D50" s="1418"/>
      <c r="E50" s="1418"/>
      <c r="F50" s="1418"/>
      <c r="G50" s="1418"/>
      <c r="H50" s="1418"/>
      <c r="I50" s="1418"/>
      <c r="J50" s="493"/>
      <c r="K50" s="784"/>
      <c r="L50" s="1144"/>
      <c r="M50" s="1132"/>
      <c r="N50" s="1132"/>
      <c r="O50" s="1132"/>
      <c r="P50" s="3214" t="str">
        <f>A50</f>
        <v>估价对象XX用房的比较价值（楼面单价，元/平方米）</v>
      </c>
      <c r="Q50" s="3215"/>
      <c r="R50" s="3216" t="e">
        <f>IF(F1="售价",ROUND(AVERAGE(R49:V49),0),ROUND(AVERAGE(R49:V49),1))</f>
        <v>#DIV/0!</v>
      </c>
      <c r="S50" s="3216"/>
      <c r="T50" s="3216"/>
      <c r="U50" s="3216"/>
      <c r="V50" s="3216"/>
      <c r="W50" s="3216"/>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2668</v>
      </c>
      <c r="B58" s="758"/>
      <c r="C58" s="763"/>
      <c r="D58" s="763"/>
      <c r="E58" s="763"/>
      <c r="F58" s="764"/>
      <c r="G58" s="764"/>
      <c r="H58" s="763"/>
      <c r="I58" s="763"/>
      <c r="J58" s="763"/>
      <c r="K58" s="765"/>
      <c r="L58" s="1162"/>
      <c r="M58" s="1160"/>
      <c r="N58" s="1160"/>
      <c r="O58" s="1160"/>
      <c r="P58" s="2683"/>
      <c r="Q58" s="503"/>
    </row>
    <row r="59" spans="1:29" s="507" customFormat="1" ht="15">
      <c r="A59" s="504" t="s">
        <v>2542</v>
      </c>
      <c r="B59" s="505"/>
      <c r="C59" s="1574" t="str">
        <f>YEAR(C7)&amp;"-"&amp;MONTH(C7)</f>
        <v>2019-1</v>
      </c>
      <c r="D59" s="1575">
        <f>EDATE(C59,-1)</f>
        <v>43435</v>
      </c>
      <c r="E59" s="1575">
        <f>EDATE(D59,-1)</f>
        <v>43405</v>
      </c>
      <c r="F59" s="1575">
        <f t="shared" ref="F59:O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1571"/>
    </row>
    <row r="60" spans="1:29" s="116" customFormat="1" ht="15">
      <c r="A60" s="508"/>
      <c r="B60" s="509"/>
      <c r="C60" s="1573">
        <v>100</v>
      </c>
      <c r="D60" s="511"/>
      <c r="E60" s="511"/>
      <c r="F60" s="511"/>
      <c r="G60" s="511"/>
      <c r="H60" s="511"/>
      <c r="I60" s="511"/>
      <c r="J60" s="511"/>
      <c r="K60" s="511"/>
      <c r="L60" s="511"/>
      <c r="M60" s="512"/>
      <c r="N60" s="511"/>
      <c r="O60" s="512"/>
      <c r="P60" s="2684"/>
    </row>
    <row r="61" spans="1:29" s="116" customFormat="1" ht="15.75" thickBot="1">
      <c r="A61" s="514" t="s">
        <v>2579</v>
      </c>
      <c r="B61" s="515"/>
      <c r="C61" s="516"/>
      <c r="D61" s="517"/>
      <c r="E61" s="517"/>
      <c r="F61" s="517"/>
      <c r="G61" s="517"/>
      <c r="H61" s="517"/>
      <c r="I61" s="517"/>
      <c r="J61" s="517"/>
      <c r="K61" s="517"/>
      <c r="L61" s="517"/>
      <c r="M61" s="518"/>
      <c r="N61" s="517"/>
      <c r="O61" s="518"/>
      <c r="P61" s="2684"/>
      <c r="Q61" s="503"/>
    </row>
    <row r="62" spans="1:29" s="116" customFormat="1" ht="15">
      <c r="A62" s="520" t="s">
        <v>2544</v>
      </c>
      <c r="B62" s="509"/>
      <c r="C62" s="521" t="s">
        <v>2646</v>
      </c>
      <c r="D62" s="522"/>
      <c r="E62" s="522"/>
      <c r="F62" s="522"/>
      <c r="G62" s="522"/>
      <c r="H62" s="522"/>
      <c r="I62" s="522"/>
      <c r="J62" s="522"/>
      <c r="K62" s="522"/>
      <c r="L62" s="523"/>
      <c r="M62" s="524"/>
      <c r="N62" s="1152"/>
      <c r="O62" s="1152"/>
      <c r="P62" s="2685"/>
      <c r="Q62" s="503"/>
    </row>
    <row r="63" spans="1:29" s="116"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2582</v>
      </c>
      <c r="B64" s="527" t="s">
        <v>2548</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2683</v>
      </c>
      <c r="C83" s="659" t="s">
        <v>2669</v>
      </c>
      <c r="D83" s="659" t="s">
        <v>2670</v>
      </c>
      <c r="E83" s="659" t="s">
        <v>2671</v>
      </c>
      <c r="F83" s="659" t="s">
        <v>2672</v>
      </c>
      <c r="G83" s="659" t="s">
        <v>2673</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7.75" thickTop="1">
      <c r="A87" s="578"/>
      <c r="B87" s="537" t="s">
        <v>2693</v>
      </c>
      <c r="C87" s="553"/>
      <c r="D87" s="553"/>
      <c r="E87" s="553"/>
      <c r="F87" s="553"/>
      <c r="G87" s="553"/>
      <c r="H87" s="553"/>
      <c r="I87" s="553"/>
      <c r="J87" s="553"/>
      <c r="K87" s="553"/>
      <c r="L87" s="579"/>
      <c r="M87" s="580"/>
      <c r="N87" s="1152"/>
      <c r="O87" s="1152"/>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2557</v>
      </c>
      <c r="B101" s="527" t="s">
        <v>2606</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2608</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2610</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2694</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2611</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2612</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2695</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2678</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2614</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71" t="s">
        <v>2696</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IF(C2="——",ROUND(C43*D3/10000,0),ROUND(C43*D3/10000,0)-D2)</f>
        <v>#DIV/0!</v>
      </c>
      <c r="C2" s="2588"/>
      <c r="D2" s="1125"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49991.200000000004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186" t="s">
        <v>2640</v>
      </c>
      <c r="D4" s="3187"/>
      <c r="E4" s="3188" t="s">
        <v>2641</v>
      </c>
      <c r="F4" s="3189"/>
      <c r="G4" s="3186" t="s">
        <v>2642</v>
      </c>
      <c r="H4" s="3187"/>
      <c r="I4" s="3186" t="s">
        <v>2643</v>
      </c>
      <c r="J4" s="3187"/>
      <c r="K4" s="609" t="s">
        <v>2644</v>
      </c>
      <c r="L4" s="1131"/>
      <c r="M4" s="1132"/>
      <c r="N4" s="1132"/>
      <c r="O4" s="1132"/>
      <c r="P4" s="3190" t="s">
        <v>2645</v>
      </c>
      <c r="Q4" s="3191"/>
      <c r="R4" s="3196" t="s">
        <v>2641</v>
      </c>
      <c r="S4" s="3197"/>
      <c r="T4" s="3196" t="s">
        <v>2642</v>
      </c>
      <c r="U4" s="3197"/>
      <c r="V4" s="3202" t="s">
        <v>2643</v>
      </c>
      <c r="W4" s="3202"/>
      <c r="X4" s="1813"/>
      <c r="Y4" s="3196" t="s">
        <v>2645</v>
      </c>
      <c r="Z4" s="3197"/>
      <c r="AA4" s="3183" t="s">
        <v>2641</v>
      </c>
      <c r="AB4" s="3184" t="s">
        <v>2642</v>
      </c>
      <c r="AC4" s="3183" t="s">
        <v>2643</v>
      </c>
    </row>
    <row r="5" spans="1:29" ht="15">
      <c r="A5" s="403"/>
      <c r="B5" s="404"/>
      <c r="C5" s="3205" t="s">
        <v>2536</v>
      </c>
      <c r="D5" s="3206"/>
      <c r="E5" s="3212" t="s">
        <v>2537</v>
      </c>
      <c r="F5" s="3213"/>
      <c r="G5" s="3205" t="s">
        <v>2538</v>
      </c>
      <c r="H5" s="3206"/>
      <c r="I5" s="3205" t="s">
        <v>2539</v>
      </c>
      <c r="J5" s="3206"/>
      <c r="K5" s="609"/>
      <c r="L5" s="1131"/>
      <c r="M5" s="1132"/>
      <c r="N5" s="1132"/>
      <c r="O5" s="1132"/>
      <c r="P5" s="3192"/>
      <c r="Q5" s="3193"/>
      <c r="R5" s="3198"/>
      <c r="S5" s="3199"/>
      <c r="T5" s="3198"/>
      <c r="U5" s="3199"/>
      <c r="V5" s="3202"/>
      <c r="W5" s="3202"/>
      <c r="X5" s="1813"/>
      <c r="Y5" s="3198"/>
      <c r="Z5" s="3199"/>
      <c r="AA5" s="3184"/>
      <c r="AB5" s="3184"/>
      <c r="AC5" s="3184"/>
    </row>
    <row r="6" spans="1:29" ht="15.75" thickBot="1">
      <c r="A6" s="405"/>
      <c r="B6" s="406"/>
      <c r="C6" s="3203" t="s">
        <v>2540</v>
      </c>
      <c r="D6" s="3204"/>
      <c r="E6" s="3210" t="s">
        <v>2540</v>
      </c>
      <c r="F6" s="3211"/>
      <c r="G6" s="3203" t="s">
        <v>2540</v>
      </c>
      <c r="H6" s="3204"/>
      <c r="I6" s="3203" t="s">
        <v>2540</v>
      </c>
      <c r="J6" s="3204"/>
      <c r="K6" s="609" t="s">
        <v>2541</v>
      </c>
      <c r="L6" s="1131"/>
      <c r="M6" s="1132"/>
      <c r="N6" s="1132"/>
      <c r="O6" s="1132"/>
      <c r="P6" s="3194"/>
      <c r="Q6" s="3195"/>
      <c r="R6" s="3198"/>
      <c r="S6" s="3199"/>
      <c r="T6" s="3200"/>
      <c r="U6" s="3201"/>
      <c r="V6" s="3202"/>
      <c r="W6" s="3202"/>
      <c r="X6" s="1813"/>
      <c r="Y6" s="3200"/>
      <c r="Z6" s="3201"/>
      <c r="AA6" s="3185"/>
      <c r="AB6" s="3185"/>
      <c r="AC6" s="3185"/>
    </row>
    <row r="7" spans="1:29" s="116" customFormat="1" ht="15.75" thickBot="1">
      <c r="A7" s="407" t="s">
        <v>2542</v>
      </c>
      <c r="B7" s="408"/>
      <c r="C7" s="409">
        <f>'数据-取费表'!B2</f>
        <v>43488</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07" t="s">
        <v>2543</v>
      </c>
      <c r="Q7" s="3209"/>
      <c r="R7" s="769" t="s">
        <v>17</v>
      </c>
      <c r="S7" s="770">
        <f t="shared" ref="S7:S15" si="0">F7</f>
        <v>0</v>
      </c>
      <c r="T7" s="769" t="s">
        <v>17</v>
      </c>
      <c r="U7" s="770">
        <f t="shared" ref="U7:U15" si="1">H7</f>
        <v>0</v>
      </c>
      <c r="V7" s="769" t="s">
        <v>17</v>
      </c>
      <c r="W7" s="770">
        <f t="shared" ref="W7:W15" si="2">J7</f>
        <v>0</v>
      </c>
      <c r="X7" s="771"/>
      <c r="Y7" s="3207" t="s">
        <v>2543</v>
      </c>
      <c r="Z7" s="3208"/>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07" t="s">
        <v>2546</v>
      </c>
      <c r="Q8" s="3208"/>
      <c r="R8" s="769" t="s">
        <v>17</v>
      </c>
      <c r="S8" s="770">
        <f t="shared" si="0"/>
        <v>0</v>
      </c>
      <c r="T8" s="769" t="s">
        <v>17</v>
      </c>
      <c r="U8" s="770">
        <f t="shared" si="1"/>
        <v>0</v>
      </c>
      <c r="V8" s="769" t="s">
        <v>17</v>
      </c>
      <c r="W8" s="770">
        <f t="shared" si="2"/>
        <v>0</v>
      </c>
      <c r="X8" s="771"/>
      <c r="Y8" s="3207" t="s">
        <v>2546</v>
      </c>
      <c r="Z8" s="3208"/>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71" t="s">
        <v>2549</v>
      </c>
      <c r="Q9" s="1795"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71"/>
      <c r="Q10" s="1795"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71"/>
      <c r="Q11" s="1795" t="str">
        <f t="shared" si="6"/>
        <v>容积率</v>
      </c>
      <c r="R11" s="769" t="s">
        <v>17</v>
      </c>
      <c r="S11" s="770" t="e">
        <f t="shared" si="0"/>
        <v>#N/A</v>
      </c>
      <c r="T11" s="769" t="s">
        <v>17</v>
      </c>
      <c r="U11" s="770" t="e">
        <f t="shared" si="1"/>
        <v>#N/A</v>
      </c>
      <c r="V11" s="769" t="s">
        <v>17</v>
      </c>
      <c r="W11" s="770" t="e">
        <f t="shared" si="2"/>
        <v>#N/A</v>
      </c>
      <c r="X11" s="771"/>
      <c r="Y11" s="2997"/>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171"/>
      <c r="Q12" s="1795">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171"/>
      <c r="Q13" s="1795">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171"/>
      <c r="Q14" s="1795">
        <f t="shared" si="6"/>
        <v>111</v>
      </c>
      <c r="R14" s="769" t="s">
        <v>17</v>
      </c>
      <c r="S14" s="770">
        <f t="shared" si="0"/>
        <v>100</v>
      </c>
      <c r="T14" s="769" t="s">
        <v>17</v>
      </c>
      <c r="U14" s="770">
        <f t="shared" si="1"/>
        <v>100</v>
      </c>
      <c r="V14" s="769" t="s">
        <v>17</v>
      </c>
      <c r="W14" s="770">
        <f t="shared" si="2"/>
        <v>100</v>
      </c>
      <c r="X14" s="771"/>
      <c r="Y14" s="2997"/>
      <c r="Z14" s="54">
        <f t="shared" si="7"/>
        <v>111</v>
      </c>
      <c r="AA14" s="772">
        <f t="shared" si="3"/>
        <v>1</v>
      </c>
      <c r="AB14" s="772">
        <f t="shared" si="4"/>
        <v>1</v>
      </c>
      <c r="AC14" s="772">
        <f t="shared" si="5"/>
        <v>1</v>
      </c>
    </row>
    <row r="15" spans="1:29" ht="57">
      <c r="A15" s="439" t="s">
        <v>2553</v>
      </c>
      <c r="B15" s="68" t="s">
        <v>2697</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73" t="s">
        <v>2554</v>
      </c>
      <c r="Q15" s="1810" t="str">
        <f t="shared" si="6"/>
        <v>产业集聚程度</v>
      </c>
      <c r="R15" s="773" t="s">
        <v>17</v>
      </c>
      <c r="S15" s="774">
        <f t="shared" si="0"/>
        <v>100</v>
      </c>
      <c r="T15" s="773" t="s">
        <v>17</v>
      </c>
      <c r="U15" s="774">
        <f t="shared" si="1"/>
        <v>100</v>
      </c>
      <c r="V15" s="773" t="s">
        <v>17</v>
      </c>
      <c r="W15" s="774">
        <f t="shared" si="2"/>
        <v>100</v>
      </c>
      <c r="X15" s="1813"/>
      <c r="Y15" s="3173" t="s">
        <v>2554</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174"/>
      <c r="Q16" s="1810"/>
      <c r="R16" s="773"/>
      <c r="S16" s="774"/>
      <c r="T16" s="773"/>
      <c r="U16" s="774"/>
      <c r="V16" s="773"/>
      <c r="W16" s="774"/>
      <c r="X16" s="1813"/>
      <c r="Y16" s="3174"/>
      <c r="Z16" s="1814"/>
      <c r="AA16" s="1811">
        <v>1</v>
      </c>
      <c r="AB16" s="1811">
        <v>1</v>
      </c>
      <c r="AC16" s="1811">
        <v>1</v>
      </c>
    </row>
    <row r="17" spans="1:29" ht="85.5">
      <c r="A17" s="427"/>
      <c r="B17" s="450" t="s">
        <v>2090</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74"/>
      <c r="Q17" s="1810" t="str">
        <f>B17</f>
        <v>交通便捷度</v>
      </c>
      <c r="R17" s="773" t="s">
        <v>17</v>
      </c>
      <c r="S17" s="774">
        <f>F17</f>
        <v>100</v>
      </c>
      <c r="T17" s="773" t="s">
        <v>17</v>
      </c>
      <c r="U17" s="774">
        <f>H17</f>
        <v>100</v>
      </c>
      <c r="V17" s="773" t="s">
        <v>17</v>
      </c>
      <c r="W17" s="774">
        <f>J17</f>
        <v>100</v>
      </c>
      <c r="X17" s="1813"/>
      <c r="Y17" s="3174"/>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40"/>
      <c r="P18" s="3174"/>
      <c r="Q18" s="1810"/>
      <c r="R18" s="773"/>
      <c r="S18" s="774"/>
      <c r="T18" s="773"/>
      <c r="U18" s="774"/>
      <c r="V18" s="773"/>
      <c r="W18" s="774"/>
      <c r="X18" s="1813"/>
      <c r="Y18" s="3174"/>
      <c r="Z18" s="1814"/>
      <c r="AA18" s="1811">
        <v>1</v>
      </c>
      <c r="AB18" s="1811">
        <v>1</v>
      </c>
      <c r="AC18" s="1811">
        <v>1</v>
      </c>
    </row>
    <row r="19" spans="1:29" ht="42.75">
      <c r="A19" s="427"/>
      <c r="B19" s="450" t="s">
        <v>2682</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74"/>
      <c r="Q19" s="1810" t="str">
        <f>B19</f>
        <v>公共配套设施</v>
      </c>
      <c r="R19" s="773" t="s">
        <v>17</v>
      </c>
      <c r="S19" s="774">
        <f>F19</f>
        <v>100</v>
      </c>
      <c r="T19" s="773" t="s">
        <v>17</v>
      </c>
      <c r="U19" s="774">
        <f>H19</f>
        <v>100</v>
      </c>
      <c r="V19" s="773" t="s">
        <v>17</v>
      </c>
      <c r="W19" s="774">
        <f>J19</f>
        <v>100</v>
      </c>
      <c r="X19" s="1813"/>
      <c r="Y19" s="3174"/>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40"/>
      <c r="P20" s="3174"/>
      <c r="Q20" s="1810"/>
      <c r="R20" s="773"/>
      <c r="S20" s="774"/>
      <c r="T20" s="773"/>
      <c r="U20" s="774"/>
      <c r="V20" s="773"/>
      <c r="W20" s="774"/>
      <c r="X20" s="1813"/>
      <c r="Y20" s="3174"/>
      <c r="Z20" s="1814"/>
      <c r="AA20" s="1811">
        <v>1</v>
      </c>
      <c r="AB20" s="1811">
        <v>1</v>
      </c>
      <c r="AC20" s="1811">
        <v>1</v>
      </c>
    </row>
    <row r="21" spans="1:29" ht="28.5">
      <c r="A21" s="427"/>
      <c r="B21" s="1385" t="s">
        <v>2683</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74"/>
      <c r="Q21" s="1810" t="str">
        <f>B21</f>
        <v>基础设施水平</v>
      </c>
      <c r="R21" s="773" t="s">
        <v>17</v>
      </c>
      <c r="S21" s="774">
        <f>F21</f>
        <v>100</v>
      </c>
      <c r="T21" s="773" t="s">
        <v>17</v>
      </c>
      <c r="U21" s="774">
        <f>H21</f>
        <v>100</v>
      </c>
      <c r="V21" s="773" t="s">
        <v>17</v>
      </c>
      <c r="W21" s="774">
        <f>J21</f>
        <v>100</v>
      </c>
      <c r="X21" s="1813"/>
      <c r="Y21" s="3174"/>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40"/>
      <c r="P22" s="3174"/>
      <c r="Q22" s="1810"/>
      <c r="R22" s="773"/>
      <c r="S22" s="774"/>
      <c r="T22" s="773"/>
      <c r="U22" s="774"/>
      <c r="V22" s="773"/>
      <c r="W22" s="774"/>
      <c r="X22" s="1813"/>
      <c r="Y22" s="3174"/>
      <c r="Z22" s="1814"/>
      <c r="AA22" s="1811">
        <v>1</v>
      </c>
      <c r="AB22" s="1811">
        <v>1</v>
      </c>
      <c r="AC22" s="1811">
        <v>1</v>
      </c>
    </row>
    <row r="23" spans="1:29" ht="71.25">
      <c r="A23" s="427"/>
      <c r="B23" s="450" t="s">
        <v>2684</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74"/>
      <c r="Q23" s="1810" t="str">
        <f>B23</f>
        <v>环境质量</v>
      </c>
      <c r="R23" s="773" t="s">
        <v>17</v>
      </c>
      <c r="S23" s="774">
        <f>F23</f>
        <v>100</v>
      </c>
      <c r="T23" s="773" t="s">
        <v>17</v>
      </c>
      <c r="U23" s="774">
        <f>H23</f>
        <v>100</v>
      </c>
      <c r="V23" s="773" t="s">
        <v>17</v>
      </c>
      <c r="W23" s="774">
        <f>J23</f>
        <v>100</v>
      </c>
      <c r="X23" s="1813"/>
      <c r="Y23" s="3174"/>
      <c r="Z23" s="1814" t="str">
        <f>Q23</f>
        <v>环境质量</v>
      </c>
      <c r="AA23" s="1811">
        <f t="shared" si="3"/>
        <v>1</v>
      </c>
      <c r="AB23" s="1811">
        <f t="shared" si="4"/>
        <v>1</v>
      </c>
      <c r="AC23" s="1811">
        <f t="shared" si="5"/>
        <v>1</v>
      </c>
    </row>
    <row r="24" spans="1:29" ht="15">
      <c r="A24" s="427"/>
      <c r="B24" s="1385"/>
      <c r="C24" s="446"/>
      <c r="D24" s="447"/>
      <c r="E24" s="2607"/>
      <c r="F24" s="448"/>
      <c r="G24" s="2606"/>
      <c r="H24" s="447"/>
      <c r="I24" s="2607"/>
      <c r="J24" s="447"/>
      <c r="K24" s="614"/>
      <c r="L24" s="1141"/>
      <c r="M24" s="1132"/>
      <c r="N24" s="1132"/>
      <c r="O24" s="1140"/>
      <c r="P24" s="3174"/>
      <c r="Q24" s="1810"/>
      <c r="R24" s="773"/>
      <c r="S24" s="774"/>
      <c r="T24" s="773"/>
      <c r="U24" s="774"/>
      <c r="V24" s="773"/>
      <c r="W24" s="774"/>
      <c r="X24" s="1813"/>
      <c r="Y24" s="3174"/>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74"/>
      <c r="Q25" s="1810">
        <f>B25</f>
        <v>111</v>
      </c>
      <c r="R25" s="773" t="s">
        <v>17</v>
      </c>
      <c r="S25" s="774">
        <f>F25</f>
        <v>100</v>
      </c>
      <c r="T25" s="773" t="s">
        <v>17</v>
      </c>
      <c r="U25" s="774">
        <f>H25</f>
        <v>100</v>
      </c>
      <c r="V25" s="773" t="s">
        <v>17</v>
      </c>
      <c r="W25" s="774">
        <f>J25</f>
        <v>100</v>
      </c>
      <c r="X25" s="1813"/>
      <c r="Y25" s="3174"/>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74"/>
      <c r="Q26" s="1810">
        <f t="shared" ref="Q26:Q40" si="11">B26</f>
        <v>111</v>
      </c>
      <c r="R26" s="773" t="s">
        <v>17</v>
      </c>
      <c r="S26" s="774">
        <f>F26</f>
        <v>100</v>
      </c>
      <c r="T26" s="773" t="s">
        <v>17</v>
      </c>
      <c r="U26" s="774">
        <f>H26</f>
        <v>100</v>
      </c>
      <c r="V26" s="773" t="s">
        <v>17</v>
      </c>
      <c r="W26" s="774">
        <f>J26</f>
        <v>100</v>
      </c>
      <c r="X26" s="1813"/>
      <c r="Y26" s="3174"/>
      <c r="Z26" s="1814">
        <f>Q26</f>
        <v>111</v>
      </c>
      <c r="AA26" s="1811">
        <f t="shared" si="3"/>
        <v>1</v>
      </c>
      <c r="AB26" s="1811">
        <f t="shared" si="4"/>
        <v>1</v>
      </c>
      <c r="AC26" s="1811">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74"/>
      <c r="Q27" s="1795">
        <f t="shared" si="11"/>
        <v>111</v>
      </c>
      <c r="R27" s="769" t="s">
        <v>17</v>
      </c>
      <c r="S27" s="770">
        <f>F27</f>
        <v>100</v>
      </c>
      <c r="T27" s="769" t="s">
        <v>17</v>
      </c>
      <c r="U27" s="770">
        <f>H27</f>
        <v>100</v>
      </c>
      <c r="V27" s="769" t="s">
        <v>17</v>
      </c>
      <c r="W27" s="770">
        <f>J27</f>
        <v>100</v>
      </c>
      <c r="X27" s="771"/>
      <c r="Y27" s="3174"/>
      <c r="Z27" s="54">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74"/>
      <c r="Q28" s="1810">
        <f t="shared" si="11"/>
        <v>111</v>
      </c>
      <c r="R28" s="773" t="s">
        <v>17</v>
      </c>
      <c r="S28" s="774">
        <f t="shared" ref="S28:S40" si="12">F28</f>
        <v>100</v>
      </c>
      <c r="T28" s="773" t="s">
        <v>17</v>
      </c>
      <c r="U28" s="774">
        <f t="shared" ref="U28:U40" si="13">H28</f>
        <v>100</v>
      </c>
      <c r="V28" s="773" t="s">
        <v>17</v>
      </c>
      <c r="W28" s="774">
        <f t="shared" ref="W28:W40" si="14">J28</f>
        <v>100</v>
      </c>
      <c r="X28" s="1813"/>
      <c r="Y28" s="3174"/>
      <c r="Z28" s="1814">
        <f t="shared" ref="Z28:Z40" si="15">Q28</f>
        <v>111</v>
      </c>
      <c r="AA28" s="1811">
        <f t="shared" si="3"/>
        <v>1</v>
      </c>
      <c r="AB28" s="1811">
        <f t="shared" si="4"/>
        <v>1</v>
      </c>
      <c r="AC28" s="1811">
        <f t="shared" si="5"/>
        <v>1</v>
      </c>
    </row>
    <row r="29" spans="1:29" ht="28.5">
      <c r="A29" s="465" t="s">
        <v>2557</v>
      </c>
      <c r="B29" s="70" t="s">
        <v>2687</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29" t="s">
        <v>2559</v>
      </c>
      <c r="Q29" s="1810" t="str">
        <f t="shared" si="11"/>
        <v>建筑类型</v>
      </c>
      <c r="R29" s="773" t="s">
        <v>17</v>
      </c>
      <c r="S29" s="774">
        <f t="shared" si="12"/>
        <v>100</v>
      </c>
      <c r="T29" s="773" t="s">
        <v>17</v>
      </c>
      <c r="U29" s="774">
        <f t="shared" si="13"/>
        <v>100</v>
      </c>
      <c r="V29" s="773" t="s">
        <v>17</v>
      </c>
      <c r="W29" s="774">
        <f t="shared" si="14"/>
        <v>100</v>
      </c>
      <c r="X29" s="1813"/>
      <c r="Y29" s="3178" t="s">
        <v>2559</v>
      </c>
      <c r="Z29" s="1814" t="str">
        <f t="shared" si="15"/>
        <v>建筑类型</v>
      </c>
      <c r="AA29" s="1811">
        <f t="shared" si="3"/>
        <v>1</v>
      </c>
      <c r="AB29" s="1811">
        <f t="shared" si="4"/>
        <v>1</v>
      </c>
      <c r="AC29" s="1811">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78"/>
      <c r="Q30" s="775" t="str">
        <f t="shared" si="11"/>
        <v>项目建筑规模</v>
      </c>
      <c r="R30" s="776" t="s">
        <v>17</v>
      </c>
      <c r="S30" s="777" t="e">
        <f t="shared" si="12"/>
        <v>#N/A</v>
      </c>
      <c r="T30" s="776" t="s">
        <v>17</v>
      </c>
      <c r="U30" s="777" t="e">
        <f t="shared" si="13"/>
        <v>#N/A</v>
      </c>
      <c r="V30" s="776" t="s">
        <v>17</v>
      </c>
      <c r="W30" s="777" t="e">
        <f t="shared" si="14"/>
        <v>#N/A</v>
      </c>
      <c r="X30" s="778"/>
      <c r="Y30" s="3178"/>
      <c r="Z30" s="779" t="str">
        <f t="shared" si="15"/>
        <v>项目建筑规模</v>
      </c>
      <c r="AA30" s="1811" t="e">
        <f t="shared" si="3"/>
        <v>#N/A</v>
      </c>
      <c r="AB30" s="1811" t="e">
        <f t="shared" si="4"/>
        <v>#N/A</v>
      </c>
      <c r="AC30" s="1811"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78"/>
      <c r="Q31" s="1810" t="str">
        <f t="shared" si="11"/>
        <v>建筑结构</v>
      </c>
      <c r="R31" s="773" t="s">
        <v>17</v>
      </c>
      <c r="S31" s="774">
        <f t="shared" si="12"/>
        <v>100</v>
      </c>
      <c r="T31" s="773" t="s">
        <v>17</v>
      </c>
      <c r="U31" s="774">
        <f t="shared" si="13"/>
        <v>100</v>
      </c>
      <c r="V31" s="773" t="s">
        <v>17</v>
      </c>
      <c r="W31" s="774">
        <f t="shared" si="14"/>
        <v>100</v>
      </c>
      <c r="X31" s="1813"/>
      <c r="Y31" s="3178"/>
      <c r="Z31" s="1814" t="str">
        <f t="shared" si="15"/>
        <v>建筑结构</v>
      </c>
      <c r="AA31" s="1811">
        <f t="shared" si="3"/>
        <v>1</v>
      </c>
      <c r="AB31" s="1811">
        <f t="shared" si="4"/>
        <v>1</v>
      </c>
      <c r="AC31" s="1811">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78"/>
      <c r="Q32" s="1810" t="str">
        <f t="shared" si="11"/>
        <v>公共部分装修</v>
      </c>
      <c r="R32" s="773" t="s">
        <v>17</v>
      </c>
      <c r="S32" s="774">
        <f t="shared" si="12"/>
        <v>100</v>
      </c>
      <c r="T32" s="773" t="s">
        <v>17</v>
      </c>
      <c r="U32" s="774">
        <f t="shared" si="13"/>
        <v>100</v>
      </c>
      <c r="V32" s="773" t="s">
        <v>17</v>
      </c>
      <c r="W32" s="774">
        <f t="shared" si="14"/>
        <v>100</v>
      </c>
      <c r="X32" s="1813"/>
      <c r="Y32" s="3178"/>
      <c r="Z32" s="1814" t="str">
        <f t="shared" si="15"/>
        <v>公共部分装修</v>
      </c>
      <c r="AA32" s="1811">
        <f t="shared" si="3"/>
        <v>1</v>
      </c>
      <c r="AB32" s="1811">
        <f t="shared" si="4"/>
        <v>1</v>
      </c>
      <c r="AC32" s="1811">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78"/>
      <c r="Q33" s="1810" t="str">
        <f t="shared" si="11"/>
        <v>成新度</v>
      </c>
      <c r="R33" s="773" t="s">
        <v>17</v>
      </c>
      <c r="S33" s="774" t="e">
        <f t="shared" si="12"/>
        <v>#N/A</v>
      </c>
      <c r="T33" s="773" t="s">
        <v>17</v>
      </c>
      <c r="U33" s="774" t="e">
        <f t="shared" si="13"/>
        <v>#N/A</v>
      </c>
      <c r="V33" s="773" t="s">
        <v>17</v>
      </c>
      <c r="W33" s="774" t="e">
        <f t="shared" si="14"/>
        <v>#N/A</v>
      </c>
      <c r="X33" s="1813"/>
      <c r="Y33" s="3178"/>
      <c r="Z33" s="1814" t="str">
        <f t="shared" si="15"/>
        <v>成新度</v>
      </c>
      <c r="AA33" s="1811" t="e">
        <f t="shared" si="3"/>
        <v>#N/A</v>
      </c>
      <c r="AB33" s="1811" t="e">
        <f t="shared" si="4"/>
        <v>#N/A</v>
      </c>
      <c r="AC33" s="1811"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78"/>
      <c r="Q34" s="1795" t="str">
        <f t="shared" si="11"/>
        <v>物业管理</v>
      </c>
      <c r="R34" s="769" t="s">
        <v>17</v>
      </c>
      <c r="S34" s="770">
        <f t="shared" si="12"/>
        <v>100</v>
      </c>
      <c r="T34" s="769" t="s">
        <v>17</v>
      </c>
      <c r="U34" s="770">
        <f t="shared" si="13"/>
        <v>100</v>
      </c>
      <c r="V34" s="769" t="s">
        <v>17</v>
      </c>
      <c r="W34" s="770">
        <f t="shared" si="14"/>
        <v>100</v>
      </c>
      <c r="X34" s="771"/>
      <c r="Y34" s="3178"/>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78" t="s">
        <v>2559</v>
      </c>
      <c r="Q35" s="1810" t="str">
        <f t="shared" si="11"/>
        <v>市政基础设施</v>
      </c>
      <c r="R35" s="773" t="s">
        <v>17</v>
      </c>
      <c r="S35" s="774">
        <f t="shared" si="12"/>
        <v>100</v>
      </c>
      <c r="T35" s="773" t="s">
        <v>17</v>
      </c>
      <c r="U35" s="774">
        <f t="shared" si="13"/>
        <v>100</v>
      </c>
      <c r="V35" s="773" t="s">
        <v>17</v>
      </c>
      <c r="W35" s="774">
        <f t="shared" si="14"/>
        <v>100</v>
      </c>
      <c r="X35" s="1813"/>
      <c r="Y35" s="3178" t="s">
        <v>2559</v>
      </c>
      <c r="Z35" s="1814" t="str">
        <f t="shared" si="15"/>
        <v>市政基础设施</v>
      </c>
      <c r="AA35" s="1811">
        <f t="shared" si="3"/>
        <v>1</v>
      </c>
      <c r="AB35" s="1811">
        <f t="shared" si="4"/>
        <v>1</v>
      </c>
      <c r="AC35" s="1811">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78"/>
      <c r="Q36" s="1810" t="str">
        <f t="shared" si="11"/>
        <v>内部装修</v>
      </c>
      <c r="R36" s="773" t="s">
        <v>17</v>
      </c>
      <c r="S36" s="774">
        <f t="shared" si="12"/>
        <v>100</v>
      </c>
      <c r="T36" s="773" t="s">
        <v>17</v>
      </c>
      <c r="U36" s="774">
        <f t="shared" si="13"/>
        <v>100</v>
      </c>
      <c r="V36" s="773" t="s">
        <v>17</v>
      </c>
      <c r="W36" s="774">
        <f t="shared" si="14"/>
        <v>100</v>
      </c>
      <c r="X36" s="1813"/>
      <c r="Y36" s="3178"/>
      <c r="Z36" s="1814" t="str">
        <f t="shared" si="15"/>
        <v>内部装修</v>
      </c>
      <c r="AA36" s="1811">
        <f t="shared" si="3"/>
        <v>1</v>
      </c>
      <c r="AB36" s="1811">
        <f t="shared" si="4"/>
        <v>1</v>
      </c>
      <c r="AC36" s="1811">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78"/>
      <c r="Q37" s="1810" t="str">
        <f t="shared" si="11"/>
        <v>内部装修状况</v>
      </c>
      <c r="R37" s="773" t="s">
        <v>17</v>
      </c>
      <c r="S37" s="774">
        <f t="shared" si="12"/>
        <v>100</v>
      </c>
      <c r="T37" s="773" t="s">
        <v>17</v>
      </c>
      <c r="U37" s="774">
        <f t="shared" si="13"/>
        <v>100</v>
      </c>
      <c r="V37" s="773" t="s">
        <v>17</v>
      </c>
      <c r="W37" s="774">
        <f t="shared" si="14"/>
        <v>100</v>
      </c>
      <c r="X37" s="1813"/>
      <c r="Y37" s="3178"/>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78"/>
      <c r="Q38" s="775">
        <f t="shared" si="11"/>
        <v>111</v>
      </c>
      <c r="R38" s="776" t="s">
        <v>17</v>
      </c>
      <c r="S38" s="777">
        <f t="shared" si="12"/>
        <v>100</v>
      </c>
      <c r="T38" s="776" t="s">
        <v>17</v>
      </c>
      <c r="U38" s="777">
        <f t="shared" si="13"/>
        <v>100</v>
      </c>
      <c r="V38" s="776" t="s">
        <v>17</v>
      </c>
      <c r="W38" s="777">
        <f t="shared" si="14"/>
        <v>100</v>
      </c>
      <c r="X38" s="778"/>
      <c r="Y38" s="3178"/>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78"/>
      <c r="Q39" s="1810">
        <f t="shared" si="11"/>
        <v>111</v>
      </c>
      <c r="R39" s="773" t="s">
        <v>17</v>
      </c>
      <c r="S39" s="774">
        <f t="shared" si="12"/>
        <v>100</v>
      </c>
      <c r="T39" s="773" t="s">
        <v>17</v>
      </c>
      <c r="U39" s="774">
        <f t="shared" si="13"/>
        <v>100</v>
      </c>
      <c r="V39" s="773" t="s">
        <v>17</v>
      </c>
      <c r="W39" s="774">
        <f t="shared" si="14"/>
        <v>100</v>
      </c>
      <c r="X39" s="1813"/>
      <c r="Y39" s="3178"/>
      <c r="Z39" s="1814">
        <f t="shared" si="15"/>
        <v>111</v>
      </c>
      <c r="AA39" s="1811">
        <f t="shared" si="3"/>
        <v>1</v>
      </c>
      <c r="AB39" s="1811">
        <f t="shared" si="4"/>
        <v>1</v>
      </c>
      <c r="AC39" s="1811">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79"/>
      <c r="Q40" s="1810">
        <f t="shared" si="11"/>
        <v>111</v>
      </c>
      <c r="R40" s="773" t="s">
        <v>17</v>
      </c>
      <c r="S40" s="774">
        <f t="shared" si="12"/>
        <v>100</v>
      </c>
      <c r="T40" s="773" t="s">
        <v>17</v>
      </c>
      <c r="U40" s="774">
        <f t="shared" si="13"/>
        <v>100</v>
      </c>
      <c r="V40" s="773" t="s">
        <v>17</v>
      </c>
      <c r="W40" s="774">
        <f t="shared" si="14"/>
        <v>100</v>
      </c>
      <c r="X40" s="1813"/>
      <c r="Y40" s="3179"/>
      <c r="Z40" s="1814">
        <f t="shared" si="15"/>
        <v>111</v>
      </c>
      <c r="AA40" s="1811">
        <f t="shared" si="3"/>
        <v>1</v>
      </c>
      <c r="AB40" s="1811">
        <f t="shared" si="4"/>
        <v>1</v>
      </c>
      <c r="AC40" s="1811">
        <f t="shared" si="5"/>
        <v>1</v>
      </c>
    </row>
    <row r="41" spans="1:29" ht="15">
      <c r="A41" s="478" t="s">
        <v>2571</v>
      </c>
      <c r="B41" s="479"/>
      <c r="C41" s="1408" t="s">
        <v>1</v>
      </c>
      <c r="D41" s="1409"/>
      <c r="E41" s="1410"/>
      <c r="F41" s="1411"/>
      <c r="G41" s="1412"/>
      <c r="H41" s="1413"/>
      <c r="I41" s="1410"/>
      <c r="J41" s="1413"/>
      <c r="K41" s="782"/>
      <c r="L41" s="1144"/>
      <c r="M41" s="1145"/>
      <c r="N41" s="1132"/>
      <c r="O41" s="1145"/>
      <c r="P41" s="3171" t="str">
        <f>A41</f>
        <v>成交单价（元/平方米）</v>
      </c>
      <c r="Q41" s="3171"/>
      <c r="R41" s="3172">
        <f>E41</f>
        <v>0</v>
      </c>
      <c r="S41" s="3172"/>
      <c r="T41" s="3172">
        <f>G41</f>
        <v>0</v>
      </c>
      <c r="U41" s="3172"/>
      <c r="V41" s="3172">
        <f>I41</f>
        <v>0</v>
      </c>
      <c r="W41" s="3172"/>
      <c r="X41" s="758"/>
      <c r="Y41" s="780"/>
      <c r="Z41" s="758"/>
      <c r="AA41" s="758"/>
      <c r="AB41" s="758"/>
      <c r="AC41" s="758"/>
    </row>
    <row r="42" spans="1:29" ht="15.75" thickBot="1">
      <c r="A42" s="485" t="s">
        <v>2663</v>
      </c>
      <c r="B42" s="486"/>
      <c r="C42" s="1414" t="e">
        <f>R43</f>
        <v>#DIV/0!</v>
      </c>
      <c r="D42" s="1415"/>
      <c r="E42" s="1416" t="e">
        <f>R42</f>
        <v>#DIV/0!</v>
      </c>
      <c r="F42" s="1416"/>
      <c r="G42" s="1414" t="e">
        <f>T42</f>
        <v>#DIV/0!</v>
      </c>
      <c r="H42" s="1415"/>
      <c r="I42" s="1416" t="e">
        <f>V42</f>
        <v>#DIV/0!</v>
      </c>
      <c r="J42" s="1415"/>
      <c r="K42" s="783"/>
      <c r="L42" s="1144"/>
      <c r="M42" s="1145"/>
      <c r="N42" s="1132"/>
      <c r="O42" s="1145"/>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8"/>
      <c r="Y42" s="758"/>
      <c r="Z42" s="758"/>
      <c r="AA42" s="758"/>
      <c r="AB42" s="758"/>
      <c r="AC42" s="758"/>
    </row>
    <row r="43" spans="1:29" ht="15.75" thickBot="1">
      <c r="A43" s="491" t="s">
        <v>2664</v>
      </c>
      <c r="B43" s="492"/>
      <c r="C43" s="1418" t="e">
        <f>R43</f>
        <v>#DIV/0!</v>
      </c>
      <c r="D43" s="1418"/>
      <c r="E43" s="1418"/>
      <c r="F43" s="1418"/>
      <c r="G43" s="1418"/>
      <c r="H43" s="1418"/>
      <c r="I43" s="1418"/>
      <c r="J43" s="1418"/>
      <c r="K43" s="784"/>
      <c r="L43" s="1144"/>
      <c r="M43" s="1145"/>
      <c r="N43" s="1145"/>
      <c r="O43" s="1145"/>
      <c r="P43" s="3168" t="str">
        <f>A43</f>
        <v>估价对象XX用房的比较价值（楼面单价，元/平方米）</v>
      </c>
      <c r="Q43" s="3169"/>
      <c r="R43" s="3170" t="e">
        <f>IF(F1="售价",ROUND(AVERAGE(R42:V42),0),ROUND(AVERAGE(R42:V42),1))</f>
        <v>#DIV/0!</v>
      </c>
      <c r="S43" s="3170"/>
      <c r="T43" s="3170"/>
      <c r="U43" s="3170"/>
      <c r="V43" s="3170"/>
      <c r="W43" s="3170"/>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2668</v>
      </c>
      <c r="B51" s="758"/>
      <c r="C51" s="763"/>
      <c r="D51" s="763"/>
      <c r="E51" s="763"/>
      <c r="F51" s="764"/>
      <c r="G51" s="764"/>
      <c r="H51" s="763"/>
      <c r="I51" s="763"/>
      <c r="J51" s="763"/>
      <c r="K51" s="1161"/>
      <c r="L51" s="1162"/>
      <c r="M51" s="1160"/>
      <c r="N51" s="1160"/>
      <c r="O51" s="1160"/>
      <c r="P51" s="502"/>
      <c r="Q51" s="503"/>
    </row>
    <row r="52" spans="1:17" s="507" customFormat="1" ht="15">
      <c r="A52" s="504" t="s">
        <v>2542</v>
      </c>
      <c r="B52" s="505"/>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2582</v>
      </c>
      <c r="B57" s="527" t="s">
        <v>2548</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8"/>
      <c r="B87" s="568"/>
      <c r="C87" s="569"/>
      <c r="D87" s="569"/>
      <c r="E87" s="569"/>
      <c r="F87" s="569"/>
      <c r="G87" s="590"/>
      <c r="H87" s="590"/>
      <c r="I87" s="590"/>
      <c r="J87" s="590"/>
      <c r="K87" s="590"/>
      <c r="L87" s="590"/>
      <c r="M87" s="591"/>
      <c r="N87" s="1154"/>
      <c r="O87" s="1154"/>
      <c r="P87" s="44"/>
      <c r="Q87" s="503"/>
    </row>
    <row r="88" spans="1:17">
      <c r="A88" s="526" t="s">
        <v>2557</v>
      </c>
      <c r="B88" s="527" t="s">
        <v>2606</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2608</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2610</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2611</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2612</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2614</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8"/>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22"/>
      <c r="F1" s="2586"/>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2321</v>
      </c>
      <c r="B2" s="1419" t="e">
        <f ca="1">IF(C2="——",IF(B37="元/平方米",ROUND(C39*D3/10000,0),ROUND(F3*C39/10000,0)),IF(B37="元/平方米",ROUND(C39*D3/10000,0),ROUND(F3*C39/10000,0))-D2)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2639</v>
      </c>
      <c r="B4" s="401"/>
      <c r="C4" s="3186" t="s">
        <v>2640</v>
      </c>
      <c r="D4" s="3187"/>
      <c r="E4" s="3188" t="s">
        <v>2641</v>
      </c>
      <c r="F4" s="3189"/>
      <c r="G4" s="3186" t="s">
        <v>2642</v>
      </c>
      <c r="H4" s="3187"/>
      <c r="I4" s="3186" t="s">
        <v>2643</v>
      </c>
      <c r="J4" s="3187"/>
      <c r="K4" s="609" t="s">
        <v>2644</v>
      </c>
      <c r="L4" s="1131"/>
      <c r="M4" s="1132"/>
      <c r="N4" s="1132"/>
      <c r="O4" s="1132"/>
      <c r="P4" s="3190" t="s">
        <v>2645</v>
      </c>
      <c r="Q4" s="3191"/>
      <c r="R4" s="3196" t="s">
        <v>2641</v>
      </c>
      <c r="S4" s="3197"/>
      <c r="T4" s="3196" t="s">
        <v>2642</v>
      </c>
      <c r="U4" s="3197"/>
      <c r="V4" s="3202" t="s">
        <v>2643</v>
      </c>
      <c r="W4" s="3202"/>
      <c r="X4" s="1813"/>
      <c r="Y4" s="3196" t="s">
        <v>2645</v>
      </c>
      <c r="Z4" s="3197"/>
      <c r="AA4" s="3183" t="s">
        <v>2641</v>
      </c>
      <c r="AB4" s="3184" t="s">
        <v>2642</v>
      </c>
      <c r="AC4" s="3183" t="s">
        <v>2643</v>
      </c>
    </row>
    <row r="5" spans="1:29" ht="15">
      <c r="A5" s="403"/>
      <c r="B5" s="404"/>
      <c r="C5" s="3205" t="s">
        <v>2536</v>
      </c>
      <c r="D5" s="3206"/>
      <c r="E5" s="3212" t="s">
        <v>2537</v>
      </c>
      <c r="F5" s="3213"/>
      <c r="G5" s="3205" t="s">
        <v>2538</v>
      </c>
      <c r="H5" s="3206"/>
      <c r="I5" s="3205" t="s">
        <v>2539</v>
      </c>
      <c r="J5" s="3206"/>
      <c r="K5" s="609"/>
      <c r="L5" s="1131"/>
      <c r="M5" s="1132"/>
      <c r="N5" s="1132"/>
      <c r="O5" s="1132"/>
      <c r="P5" s="3192"/>
      <c r="Q5" s="3193"/>
      <c r="R5" s="3198"/>
      <c r="S5" s="3199"/>
      <c r="T5" s="3198"/>
      <c r="U5" s="3199"/>
      <c r="V5" s="3202"/>
      <c r="W5" s="3202"/>
      <c r="X5" s="1813"/>
      <c r="Y5" s="3198"/>
      <c r="Z5" s="3199"/>
      <c r="AA5" s="3184"/>
      <c r="AB5" s="3184"/>
      <c r="AC5" s="3184"/>
    </row>
    <row r="6" spans="1:29" ht="15.75" thickBot="1">
      <c r="A6" s="405"/>
      <c r="B6" s="406"/>
      <c r="C6" s="3203" t="s">
        <v>2540</v>
      </c>
      <c r="D6" s="3204"/>
      <c r="E6" s="3210" t="s">
        <v>2540</v>
      </c>
      <c r="F6" s="3211"/>
      <c r="G6" s="3203" t="s">
        <v>2540</v>
      </c>
      <c r="H6" s="3204"/>
      <c r="I6" s="3203" t="s">
        <v>2540</v>
      </c>
      <c r="J6" s="3204"/>
      <c r="K6" s="609" t="s">
        <v>2541</v>
      </c>
      <c r="L6" s="1131"/>
      <c r="M6" s="1132"/>
      <c r="N6" s="1132"/>
      <c r="O6" s="1132"/>
      <c r="P6" s="3194"/>
      <c r="Q6" s="3195"/>
      <c r="R6" s="3198"/>
      <c r="S6" s="3199"/>
      <c r="T6" s="3200"/>
      <c r="U6" s="3201"/>
      <c r="V6" s="3202"/>
      <c r="W6" s="3202"/>
      <c r="X6" s="1813"/>
      <c r="Y6" s="3200"/>
      <c r="Z6" s="3201"/>
      <c r="AA6" s="3185"/>
      <c r="AB6" s="3185"/>
      <c r="AC6" s="3185"/>
    </row>
    <row r="7" spans="1:29" s="116" customFormat="1" ht="15.75" thickBot="1">
      <c r="A7" s="407" t="s">
        <v>2542</v>
      </c>
      <c r="B7" s="408"/>
      <c r="C7" s="409">
        <f>'数据-取费表'!B2</f>
        <v>43488</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07" t="s">
        <v>2543</v>
      </c>
      <c r="Q7" s="3209"/>
      <c r="R7" s="769" t="s">
        <v>17</v>
      </c>
      <c r="S7" s="770">
        <f t="shared" ref="S7:S14" si="0">F7</f>
        <v>0</v>
      </c>
      <c r="T7" s="769" t="s">
        <v>17</v>
      </c>
      <c r="U7" s="770">
        <f t="shared" ref="U7:U14" si="1">H7</f>
        <v>0</v>
      </c>
      <c r="V7" s="769" t="s">
        <v>17</v>
      </c>
      <c r="W7" s="770">
        <f t="shared" ref="W7:W14" si="2">J7</f>
        <v>0</v>
      </c>
      <c r="X7" s="771"/>
      <c r="Y7" s="3207" t="s">
        <v>2543</v>
      </c>
      <c r="Z7" s="3208"/>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07" t="s">
        <v>2546</v>
      </c>
      <c r="Q8" s="3208"/>
      <c r="R8" s="769" t="s">
        <v>17</v>
      </c>
      <c r="S8" s="770">
        <f t="shared" si="0"/>
        <v>0</v>
      </c>
      <c r="T8" s="769" t="s">
        <v>17</v>
      </c>
      <c r="U8" s="770">
        <f t="shared" si="1"/>
        <v>0</v>
      </c>
      <c r="V8" s="769" t="s">
        <v>17</v>
      </c>
      <c r="W8" s="770">
        <f t="shared" si="2"/>
        <v>0</v>
      </c>
      <c r="X8" s="771"/>
      <c r="Y8" s="3207" t="s">
        <v>2546</v>
      </c>
      <c r="Z8" s="3208"/>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71" t="s">
        <v>2549</v>
      </c>
      <c r="Q9" s="1795" t="str">
        <f t="shared" ref="Q9:Q14" si="6">B9</f>
        <v>用途</v>
      </c>
      <c r="R9" s="769" t="s">
        <v>17</v>
      </c>
      <c r="S9" s="770">
        <f t="shared" si="0"/>
        <v>100</v>
      </c>
      <c r="T9" s="769" t="s">
        <v>17</v>
      </c>
      <c r="U9" s="770">
        <f t="shared" si="1"/>
        <v>100</v>
      </c>
      <c r="V9" s="769" t="s">
        <v>17</v>
      </c>
      <c r="W9" s="770">
        <f t="shared" si="2"/>
        <v>100</v>
      </c>
      <c r="X9" s="771"/>
      <c r="Y9" s="2997"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71"/>
      <c r="Q10" s="1795"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71"/>
      <c r="Q11" s="1795">
        <f t="shared" si="6"/>
        <v>111</v>
      </c>
      <c r="R11" s="769" t="s">
        <v>17</v>
      </c>
      <c r="S11" s="770">
        <f t="shared" si="0"/>
        <v>100</v>
      </c>
      <c r="T11" s="769" t="s">
        <v>17</v>
      </c>
      <c r="U11" s="770">
        <f t="shared" si="1"/>
        <v>100</v>
      </c>
      <c r="V11" s="769" t="s">
        <v>17</v>
      </c>
      <c r="W11" s="770">
        <f t="shared" si="2"/>
        <v>100</v>
      </c>
      <c r="X11" s="771"/>
      <c r="Y11" s="2997"/>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71"/>
      <c r="Q12" s="1795">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71"/>
      <c r="Q13" s="1795">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85.5">
      <c r="A14" s="400" t="s">
        <v>2553</v>
      </c>
      <c r="B14" s="628" t="s">
        <v>2703</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73" t="s">
        <v>2554</v>
      </c>
      <c r="Q14" s="1810" t="str">
        <f t="shared" si="6"/>
        <v>交通便捷度</v>
      </c>
      <c r="R14" s="773" t="s">
        <v>17</v>
      </c>
      <c r="S14" s="774">
        <f t="shared" si="0"/>
        <v>100</v>
      </c>
      <c r="T14" s="773" t="s">
        <v>17</v>
      </c>
      <c r="U14" s="774">
        <f t="shared" si="1"/>
        <v>100</v>
      </c>
      <c r="V14" s="773" t="s">
        <v>17</v>
      </c>
      <c r="W14" s="774">
        <f t="shared" si="2"/>
        <v>100</v>
      </c>
      <c r="X14" s="1813"/>
      <c r="Y14" s="3173" t="s">
        <v>2554</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174"/>
      <c r="Q15" s="1810"/>
      <c r="R15" s="773"/>
      <c r="S15" s="774"/>
      <c r="T15" s="773"/>
      <c r="U15" s="774"/>
      <c r="V15" s="773"/>
      <c r="W15" s="774"/>
      <c r="X15" s="1813"/>
      <c r="Y15" s="3174"/>
      <c r="Z15" s="1814"/>
      <c r="AA15" s="1811">
        <v>1</v>
      </c>
      <c r="AB15" s="1811">
        <v>1</v>
      </c>
      <c r="AC15" s="1811">
        <v>1</v>
      </c>
    </row>
    <row r="16" spans="1:29" ht="42.75">
      <c r="A16" s="403"/>
      <c r="B16" s="630" t="s">
        <v>2682</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74"/>
      <c r="Q16" s="1810" t="str">
        <f>B16</f>
        <v>公共配套设施</v>
      </c>
      <c r="R16" s="773" t="s">
        <v>17</v>
      </c>
      <c r="S16" s="774">
        <f>F16</f>
        <v>100</v>
      </c>
      <c r="T16" s="773" t="s">
        <v>17</v>
      </c>
      <c r="U16" s="774">
        <f>H16</f>
        <v>100</v>
      </c>
      <c r="V16" s="773" t="s">
        <v>17</v>
      </c>
      <c r="W16" s="774">
        <f>J16</f>
        <v>100</v>
      </c>
      <c r="X16" s="1813"/>
      <c r="Y16" s="3174"/>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1"/>
      <c r="M17" s="1132"/>
      <c r="N17" s="1132"/>
      <c r="O17" s="1132"/>
      <c r="P17" s="3174"/>
      <c r="Q17" s="1810"/>
      <c r="R17" s="773"/>
      <c r="S17" s="774"/>
      <c r="T17" s="773"/>
      <c r="U17" s="774"/>
      <c r="V17" s="773"/>
      <c r="W17" s="774"/>
      <c r="X17" s="1813"/>
      <c r="Y17" s="3174"/>
      <c r="Z17" s="1814"/>
      <c r="AA17" s="1811">
        <v>1</v>
      </c>
      <c r="AB17" s="1811">
        <v>1</v>
      </c>
      <c r="AC17" s="1811">
        <v>1</v>
      </c>
    </row>
    <row r="18" spans="1:29" ht="28.5">
      <c r="A18" s="403"/>
      <c r="B18" s="632" t="s">
        <v>2683</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74"/>
      <c r="Q18" s="1810" t="str">
        <f>B18</f>
        <v>基础设施水平</v>
      </c>
      <c r="R18" s="773" t="s">
        <v>17</v>
      </c>
      <c r="S18" s="774">
        <f>F18</f>
        <v>100</v>
      </c>
      <c r="T18" s="773" t="s">
        <v>17</v>
      </c>
      <c r="U18" s="774">
        <f>H18</f>
        <v>100</v>
      </c>
      <c r="V18" s="773" t="s">
        <v>17</v>
      </c>
      <c r="W18" s="774">
        <f>J18</f>
        <v>100</v>
      </c>
      <c r="X18" s="1813"/>
      <c r="Y18" s="3174"/>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4"/>
      <c r="L19" s="1141"/>
      <c r="M19" s="1132"/>
      <c r="N19" s="1132"/>
      <c r="O19" s="1132"/>
      <c r="P19" s="3174"/>
      <c r="Q19" s="1810"/>
      <c r="R19" s="773"/>
      <c r="S19" s="774"/>
      <c r="T19" s="773"/>
      <c r="U19" s="774"/>
      <c r="V19" s="773"/>
      <c r="W19" s="774"/>
      <c r="X19" s="1813"/>
      <c r="Y19" s="3174"/>
      <c r="Z19" s="1814"/>
      <c r="AA19" s="1811">
        <v>1</v>
      </c>
      <c r="AB19" s="1811">
        <v>1</v>
      </c>
      <c r="AC19" s="1811">
        <v>1</v>
      </c>
    </row>
    <row r="20" spans="1:29" ht="57">
      <c r="A20" s="403"/>
      <c r="B20" s="630" t="s">
        <v>2704</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74"/>
      <c r="Q20" s="1810" t="str">
        <f>B20</f>
        <v>自然及人文环境</v>
      </c>
      <c r="R20" s="773" t="s">
        <v>17</v>
      </c>
      <c r="S20" s="774">
        <f>F20</f>
        <v>100</v>
      </c>
      <c r="T20" s="773" t="s">
        <v>17</v>
      </c>
      <c r="U20" s="774">
        <f>H20</f>
        <v>100</v>
      </c>
      <c r="V20" s="773" t="s">
        <v>17</v>
      </c>
      <c r="W20" s="774">
        <f>J20</f>
        <v>100</v>
      </c>
      <c r="X20" s="1813"/>
      <c r="Y20" s="3174"/>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174"/>
      <c r="Q21" s="1810"/>
      <c r="R21" s="773"/>
      <c r="S21" s="774"/>
      <c r="T21" s="773"/>
      <c r="U21" s="774"/>
      <c r="V21" s="773"/>
      <c r="W21" s="774"/>
      <c r="X21" s="1813"/>
      <c r="Y21" s="3174"/>
      <c r="Z21" s="1814"/>
      <c r="AA21" s="1811">
        <v>1</v>
      </c>
      <c r="AB21" s="1811">
        <v>1</v>
      </c>
      <c r="AC21" s="1811">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74"/>
      <c r="Q22" s="1810" t="str">
        <f>B22</f>
        <v>楼层</v>
      </c>
      <c r="R22" s="773" t="s">
        <v>17</v>
      </c>
      <c r="S22" s="774">
        <f>F22</f>
        <v>100</v>
      </c>
      <c r="T22" s="773" t="s">
        <v>17</v>
      </c>
      <c r="U22" s="774">
        <f>H22</f>
        <v>100</v>
      </c>
      <c r="V22" s="773" t="s">
        <v>17</v>
      </c>
      <c r="W22" s="774">
        <f>J22</f>
        <v>100</v>
      </c>
      <c r="X22" s="1813"/>
      <c r="Y22" s="3174"/>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74"/>
      <c r="Q23" s="1810">
        <f>B23</f>
        <v>111</v>
      </c>
      <c r="R23" s="773" t="s">
        <v>17</v>
      </c>
      <c r="S23" s="774">
        <f>F23</f>
        <v>100</v>
      </c>
      <c r="T23" s="773" t="s">
        <v>17</v>
      </c>
      <c r="U23" s="774">
        <f>H23</f>
        <v>100</v>
      </c>
      <c r="V23" s="773" t="s">
        <v>17</v>
      </c>
      <c r="W23" s="774">
        <f>J23</f>
        <v>100</v>
      </c>
      <c r="X23" s="1813"/>
      <c r="Y23" s="3174"/>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74"/>
      <c r="Q24" s="1810">
        <f t="shared" ref="Q24:Q36" si="11">B24</f>
        <v>111</v>
      </c>
      <c r="R24" s="773" t="s">
        <v>17</v>
      </c>
      <c r="S24" s="774">
        <f>F24</f>
        <v>100</v>
      </c>
      <c r="T24" s="773" t="s">
        <v>17</v>
      </c>
      <c r="U24" s="774">
        <f>H24</f>
        <v>100</v>
      </c>
      <c r="V24" s="773" t="s">
        <v>17</v>
      </c>
      <c r="W24" s="774">
        <f>J24</f>
        <v>100</v>
      </c>
      <c r="X24" s="1813"/>
      <c r="Y24" s="3174"/>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74"/>
      <c r="Q25" s="1795">
        <f t="shared" si="11"/>
        <v>111</v>
      </c>
      <c r="R25" s="769" t="s">
        <v>17</v>
      </c>
      <c r="S25" s="770">
        <f>F25</f>
        <v>100</v>
      </c>
      <c r="T25" s="769" t="s">
        <v>17</v>
      </c>
      <c r="U25" s="770">
        <f>H25</f>
        <v>100</v>
      </c>
      <c r="V25" s="769" t="s">
        <v>17</v>
      </c>
      <c r="W25" s="770">
        <f>J25</f>
        <v>100</v>
      </c>
      <c r="X25" s="771"/>
      <c r="Y25" s="3174"/>
      <c r="Z25" s="54">
        <f>Q25</f>
        <v>111</v>
      </c>
      <c r="AA25" s="1811">
        <f>D25/F25</f>
        <v>1</v>
      </c>
      <c r="AB25" s="1811">
        <f>D25/H25</f>
        <v>1</v>
      </c>
      <c r="AC25" s="1811">
        <f>D25/J25</f>
        <v>1</v>
      </c>
    </row>
    <row r="26" spans="1:29" ht="28.5">
      <c r="A26" s="651" t="s">
        <v>2557</v>
      </c>
      <c r="B26" s="69" t="s">
        <v>2706</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29" t="s">
        <v>2559</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178" t="s">
        <v>2559</v>
      </c>
      <c r="Z26" s="1814" t="str">
        <f t="shared" ref="Z26:Z36" si="15">Q26</f>
        <v>配套类型</v>
      </c>
      <c r="AA26" s="1811">
        <f t="shared" si="3"/>
        <v>1</v>
      </c>
      <c r="AB26" s="1811">
        <f t="shared" si="4"/>
        <v>1</v>
      </c>
      <c r="AC26" s="1811">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78"/>
      <c r="Q27" s="775" t="str">
        <f t="shared" si="11"/>
        <v>项目停车位配比</v>
      </c>
      <c r="R27" s="776" t="s">
        <v>17</v>
      </c>
      <c r="S27" s="777">
        <f t="shared" si="12"/>
        <v>100</v>
      </c>
      <c r="T27" s="776" t="s">
        <v>17</v>
      </c>
      <c r="U27" s="777">
        <f t="shared" si="13"/>
        <v>100</v>
      </c>
      <c r="V27" s="776" t="s">
        <v>17</v>
      </c>
      <c r="W27" s="777">
        <f t="shared" si="14"/>
        <v>100</v>
      </c>
      <c r="X27" s="778"/>
      <c r="Y27" s="3178"/>
      <c r="Z27" s="779" t="str">
        <f t="shared" si="15"/>
        <v>项目停车位配比</v>
      </c>
      <c r="AA27" s="1811">
        <f t="shared" si="3"/>
        <v>1</v>
      </c>
      <c r="AB27" s="1811">
        <f t="shared" si="4"/>
        <v>1</v>
      </c>
      <c r="AC27" s="1811">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78"/>
      <c r="Q28" s="1810" t="str">
        <f t="shared" si="11"/>
        <v>公共部分装修</v>
      </c>
      <c r="R28" s="773" t="s">
        <v>17</v>
      </c>
      <c r="S28" s="774">
        <f t="shared" si="12"/>
        <v>100</v>
      </c>
      <c r="T28" s="773" t="s">
        <v>17</v>
      </c>
      <c r="U28" s="774">
        <f t="shared" si="13"/>
        <v>100</v>
      </c>
      <c r="V28" s="773" t="s">
        <v>17</v>
      </c>
      <c r="W28" s="774">
        <f t="shared" si="14"/>
        <v>100</v>
      </c>
      <c r="X28" s="1813"/>
      <c r="Y28" s="3178"/>
      <c r="Z28" s="1814" t="str">
        <f t="shared" si="15"/>
        <v>公共部分装修</v>
      </c>
      <c r="AA28" s="1811">
        <f t="shared" si="3"/>
        <v>1</v>
      </c>
      <c r="AB28" s="1811">
        <f t="shared" si="4"/>
        <v>1</v>
      </c>
      <c r="AC28" s="1811">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78"/>
      <c r="Q29" s="1810" t="str">
        <f t="shared" si="11"/>
        <v>成新率</v>
      </c>
      <c r="R29" s="773" t="s">
        <v>17</v>
      </c>
      <c r="S29" s="774" t="e">
        <f t="shared" si="12"/>
        <v>#N/A</v>
      </c>
      <c r="T29" s="773" t="s">
        <v>17</v>
      </c>
      <c r="U29" s="774" t="e">
        <f t="shared" si="13"/>
        <v>#N/A</v>
      </c>
      <c r="V29" s="773" t="s">
        <v>17</v>
      </c>
      <c r="W29" s="774" t="e">
        <f t="shared" si="14"/>
        <v>#N/A</v>
      </c>
      <c r="X29" s="1813"/>
      <c r="Y29" s="3178"/>
      <c r="Z29" s="1814" t="str">
        <f t="shared" si="15"/>
        <v>成新率</v>
      </c>
      <c r="AA29" s="1811" t="e">
        <f t="shared" si="3"/>
        <v>#N/A</v>
      </c>
      <c r="AB29" s="1811" t="e">
        <f t="shared" si="4"/>
        <v>#N/A</v>
      </c>
      <c r="AC29" s="1811"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78"/>
      <c r="Q30" s="1810" t="str">
        <f t="shared" si="11"/>
        <v>物业等级</v>
      </c>
      <c r="R30" s="773" t="s">
        <v>17</v>
      </c>
      <c r="S30" s="774">
        <f t="shared" si="12"/>
        <v>100</v>
      </c>
      <c r="T30" s="773" t="s">
        <v>17</v>
      </c>
      <c r="U30" s="774">
        <f t="shared" si="13"/>
        <v>100</v>
      </c>
      <c r="V30" s="773" t="s">
        <v>17</v>
      </c>
      <c r="W30" s="774">
        <f t="shared" si="14"/>
        <v>100</v>
      </c>
      <c r="X30" s="1813"/>
      <c r="Y30" s="3178"/>
      <c r="Z30" s="1814" t="str">
        <f t="shared" si="15"/>
        <v>物业等级</v>
      </c>
      <c r="AA30" s="1811">
        <f t="shared" si="3"/>
        <v>1</v>
      </c>
      <c r="AB30" s="1811">
        <f t="shared" si="4"/>
        <v>1</v>
      </c>
      <c r="AC30" s="1811">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78"/>
      <c r="Q31" s="1795" t="str">
        <f t="shared" si="11"/>
        <v>停车位面积</v>
      </c>
      <c r="R31" s="769" t="s">
        <v>17</v>
      </c>
      <c r="S31" s="770" t="e">
        <f t="shared" si="12"/>
        <v>#N/A</v>
      </c>
      <c r="T31" s="769" t="s">
        <v>17</v>
      </c>
      <c r="U31" s="770" t="e">
        <f t="shared" si="13"/>
        <v>#N/A</v>
      </c>
      <c r="V31" s="769" t="s">
        <v>17</v>
      </c>
      <c r="W31" s="770" t="e">
        <f t="shared" si="14"/>
        <v>#N/A</v>
      </c>
      <c r="X31" s="771"/>
      <c r="Y31" s="3178"/>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78" t="s">
        <v>2559</v>
      </c>
      <c r="Q32" s="1810" t="str">
        <f t="shared" si="11"/>
        <v>车位类型</v>
      </c>
      <c r="R32" s="773" t="s">
        <v>17</v>
      </c>
      <c r="S32" s="774">
        <f t="shared" si="12"/>
        <v>100</v>
      </c>
      <c r="T32" s="773" t="s">
        <v>17</v>
      </c>
      <c r="U32" s="774">
        <f t="shared" si="13"/>
        <v>100</v>
      </c>
      <c r="V32" s="773" t="s">
        <v>17</v>
      </c>
      <c r="W32" s="774">
        <f t="shared" si="14"/>
        <v>100</v>
      </c>
      <c r="X32" s="1813"/>
      <c r="Y32" s="3178" t="s">
        <v>2559</v>
      </c>
      <c r="Z32" s="1814" t="str">
        <f t="shared" si="15"/>
        <v>车位类型</v>
      </c>
      <c r="AA32" s="1811">
        <f t="shared" si="3"/>
        <v>1</v>
      </c>
      <c r="AB32" s="1811">
        <f t="shared" si="4"/>
        <v>1</v>
      </c>
      <c r="AC32" s="1811">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78"/>
      <c r="Q33" s="1810" t="str">
        <f t="shared" si="11"/>
        <v>是否直接入户</v>
      </c>
      <c r="R33" s="773" t="s">
        <v>17</v>
      </c>
      <c r="S33" s="774">
        <f t="shared" si="12"/>
        <v>100</v>
      </c>
      <c r="T33" s="773" t="s">
        <v>17</v>
      </c>
      <c r="U33" s="774">
        <f t="shared" si="13"/>
        <v>100</v>
      </c>
      <c r="V33" s="773" t="s">
        <v>17</v>
      </c>
      <c r="W33" s="774">
        <f t="shared" si="14"/>
        <v>100</v>
      </c>
      <c r="X33" s="1813"/>
      <c r="Y33" s="3178"/>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78"/>
      <c r="Q34" s="1810">
        <f t="shared" si="11"/>
        <v>111</v>
      </c>
      <c r="R34" s="773" t="s">
        <v>17</v>
      </c>
      <c r="S34" s="774">
        <f t="shared" si="12"/>
        <v>100</v>
      </c>
      <c r="T34" s="773" t="s">
        <v>17</v>
      </c>
      <c r="U34" s="774">
        <f t="shared" si="13"/>
        <v>100</v>
      </c>
      <c r="V34" s="773" t="s">
        <v>17</v>
      </c>
      <c r="W34" s="774">
        <f t="shared" si="14"/>
        <v>100</v>
      </c>
      <c r="X34" s="1813"/>
      <c r="Y34" s="3178"/>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78"/>
      <c r="Q35" s="775">
        <f t="shared" si="11"/>
        <v>111</v>
      </c>
      <c r="R35" s="776" t="s">
        <v>17</v>
      </c>
      <c r="S35" s="777">
        <f t="shared" si="12"/>
        <v>100</v>
      </c>
      <c r="T35" s="776" t="s">
        <v>17</v>
      </c>
      <c r="U35" s="777">
        <f t="shared" si="13"/>
        <v>100</v>
      </c>
      <c r="V35" s="776" t="s">
        <v>17</v>
      </c>
      <c r="W35" s="777">
        <f t="shared" si="14"/>
        <v>100</v>
      </c>
      <c r="X35" s="778"/>
      <c r="Y35" s="3178"/>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78"/>
      <c r="Q36" s="1810">
        <f t="shared" si="11"/>
        <v>111</v>
      </c>
      <c r="R36" s="773" t="s">
        <v>17</v>
      </c>
      <c r="S36" s="774">
        <f t="shared" si="12"/>
        <v>100</v>
      </c>
      <c r="T36" s="773" t="s">
        <v>17</v>
      </c>
      <c r="U36" s="774">
        <f t="shared" si="13"/>
        <v>100</v>
      </c>
      <c r="V36" s="773" t="s">
        <v>17</v>
      </c>
      <c r="W36" s="774">
        <f t="shared" si="14"/>
        <v>100</v>
      </c>
      <c r="X36" s="1813"/>
      <c r="Y36" s="3178"/>
      <c r="Z36" s="1814">
        <f t="shared" si="15"/>
        <v>111</v>
      </c>
      <c r="AA36" s="1811">
        <f t="shared" si="3"/>
        <v>1</v>
      </c>
      <c r="AB36" s="1811">
        <f t="shared" si="4"/>
        <v>1</v>
      </c>
      <c r="AC36" s="1811">
        <f t="shared" si="5"/>
        <v>1</v>
      </c>
    </row>
    <row r="37" spans="1:29" ht="15">
      <c r="A37" s="478" t="s">
        <v>2714</v>
      </c>
      <c r="B37" s="2697" t="s">
        <v>2715</v>
      </c>
      <c r="C37" s="1408" t="s">
        <v>1</v>
      </c>
      <c r="D37" s="1409"/>
      <c r="E37" s="1410"/>
      <c r="F37" s="1411"/>
      <c r="G37" s="1412"/>
      <c r="H37" s="1413"/>
      <c r="I37" s="1410"/>
      <c r="J37" s="1413"/>
      <c r="K37" s="618"/>
      <c r="L37" s="1144"/>
      <c r="M37" s="1145"/>
      <c r="N37" s="1132"/>
      <c r="O37" s="1145"/>
      <c r="P37" s="3171" t="str">
        <f>A37</f>
        <v>成交单价</v>
      </c>
      <c r="Q37" s="3171"/>
      <c r="R37" s="3172">
        <f>E37</f>
        <v>0</v>
      </c>
      <c r="S37" s="3172"/>
      <c r="T37" s="3172">
        <f>G37</f>
        <v>0</v>
      </c>
      <c r="U37" s="3172"/>
      <c r="V37" s="3172">
        <f>I37</f>
        <v>0</v>
      </c>
      <c r="W37" s="3172"/>
      <c r="X37" s="758"/>
      <c r="Y37" s="780"/>
      <c r="Z37" s="758"/>
      <c r="AA37" s="758"/>
      <c r="AB37" s="758"/>
      <c r="AC37" s="758"/>
    </row>
    <row r="38" spans="1:29" ht="15.75" thickBot="1">
      <c r="A38" s="485" t="s">
        <v>2716</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8"/>
      <c r="Y38" s="758"/>
      <c r="Z38" s="758"/>
      <c r="AA38" s="758"/>
      <c r="AB38" s="758"/>
      <c r="AC38" s="758"/>
    </row>
    <row r="39" spans="1:29" ht="15.75" thickBot="1">
      <c r="A39" s="491" t="s">
        <v>2717</v>
      </c>
      <c r="B39" s="492"/>
      <c r="C39" s="1418" t="e">
        <f>R39</f>
        <v>#DIV/0!</v>
      </c>
      <c r="D39" s="1418"/>
      <c r="E39" s="1418"/>
      <c r="F39" s="1418"/>
      <c r="G39" s="1418"/>
      <c r="H39" s="1418"/>
      <c r="I39" s="1418"/>
      <c r="J39" s="1418"/>
      <c r="K39" s="620"/>
      <c r="L39" s="1144"/>
      <c r="M39" s="1145"/>
      <c r="N39" s="1145"/>
      <c r="O39" s="1145"/>
      <c r="P39" s="3168" t="str">
        <f>A39</f>
        <v>估价对象XX用房的比较价值（楼面单价，元/平方米）</v>
      </c>
      <c r="Q39" s="3169"/>
      <c r="R39" s="3170" t="e">
        <f>IF(F1="售价",ROUND(AVERAGE(R38:V38),0),ROUND(AVERAGE(R38:V38),1))</f>
        <v>#DIV/0!</v>
      </c>
      <c r="S39" s="3170"/>
      <c r="T39" s="3170"/>
      <c r="U39" s="3170"/>
      <c r="V39" s="3170"/>
      <c r="W39" s="3170"/>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2722</v>
      </c>
      <c r="B48" s="505"/>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2579</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2544</v>
      </c>
      <c r="B51" s="509"/>
      <c r="C51" s="521" t="s">
        <v>2646</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2582</v>
      </c>
      <c r="B53" s="527" t="s">
        <v>2548</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2597</v>
      </c>
      <c r="C65" s="577" t="s">
        <v>2591</v>
      </c>
      <c r="D65" s="577" t="s">
        <v>2592</v>
      </c>
      <c r="E65" s="577" t="s">
        <v>2593</v>
      </c>
      <c r="F65" s="577" t="s">
        <v>2594</v>
      </c>
      <c r="G65" s="577" t="s">
        <v>2595</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2683</v>
      </c>
      <c r="C67" s="659" t="s">
        <v>2669</v>
      </c>
      <c r="D67" s="659" t="s">
        <v>2670</v>
      </c>
      <c r="E67" s="659" t="s">
        <v>2671</v>
      </c>
      <c r="F67" s="659" t="s">
        <v>2672</v>
      </c>
      <c r="G67" s="659" t="s">
        <v>2673</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2603</v>
      </c>
      <c r="C69" s="577" t="s">
        <v>2591</v>
      </c>
      <c r="D69" s="577" t="s">
        <v>2592</v>
      </c>
      <c r="E69" s="577" t="s">
        <v>2593</v>
      </c>
      <c r="F69" s="577" t="s">
        <v>2594</v>
      </c>
      <c r="G69" s="577" t="s">
        <v>2595</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2723</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2557</v>
      </c>
      <c r="B79" s="527" t="s">
        <v>2724</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2725</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2610</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2727</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2729</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2730</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IF(C2="——",ROUND(C37*D3/10000,0),ROUND(C37*D3/10000,0)-D2)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186" t="s">
        <v>2640</v>
      </c>
      <c r="D4" s="3187"/>
      <c r="E4" s="3188" t="s">
        <v>2641</v>
      </c>
      <c r="F4" s="3189"/>
      <c r="G4" s="3186" t="s">
        <v>2642</v>
      </c>
      <c r="H4" s="3187"/>
      <c r="I4" s="3186" t="s">
        <v>2643</v>
      </c>
      <c r="J4" s="3187"/>
      <c r="K4" s="609" t="s">
        <v>2644</v>
      </c>
      <c r="L4" s="1131"/>
      <c r="M4" s="1132"/>
      <c r="N4" s="1132"/>
      <c r="O4" s="1132"/>
      <c r="P4" s="3190" t="s">
        <v>2645</v>
      </c>
      <c r="Q4" s="3191"/>
      <c r="R4" s="3196" t="s">
        <v>2641</v>
      </c>
      <c r="S4" s="3197"/>
      <c r="T4" s="3196" t="s">
        <v>2642</v>
      </c>
      <c r="U4" s="3197"/>
      <c r="V4" s="3202" t="s">
        <v>2643</v>
      </c>
      <c r="W4" s="3202"/>
      <c r="X4" s="1813"/>
      <c r="Y4" s="3196" t="s">
        <v>2645</v>
      </c>
      <c r="Z4" s="3197"/>
      <c r="AA4" s="3183" t="s">
        <v>2641</v>
      </c>
      <c r="AB4" s="3184" t="s">
        <v>2642</v>
      </c>
      <c r="AC4" s="3183" t="s">
        <v>2643</v>
      </c>
    </row>
    <row r="5" spans="1:29" ht="15">
      <c r="A5" s="403"/>
      <c r="B5" s="404"/>
      <c r="C5" s="3205" t="s">
        <v>2536</v>
      </c>
      <c r="D5" s="3206"/>
      <c r="E5" s="3212" t="s">
        <v>2537</v>
      </c>
      <c r="F5" s="3213"/>
      <c r="G5" s="3205" t="s">
        <v>2538</v>
      </c>
      <c r="H5" s="3206"/>
      <c r="I5" s="3205" t="s">
        <v>2539</v>
      </c>
      <c r="J5" s="3206"/>
      <c r="K5" s="609"/>
      <c r="L5" s="1131"/>
      <c r="M5" s="1132"/>
      <c r="N5" s="1132"/>
      <c r="O5" s="1132"/>
      <c r="P5" s="3192"/>
      <c r="Q5" s="3193"/>
      <c r="R5" s="3198"/>
      <c r="S5" s="3199"/>
      <c r="T5" s="3198"/>
      <c r="U5" s="3199"/>
      <c r="V5" s="3202"/>
      <c r="W5" s="3202"/>
      <c r="X5" s="1813"/>
      <c r="Y5" s="3198"/>
      <c r="Z5" s="3199"/>
      <c r="AA5" s="3184"/>
      <c r="AB5" s="3184"/>
      <c r="AC5" s="3184"/>
    </row>
    <row r="6" spans="1:29" ht="15.75" thickBot="1">
      <c r="A6" s="405"/>
      <c r="B6" s="406"/>
      <c r="C6" s="3203" t="s">
        <v>2540</v>
      </c>
      <c r="D6" s="3204"/>
      <c r="E6" s="3210" t="s">
        <v>2540</v>
      </c>
      <c r="F6" s="3211"/>
      <c r="G6" s="3203" t="s">
        <v>2540</v>
      </c>
      <c r="H6" s="3204"/>
      <c r="I6" s="3203" t="s">
        <v>2540</v>
      </c>
      <c r="J6" s="3204"/>
      <c r="K6" s="609" t="s">
        <v>2541</v>
      </c>
      <c r="L6" s="1131"/>
      <c r="M6" s="1132"/>
      <c r="N6" s="1132"/>
      <c r="O6" s="1132"/>
      <c r="P6" s="3194"/>
      <c r="Q6" s="3195"/>
      <c r="R6" s="3198"/>
      <c r="S6" s="3199"/>
      <c r="T6" s="3200"/>
      <c r="U6" s="3201"/>
      <c r="V6" s="3202"/>
      <c r="W6" s="3202"/>
      <c r="X6" s="1813"/>
      <c r="Y6" s="3200"/>
      <c r="Z6" s="3201"/>
      <c r="AA6" s="3185"/>
      <c r="AB6" s="3185"/>
      <c r="AC6" s="3185"/>
    </row>
    <row r="7" spans="1:29" s="116" customFormat="1" ht="15.75" thickBot="1">
      <c r="A7" s="407" t="s">
        <v>2542</v>
      </c>
      <c r="B7" s="408"/>
      <c r="C7" s="409">
        <f>'数据-取费表'!B2</f>
        <v>43488</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207" t="s">
        <v>2543</v>
      </c>
      <c r="Q7" s="3209"/>
      <c r="R7" s="769" t="s">
        <v>17</v>
      </c>
      <c r="S7" s="770">
        <f t="shared" ref="S7:S14" si="0">F7</f>
        <v>0</v>
      </c>
      <c r="T7" s="769" t="s">
        <v>17</v>
      </c>
      <c r="U7" s="770">
        <f t="shared" ref="U7:U14" si="1">H7</f>
        <v>0</v>
      </c>
      <c r="V7" s="769" t="s">
        <v>17</v>
      </c>
      <c r="W7" s="770">
        <f t="shared" ref="W7:W14" si="2">J7</f>
        <v>0</v>
      </c>
      <c r="X7" s="771"/>
      <c r="Y7" s="3207" t="s">
        <v>2543</v>
      </c>
      <c r="Z7" s="3208"/>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07" t="s">
        <v>2546</v>
      </c>
      <c r="Q8" s="3208"/>
      <c r="R8" s="769" t="s">
        <v>17</v>
      </c>
      <c r="S8" s="770">
        <f t="shared" si="0"/>
        <v>0</v>
      </c>
      <c r="T8" s="769" t="s">
        <v>17</v>
      </c>
      <c r="U8" s="770">
        <f t="shared" si="1"/>
        <v>0</v>
      </c>
      <c r="V8" s="769" t="s">
        <v>17</v>
      </c>
      <c r="W8" s="770">
        <f t="shared" si="2"/>
        <v>0</v>
      </c>
      <c r="X8" s="771"/>
      <c r="Y8" s="3207" t="s">
        <v>2546</v>
      </c>
      <c r="Z8" s="3208"/>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71" t="s">
        <v>2549</v>
      </c>
      <c r="Q9" s="1795" t="str">
        <f t="shared" ref="Q9:Q14" si="6">B9</f>
        <v>用途</v>
      </c>
      <c r="R9" s="769" t="s">
        <v>17</v>
      </c>
      <c r="S9" s="770">
        <f t="shared" si="0"/>
        <v>100</v>
      </c>
      <c r="T9" s="769" t="s">
        <v>17</v>
      </c>
      <c r="U9" s="770">
        <f t="shared" si="1"/>
        <v>100</v>
      </c>
      <c r="V9" s="769" t="s">
        <v>17</v>
      </c>
      <c r="W9" s="770">
        <f t="shared" si="2"/>
        <v>100</v>
      </c>
      <c r="X9" s="771"/>
      <c r="Y9" s="2997"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71"/>
      <c r="Q10" s="1795"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71"/>
      <c r="Q11" s="1795">
        <f t="shared" si="6"/>
        <v>111</v>
      </c>
      <c r="R11" s="769" t="s">
        <v>17</v>
      </c>
      <c r="S11" s="770">
        <f t="shared" si="0"/>
        <v>100</v>
      </c>
      <c r="T11" s="769" t="s">
        <v>17</v>
      </c>
      <c r="U11" s="770">
        <f t="shared" si="1"/>
        <v>100</v>
      </c>
      <c r="V11" s="769" t="s">
        <v>17</v>
      </c>
      <c r="W11" s="770">
        <f t="shared" si="2"/>
        <v>100</v>
      </c>
      <c r="X11" s="771"/>
      <c r="Y11" s="2997"/>
      <c r="Z11" s="54">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71"/>
      <c r="Q12" s="1795">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171"/>
      <c r="Q13" s="1795">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85.5">
      <c r="A14" s="439" t="s">
        <v>2553</v>
      </c>
      <c r="B14" s="68" t="s">
        <v>2703</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73" t="s">
        <v>2554</v>
      </c>
      <c r="Q14" s="1810" t="str">
        <f t="shared" si="6"/>
        <v>交通便捷度</v>
      </c>
      <c r="R14" s="773" t="s">
        <v>17</v>
      </c>
      <c r="S14" s="774">
        <f t="shared" si="0"/>
        <v>100</v>
      </c>
      <c r="T14" s="773" t="s">
        <v>17</v>
      </c>
      <c r="U14" s="774">
        <f t="shared" si="1"/>
        <v>100</v>
      </c>
      <c r="V14" s="773" t="s">
        <v>17</v>
      </c>
      <c r="W14" s="774">
        <f t="shared" si="2"/>
        <v>100</v>
      </c>
      <c r="X14" s="1813"/>
      <c r="Y14" s="3173" t="s">
        <v>2554</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174"/>
      <c r="Q15" s="1810"/>
      <c r="R15" s="773"/>
      <c r="S15" s="774"/>
      <c r="T15" s="773"/>
      <c r="U15" s="774"/>
      <c r="V15" s="773"/>
      <c r="W15" s="774"/>
      <c r="X15" s="1813"/>
      <c r="Y15" s="3174"/>
      <c r="Z15" s="1814"/>
      <c r="AA15" s="1811">
        <v>1</v>
      </c>
      <c r="AB15" s="1811">
        <v>1</v>
      </c>
      <c r="AC15" s="1811">
        <v>1</v>
      </c>
    </row>
    <row r="16" spans="1:29" ht="42.75">
      <c r="A16" s="427"/>
      <c r="B16" s="450" t="s">
        <v>2682</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74"/>
      <c r="Q16" s="1810" t="str">
        <f>B16</f>
        <v>公共配套设施</v>
      </c>
      <c r="R16" s="773" t="s">
        <v>17</v>
      </c>
      <c r="S16" s="774">
        <f>F16</f>
        <v>100</v>
      </c>
      <c r="T16" s="773" t="s">
        <v>17</v>
      </c>
      <c r="U16" s="774">
        <f>H16</f>
        <v>100</v>
      </c>
      <c r="V16" s="773" t="s">
        <v>17</v>
      </c>
      <c r="W16" s="774">
        <f>J16</f>
        <v>100</v>
      </c>
      <c r="X16" s="1813"/>
      <c r="Y16" s="3174"/>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1"/>
      <c r="M17" s="1132"/>
      <c r="N17" s="1132"/>
      <c r="O17" s="1140"/>
      <c r="P17" s="3174"/>
      <c r="Q17" s="1810"/>
      <c r="R17" s="773"/>
      <c r="S17" s="774"/>
      <c r="T17" s="773"/>
      <c r="U17" s="774"/>
      <c r="V17" s="773"/>
      <c r="W17" s="774"/>
      <c r="X17" s="1813"/>
      <c r="Y17" s="3174"/>
      <c r="Z17" s="1814"/>
      <c r="AA17" s="1811">
        <v>1</v>
      </c>
      <c r="AB17" s="1811">
        <v>1</v>
      </c>
      <c r="AC17" s="1811">
        <v>1</v>
      </c>
    </row>
    <row r="18" spans="1:29" ht="28.5">
      <c r="A18" s="427"/>
      <c r="B18" s="1385" t="s">
        <v>2683</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74"/>
      <c r="Q18" s="1810" t="str">
        <f>B18</f>
        <v>基础设施水平</v>
      </c>
      <c r="R18" s="773" t="s">
        <v>17</v>
      </c>
      <c r="S18" s="774">
        <f>F18</f>
        <v>100</v>
      </c>
      <c r="T18" s="773" t="s">
        <v>17</v>
      </c>
      <c r="U18" s="774">
        <f>H18</f>
        <v>100</v>
      </c>
      <c r="V18" s="773" t="s">
        <v>17</v>
      </c>
      <c r="W18" s="774">
        <f>J18</f>
        <v>100</v>
      </c>
      <c r="X18" s="1813"/>
      <c r="Y18" s="3174"/>
      <c r="Z18" s="1814" t="str">
        <f>Q18</f>
        <v>基础设施水平</v>
      </c>
      <c r="AA18" s="1811">
        <f t="shared" ref="AA18" si="8">D18/F18</f>
        <v>1</v>
      </c>
      <c r="AB18" s="1811">
        <f t="shared" ref="AB18" si="9">D18/H18</f>
        <v>1</v>
      </c>
      <c r="AC18" s="1811">
        <f t="shared" ref="AC18" si="10">D18/J18</f>
        <v>1</v>
      </c>
    </row>
    <row r="19" spans="1:29" ht="15">
      <c r="A19" s="427"/>
      <c r="B19" s="1385"/>
      <c r="C19" s="2610"/>
      <c r="D19" s="449"/>
      <c r="E19" s="2610"/>
      <c r="F19" s="452"/>
      <c r="G19" s="2610"/>
      <c r="H19" s="447"/>
      <c r="I19" s="446"/>
      <c r="J19" s="447"/>
      <c r="K19" s="1384"/>
      <c r="L19" s="1141"/>
      <c r="M19" s="1132"/>
      <c r="N19" s="1132"/>
      <c r="O19" s="1140"/>
      <c r="P19" s="3174"/>
      <c r="Q19" s="1810"/>
      <c r="R19" s="773"/>
      <c r="S19" s="774"/>
      <c r="T19" s="773"/>
      <c r="U19" s="774"/>
      <c r="V19" s="773"/>
      <c r="W19" s="774"/>
      <c r="X19" s="1813"/>
      <c r="Y19" s="3174"/>
      <c r="Z19" s="1814"/>
      <c r="AA19" s="1811">
        <v>1</v>
      </c>
      <c r="AB19" s="1811">
        <v>1</v>
      </c>
      <c r="AC19" s="1811">
        <v>1</v>
      </c>
    </row>
    <row r="20" spans="1:29" ht="57">
      <c r="A20" s="427"/>
      <c r="B20" s="450" t="s">
        <v>2704</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74"/>
      <c r="Q20" s="1810" t="str">
        <f>B20</f>
        <v>自然及人文环境</v>
      </c>
      <c r="R20" s="773" t="s">
        <v>17</v>
      </c>
      <c r="S20" s="774">
        <f>F20</f>
        <v>100</v>
      </c>
      <c r="T20" s="773" t="s">
        <v>17</v>
      </c>
      <c r="U20" s="774">
        <f>H20</f>
        <v>100</v>
      </c>
      <c r="V20" s="773" t="s">
        <v>17</v>
      </c>
      <c r="W20" s="774">
        <f>J20</f>
        <v>100</v>
      </c>
      <c r="X20" s="1813"/>
      <c r="Y20" s="3174"/>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174"/>
      <c r="Q21" s="1810"/>
      <c r="R21" s="773"/>
      <c r="S21" s="774"/>
      <c r="T21" s="773"/>
      <c r="U21" s="774"/>
      <c r="V21" s="773"/>
      <c r="W21" s="774"/>
      <c r="X21" s="1813"/>
      <c r="Y21" s="3174"/>
      <c r="Z21" s="1814"/>
      <c r="AA21" s="1811">
        <v>1</v>
      </c>
      <c r="AB21" s="1811">
        <v>1</v>
      </c>
      <c r="AC21" s="1811">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74"/>
      <c r="Q22" s="1810" t="str">
        <f>B22</f>
        <v>楼层</v>
      </c>
      <c r="R22" s="773" t="s">
        <v>17</v>
      </c>
      <c r="S22" s="774">
        <f>F22</f>
        <v>100</v>
      </c>
      <c r="T22" s="773" t="s">
        <v>17</v>
      </c>
      <c r="U22" s="774">
        <f>H22</f>
        <v>100</v>
      </c>
      <c r="V22" s="773" t="s">
        <v>17</v>
      </c>
      <c r="W22" s="774">
        <f>J22</f>
        <v>100</v>
      </c>
      <c r="X22" s="1813"/>
      <c r="Y22" s="3174"/>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74"/>
      <c r="Q23" s="1810">
        <f>B23</f>
        <v>111</v>
      </c>
      <c r="R23" s="773" t="s">
        <v>17</v>
      </c>
      <c r="S23" s="774">
        <f>F23</f>
        <v>100</v>
      </c>
      <c r="T23" s="773" t="s">
        <v>17</v>
      </c>
      <c r="U23" s="774">
        <f>H23</f>
        <v>100</v>
      </c>
      <c r="V23" s="773" t="s">
        <v>17</v>
      </c>
      <c r="W23" s="774">
        <f>J23</f>
        <v>100</v>
      </c>
      <c r="X23" s="1813"/>
      <c r="Y23" s="3174"/>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74"/>
      <c r="Q24" s="1810">
        <f t="shared" ref="Q24:Q34" si="11">B24</f>
        <v>111</v>
      </c>
      <c r="R24" s="773" t="s">
        <v>17</v>
      </c>
      <c r="S24" s="774">
        <f>F24</f>
        <v>100</v>
      </c>
      <c r="T24" s="773" t="s">
        <v>17</v>
      </c>
      <c r="U24" s="774">
        <f>H24</f>
        <v>100</v>
      </c>
      <c r="V24" s="773" t="s">
        <v>17</v>
      </c>
      <c r="W24" s="774">
        <f>J24</f>
        <v>100</v>
      </c>
      <c r="X24" s="1813"/>
      <c r="Y24" s="3174"/>
      <c r="Z24" s="1814">
        <f>Q24</f>
        <v>111</v>
      </c>
      <c r="AA24" s="1811">
        <f t="shared" si="3"/>
        <v>1</v>
      </c>
      <c r="AB24" s="1811">
        <f t="shared" si="4"/>
        <v>1</v>
      </c>
      <c r="AC24" s="1811">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174"/>
      <c r="Q25" s="1795">
        <f t="shared" si="11"/>
        <v>111</v>
      </c>
      <c r="R25" s="769" t="s">
        <v>17</v>
      </c>
      <c r="S25" s="770">
        <f>F25</f>
        <v>100</v>
      </c>
      <c r="T25" s="769" t="s">
        <v>17</v>
      </c>
      <c r="U25" s="770">
        <f>H25</f>
        <v>100</v>
      </c>
      <c r="V25" s="769" t="s">
        <v>17</v>
      </c>
      <c r="W25" s="770">
        <f>J25</f>
        <v>100</v>
      </c>
      <c r="X25" s="771"/>
      <c r="Y25" s="3174"/>
      <c r="Z25" s="54">
        <f>Q25</f>
        <v>111</v>
      </c>
      <c r="AA25" s="1811">
        <f>D25/F25</f>
        <v>1</v>
      </c>
      <c r="AB25" s="1811">
        <f>D25/H25</f>
        <v>1</v>
      </c>
      <c r="AC25" s="1811">
        <f>D25/J25</f>
        <v>1</v>
      </c>
    </row>
    <row r="26" spans="1:29" ht="28.5">
      <c r="A26" s="465" t="s">
        <v>2557</v>
      </c>
      <c r="B26" s="70" t="s">
        <v>2708</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29" t="s">
        <v>2559</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178" t="s">
        <v>2559</v>
      </c>
      <c r="Z26" s="1814" t="str">
        <f t="shared" ref="Z26:Z34" si="15">Q26</f>
        <v>公共部分装修</v>
      </c>
      <c r="AA26" s="1811">
        <f t="shared" si="3"/>
        <v>1</v>
      </c>
      <c r="AB26" s="1811">
        <f t="shared" si="4"/>
        <v>1</v>
      </c>
      <c r="AC26" s="1811">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78"/>
      <c r="Q27" s="775" t="str">
        <f t="shared" si="11"/>
        <v>成新率</v>
      </c>
      <c r="R27" s="776" t="s">
        <v>17</v>
      </c>
      <c r="S27" s="777" t="e">
        <f t="shared" si="12"/>
        <v>#N/A</v>
      </c>
      <c r="T27" s="776" t="s">
        <v>17</v>
      </c>
      <c r="U27" s="777" t="e">
        <f t="shared" si="13"/>
        <v>#N/A</v>
      </c>
      <c r="V27" s="776" t="s">
        <v>17</v>
      </c>
      <c r="W27" s="777" t="e">
        <f t="shared" si="14"/>
        <v>#N/A</v>
      </c>
      <c r="X27" s="778"/>
      <c r="Y27" s="3178"/>
      <c r="Z27" s="779" t="str">
        <f t="shared" si="15"/>
        <v>成新率</v>
      </c>
      <c r="AA27" s="1811" t="e">
        <f t="shared" si="3"/>
        <v>#N/A</v>
      </c>
      <c r="AB27" s="1811" t="e">
        <f t="shared" si="4"/>
        <v>#N/A</v>
      </c>
      <c r="AC27" s="1811"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78"/>
      <c r="Q28" s="1810" t="str">
        <f t="shared" si="11"/>
        <v>物业等级</v>
      </c>
      <c r="R28" s="773" t="s">
        <v>17</v>
      </c>
      <c r="S28" s="774">
        <f t="shared" si="12"/>
        <v>100</v>
      </c>
      <c r="T28" s="773" t="s">
        <v>17</v>
      </c>
      <c r="U28" s="774">
        <f t="shared" si="13"/>
        <v>100</v>
      </c>
      <c r="V28" s="773" t="s">
        <v>17</v>
      </c>
      <c r="W28" s="774">
        <f t="shared" si="14"/>
        <v>100</v>
      </c>
      <c r="X28" s="1813"/>
      <c r="Y28" s="3178"/>
      <c r="Z28" s="1814" t="str">
        <f t="shared" si="15"/>
        <v>物业等级</v>
      </c>
      <c r="AA28" s="1811">
        <f t="shared" si="3"/>
        <v>1</v>
      </c>
      <c r="AB28" s="1811">
        <f t="shared" si="4"/>
        <v>1</v>
      </c>
      <c r="AC28" s="1811">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78"/>
      <c r="Q29" s="1810" t="str">
        <f t="shared" si="11"/>
        <v>有无电梯</v>
      </c>
      <c r="R29" s="773" t="s">
        <v>17</v>
      </c>
      <c r="S29" s="774">
        <f t="shared" si="12"/>
        <v>100</v>
      </c>
      <c r="T29" s="773" t="s">
        <v>17</v>
      </c>
      <c r="U29" s="774">
        <f t="shared" si="13"/>
        <v>100</v>
      </c>
      <c r="V29" s="773" t="s">
        <v>17</v>
      </c>
      <c r="W29" s="774">
        <f t="shared" si="14"/>
        <v>100</v>
      </c>
      <c r="X29" s="1813"/>
      <c r="Y29" s="3178"/>
      <c r="Z29" s="1814" t="str">
        <f t="shared" si="15"/>
        <v>有无电梯</v>
      </c>
      <c r="AA29" s="1811">
        <f t="shared" si="3"/>
        <v>1</v>
      </c>
      <c r="AB29" s="1811">
        <f t="shared" si="4"/>
        <v>1</v>
      </c>
      <c r="AC29" s="1811">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78"/>
      <c r="Q30" s="1810" t="str">
        <f t="shared" si="11"/>
        <v>建筑面积</v>
      </c>
      <c r="R30" s="773" t="s">
        <v>17</v>
      </c>
      <c r="S30" s="774" t="e">
        <f t="shared" si="12"/>
        <v>#N/A</v>
      </c>
      <c r="T30" s="773" t="s">
        <v>17</v>
      </c>
      <c r="U30" s="774" t="e">
        <f t="shared" si="13"/>
        <v>#N/A</v>
      </c>
      <c r="V30" s="773" t="s">
        <v>17</v>
      </c>
      <c r="W30" s="774" t="e">
        <f t="shared" si="14"/>
        <v>#N/A</v>
      </c>
      <c r="X30" s="1813"/>
      <c r="Y30" s="3178"/>
      <c r="Z30" s="1814" t="str">
        <f t="shared" si="15"/>
        <v>建筑面积</v>
      </c>
      <c r="AA30" s="1811" t="e">
        <f t="shared" si="3"/>
        <v>#N/A</v>
      </c>
      <c r="AB30" s="1811" t="e">
        <f t="shared" si="4"/>
        <v>#N/A</v>
      </c>
      <c r="AC30" s="1811"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78"/>
      <c r="Q31" s="1795" t="str">
        <f t="shared" si="11"/>
        <v>是否封闭</v>
      </c>
      <c r="R31" s="769" t="s">
        <v>17</v>
      </c>
      <c r="S31" s="770">
        <f t="shared" si="12"/>
        <v>100</v>
      </c>
      <c r="T31" s="769" t="s">
        <v>17</v>
      </c>
      <c r="U31" s="770">
        <f t="shared" si="13"/>
        <v>100</v>
      </c>
      <c r="V31" s="769" t="s">
        <v>17</v>
      </c>
      <c r="W31" s="770">
        <f t="shared" si="14"/>
        <v>100</v>
      </c>
      <c r="X31" s="771"/>
      <c r="Y31" s="3178"/>
      <c r="Z31" s="54"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78" t="s">
        <v>2559</v>
      </c>
      <c r="Q32" s="1810">
        <f t="shared" si="11"/>
        <v>111</v>
      </c>
      <c r="R32" s="773" t="s">
        <v>17</v>
      </c>
      <c r="S32" s="774">
        <f t="shared" si="12"/>
        <v>100</v>
      </c>
      <c r="T32" s="773" t="s">
        <v>17</v>
      </c>
      <c r="U32" s="774">
        <f t="shared" si="13"/>
        <v>100</v>
      </c>
      <c r="V32" s="773" t="s">
        <v>17</v>
      </c>
      <c r="W32" s="774">
        <f t="shared" si="14"/>
        <v>100</v>
      </c>
      <c r="X32" s="1813"/>
      <c r="Y32" s="3178" t="s">
        <v>2559</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78"/>
      <c r="Q33" s="1810">
        <f t="shared" si="11"/>
        <v>111</v>
      </c>
      <c r="R33" s="773" t="s">
        <v>17</v>
      </c>
      <c r="S33" s="774">
        <f t="shared" si="12"/>
        <v>100</v>
      </c>
      <c r="T33" s="773" t="s">
        <v>17</v>
      </c>
      <c r="U33" s="774">
        <f t="shared" si="13"/>
        <v>100</v>
      </c>
      <c r="V33" s="773" t="s">
        <v>17</v>
      </c>
      <c r="W33" s="774">
        <f t="shared" si="14"/>
        <v>100</v>
      </c>
      <c r="X33" s="1813"/>
      <c r="Y33" s="3178"/>
      <c r="Z33" s="1814">
        <f t="shared" si="15"/>
        <v>111</v>
      </c>
      <c r="AA33" s="1811">
        <f t="shared" si="3"/>
        <v>1</v>
      </c>
      <c r="AB33" s="1811">
        <f t="shared" si="4"/>
        <v>1</v>
      </c>
      <c r="AC33" s="1811">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178"/>
      <c r="Q34" s="1810">
        <f t="shared" si="11"/>
        <v>111</v>
      </c>
      <c r="R34" s="773" t="s">
        <v>17</v>
      </c>
      <c r="S34" s="774">
        <f t="shared" si="12"/>
        <v>100</v>
      </c>
      <c r="T34" s="773" t="s">
        <v>17</v>
      </c>
      <c r="U34" s="774">
        <f t="shared" si="13"/>
        <v>100</v>
      </c>
      <c r="V34" s="773" t="s">
        <v>17</v>
      </c>
      <c r="W34" s="774">
        <f t="shared" si="14"/>
        <v>100</v>
      </c>
      <c r="X34" s="1813"/>
      <c r="Y34" s="3178"/>
      <c r="Z34" s="1814">
        <f t="shared" si="15"/>
        <v>111</v>
      </c>
      <c r="AA34" s="1811">
        <f t="shared" si="3"/>
        <v>1</v>
      </c>
      <c r="AB34" s="1811">
        <f t="shared" si="4"/>
        <v>1</v>
      </c>
      <c r="AC34" s="1811">
        <f t="shared" si="5"/>
        <v>1</v>
      </c>
    </row>
    <row r="35" spans="1:29" ht="15">
      <c r="A35" s="478" t="s">
        <v>2571</v>
      </c>
      <c r="B35" s="479"/>
      <c r="C35" s="1408" t="s">
        <v>1</v>
      </c>
      <c r="D35" s="1409"/>
      <c r="E35" s="1410"/>
      <c r="F35" s="1411"/>
      <c r="G35" s="1412"/>
      <c r="H35" s="1413"/>
      <c r="I35" s="1410"/>
      <c r="J35" s="1413"/>
      <c r="K35" s="782"/>
      <c r="L35" s="1144"/>
      <c r="M35" s="1145"/>
      <c r="N35" s="1132"/>
      <c r="O35" s="1145"/>
      <c r="P35" s="3171" t="str">
        <f>A35</f>
        <v>成交单价（元/平方米）</v>
      </c>
      <c r="Q35" s="3171"/>
      <c r="R35" s="3172">
        <f>E35</f>
        <v>0</v>
      </c>
      <c r="S35" s="3172"/>
      <c r="T35" s="3172">
        <f>G35</f>
        <v>0</v>
      </c>
      <c r="U35" s="3172"/>
      <c r="V35" s="3172">
        <f>I35</f>
        <v>0</v>
      </c>
      <c r="W35" s="3172"/>
      <c r="X35" s="758"/>
      <c r="Y35" s="780"/>
      <c r="Z35" s="758"/>
      <c r="AA35" s="758"/>
      <c r="AB35" s="758"/>
      <c r="AC35" s="758"/>
    </row>
    <row r="36" spans="1:29" ht="15.75" thickBot="1">
      <c r="A36" s="485" t="s">
        <v>2663</v>
      </c>
      <c r="B36" s="486"/>
      <c r="C36" s="1414" t="e">
        <f>R37</f>
        <v>#DIV/0!</v>
      </c>
      <c r="D36" s="1415"/>
      <c r="E36" s="1416" t="e">
        <f>R36</f>
        <v>#DIV/0!</v>
      </c>
      <c r="F36" s="1416"/>
      <c r="G36" s="1414" t="e">
        <f>T36</f>
        <v>#DIV/0!</v>
      </c>
      <c r="H36" s="1415"/>
      <c r="I36" s="1416" t="e">
        <f>V36</f>
        <v>#DIV/0!</v>
      </c>
      <c r="J36" s="1415"/>
      <c r="K36" s="783"/>
      <c r="L36" s="1144"/>
      <c r="M36" s="1145"/>
      <c r="N36" s="1132"/>
      <c r="O36" s="1145"/>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8"/>
      <c r="Y36" s="758"/>
      <c r="Z36" s="758"/>
      <c r="AA36" s="758"/>
      <c r="AB36" s="758"/>
      <c r="AC36" s="758"/>
    </row>
    <row r="37" spans="1:29" ht="15.75" thickBot="1">
      <c r="A37" s="491" t="s">
        <v>2664</v>
      </c>
      <c r="B37" s="492"/>
      <c r="C37" s="1418" t="e">
        <f>R37</f>
        <v>#DIV/0!</v>
      </c>
      <c r="D37" s="1418"/>
      <c r="E37" s="1418"/>
      <c r="F37" s="1418"/>
      <c r="G37" s="1418"/>
      <c r="H37" s="1418"/>
      <c r="I37" s="1418"/>
      <c r="J37" s="1418"/>
      <c r="K37" s="784"/>
      <c r="L37" s="1144"/>
      <c r="M37" s="1145"/>
      <c r="N37" s="1145"/>
      <c r="O37" s="1145"/>
      <c r="P37" s="3168" t="str">
        <f>A37</f>
        <v>估价对象XX用房的比较价值（楼面单价，元/平方米）</v>
      </c>
      <c r="Q37" s="3169"/>
      <c r="R37" s="3170" t="e">
        <f>IF(F1="售价",ROUND(AVERAGE(R36:V36),0),ROUND(AVERAGE(R36:V36),1))</f>
        <v>#DIV/0!</v>
      </c>
      <c r="S37" s="3170"/>
      <c r="T37" s="3170"/>
      <c r="U37" s="3170"/>
      <c r="V37" s="3170"/>
      <c r="W37" s="3170"/>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2582</v>
      </c>
      <c r="B51" s="527" t="s">
        <v>2548</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2723</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2557</v>
      </c>
      <c r="B77" s="527" t="s">
        <v>2610</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2727</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2735</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2737</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26" sqref="D17:D2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1373</v>
      </c>
      <c r="D1" s="1820" t="s">
        <v>70</v>
      </c>
      <c r="E1" s="1821" t="s">
        <v>1383</v>
      </c>
      <c r="F1" s="1284">
        <f ca="1">J53</f>
        <v>35.090000000000003</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10260</v>
      </c>
      <c r="C2" s="1845" t="s">
        <v>1512</v>
      </c>
      <c r="D2" s="1845"/>
      <c r="E2" s="1846"/>
      <c r="F2" s="1847"/>
      <c r="G2" s="1848"/>
      <c r="H2" s="1840"/>
      <c r="I2" s="1840"/>
      <c r="J2" s="1840"/>
      <c r="K2" s="1841"/>
      <c r="L2" s="1840"/>
      <c r="M2" s="1840"/>
    </row>
    <row r="3" spans="1:37" ht="18" customHeight="1" thickBot="1">
      <c r="A3" s="1849" t="s">
        <v>1513</v>
      </c>
      <c r="B3" s="1850">
        <f ca="1">IF(ISERROR(B2*10000/F43),0,ROUND(B2*10000/F43,0))</f>
        <v>64119</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578</v>
      </c>
      <c r="D5" s="1822" t="s">
        <v>1398</v>
      </c>
      <c r="E5" s="1294"/>
      <c r="F5" s="1295"/>
      <c r="G5" s="1851"/>
      <c r="H5" s="343">
        <v>1</v>
      </c>
      <c r="I5" s="344" t="s">
        <v>1397</v>
      </c>
      <c r="J5" s="1293">
        <f ca="1">J6+J10+J12</f>
        <v>0</v>
      </c>
      <c r="K5" s="1822" t="s">
        <v>1398</v>
      </c>
      <c r="L5" s="1294"/>
      <c r="M5" s="1295"/>
    </row>
    <row r="6" spans="1:37" ht="18" customHeight="1">
      <c r="A6" s="1292" t="s">
        <v>1032</v>
      </c>
      <c r="B6" s="3143" t="s">
        <v>1399</v>
      </c>
      <c r="C6" s="1297">
        <f ca="1">ROUND(F6*F8*F7*(1-F9)/10000,0)</f>
        <v>578</v>
      </c>
      <c r="D6" s="163" t="s">
        <v>3026</v>
      </c>
      <c r="E6" s="346" t="s">
        <v>1401</v>
      </c>
      <c r="F6" s="347">
        <f ca="1">INDIRECT("'数据-取费表'!u"&amp;$G$1)</f>
        <v>11</v>
      </c>
      <c r="G6" s="1851"/>
      <c r="H6" s="1292" t="s">
        <v>1032</v>
      </c>
      <c r="I6" s="3143" t="s">
        <v>1399</v>
      </c>
      <c r="J6" s="345">
        <f ca="1">ROUND(M6*M8*M7*(1-M9)/10000,0)</f>
        <v>0</v>
      </c>
      <c r="K6" s="163" t="s">
        <v>3025</v>
      </c>
      <c r="L6" s="346" t="s">
        <v>1401</v>
      </c>
      <c r="M6" s="347">
        <f ca="1">INDIRECT("'数据-取费表'!z"&amp;$G$1)</f>
        <v>0</v>
      </c>
    </row>
    <row r="7" spans="1:37" ht="18" customHeight="1">
      <c r="A7" s="1296"/>
      <c r="B7" s="3144"/>
      <c r="C7" s="1298"/>
      <c r="D7" s="351"/>
      <c r="E7" s="1299" t="s">
        <v>1402</v>
      </c>
      <c r="F7" s="347">
        <f ca="1">IF(INDIRECT("'数据-取费表'!ah"&amp;$G$1)="",INDIRECT("'数据-取费表'!k"&amp;$G$1),INDIRECT("'数据-取费表'!ah"&amp;$G$1))</f>
        <v>1600.16</v>
      </c>
      <c r="G7" s="1851"/>
      <c r="H7" s="348"/>
      <c r="I7" s="3144"/>
      <c r="J7" s="350"/>
      <c r="K7" s="351"/>
      <c r="L7" s="346" t="s">
        <v>1402</v>
      </c>
      <c r="M7" s="347">
        <f ca="1">F7</f>
        <v>1600.16</v>
      </c>
    </row>
    <row r="8" spans="1:37" ht="18" customHeight="1">
      <c r="A8" s="348"/>
      <c r="B8" s="3144"/>
      <c r="C8" s="350"/>
      <c r="D8" s="351"/>
      <c r="E8" s="346" t="s">
        <v>1403</v>
      </c>
      <c r="F8" s="347">
        <f ca="1">INDIRECT("'数据-取费表'!ai"&amp;$G$1)</f>
        <v>365</v>
      </c>
      <c r="G8" s="1851"/>
      <c r="H8" s="348"/>
      <c r="I8" s="3144"/>
      <c r="J8" s="350"/>
      <c r="K8" s="351"/>
      <c r="L8" s="346" t="s">
        <v>1403</v>
      </c>
      <c r="M8" s="347">
        <f ca="1">INDIRECT("'数据-取费表'!ai"&amp;$G$1)</f>
        <v>365</v>
      </c>
    </row>
    <row r="9" spans="1:37" ht="18" customHeight="1">
      <c r="A9" s="348"/>
      <c r="B9" s="3145"/>
      <c r="C9" s="350"/>
      <c r="D9" s="351"/>
      <c r="E9" s="346" t="s">
        <v>1404</v>
      </c>
      <c r="F9" s="356">
        <f ca="1">INDIRECT("'数据-取费表'!w"&amp;$G$1)</f>
        <v>0.1</v>
      </c>
      <c r="G9" s="1851"/>
      <c r="H9" s="348"/>
      <c r="I9" s="3145"/>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3035</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951</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640</v>
      </c>
      <c r="D14" s="1800" t="s">
        <v>1414</v>
      </c>
      <c r="E14" s="1794"/>
      <c r="F14" s="363"/>
      <c r="G14" s="1851"/>
      <c r="H14" s="1202" t="s">
        <v>1032</v>
      </c>
      <c r="I14" s="346" t="s">
        <v>1415</v>
      </c>
      <c r="J14" s="23">
        <f ca="1">C29</f>
        <v>980</v>
      </c>
      <c r="K14" s="14"/>
      <c r="L14" s="980"/>
      <c r="M14" s="981"/>
    </row>
    <row r="15" spans="1:37" s="1858" customFormat="1" ht="18" customHeight="1" thickBot="1">
      <c r="A15" s="1202" t="s">
        <v>1033</v>
      </c>
      <c r="B15" s="346" t="s">
        <v>1416</v>
      </c>
      <c r="C15" s="23">
        <f ca="1">ROUND(C14*F15,0)</f>
        <v>19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23</v>
      </c>
      <c r="K16" s="1338" t="s">
        <v>1421</v>
      </c>
      <c r="L16" s="1339"/>
      <c r="M16" s="1295"/>
    </row>
    <row r="17" spans="1:37" s="1858" customFormat="1" ht="18" customHeight="1">
      <c r="A17" s="1202" t="s">
        <v>1386</v>
      </c>
      <c r="B17" s="346" t="s">
        <v>1422</v>
      </c>
      <c r="C17" s="23">
        <f ca="1">ROUND(F17*(F43+INDIRECT("'数据-取费表'!S"&amp;$G$1))/10000,0)</f>
        <v>32</v>
      </c>
      <c r="D17" s="346" t="s">
        <v>1423</v>
      </c>
      <c r="E17" s="346" t="s">
        <v>1424</v>
      </c>
      <c r="F17" s="25">
        <f>'数据-取费表'!B35</f>
        <v>200</v>
      </c>
      <c r="G17" s="1854"/>
      <c r="H17" s="1202" t="s">
        <v>1032</v>
      </c>
      <c r="I17" s="346" t="s">
        <v>1425</v>
      </c>
      <c r="J17" s="23">
        <f ca="1">ROUND(IF(项目基本情况!B11="自然人",J5*M17,J18+J19+J20),1)</f>
        <v>8.3000000000000007</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10</v>
      </c>
      <c r="D18" s="346" t="s">
        <v>1417</v>
      </c>
      <c r="E18" s="346" t="s">
        <v>1418</v>
      </c>
      <c r="F18" s="366">
        <f>'数据-取费表'!B36</f>
        <v>1.4999999999999999E-2</v>
      </c>
      <c r="G18" s="1854"/>
      <c r="H18" s="1202" t="s">
        <v>1031</v>
      </c>
      <c r="I18" s="346" t="s">
        <v>1429</v>
      </c>
      <c r="J18" s="23">
        <f ca="1">ROUND(J5*M18/(1+'数据-取费表'!C42),2)</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701</v>
      </c>
      <c r="D19" s="139" t="s">
        <v>1432</v>
      </c>
      <c r="E19" s="1818"/>
      <c r="F19" s="25"/>
      <c r="G19" s="1851"/>
      <c r="H19" s="1202" t="s">
        <v>1033</v>
      </c>
      <c r="I19" s="346" t="s">
        <v>1433</v>
      </c>
      <c r="J19" s="23">
        <f ca="1">IF(K19="按租金收入计税",ROUND(J5*M19,2),ROUND(C29*M19*0.7,2))</f>
        <v>8.23</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11</v>
      </c>
      <c r="D20" s="368" t="s">
        <v>1436</v>
      </c>
      <c r="E20" s="346" t="s">
        <v>1418</v>
      </c>
      <c r="F20" s="366">
        <f>'数据-取费表'!B37</f>
        <v>1.4999999999999999E-2</v>
      </c>
      <c r="G20" s="1854"/>
      <c r="H20" s="1202" t="s">
        <v>1385</v>
      </c>
      <c r="I20" s="163" t="s">
        <v>1437</v>
      </c>
      <c r="J20" s="24">
        <f ca="1">ROUND(M20*M21/10000,2)</f>
        <v>0.06</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400.04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ROUND(J14*M22,1)</f>
        <v>14.7</v>
      </c>
      <c r="K22" s="1798"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43</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1798"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1818"/>
      <c r="F25" s="25"/>
      <c r="G25" s="1851"/>
      <c r="H25" s="1330" t="s">
        <v>1028</v>
      </c>
      <c r="I25" s="1345" t="s">
        <v>1459</v>
      </c>
      <c r="J25" s="354">
        <f ca="1">J5-J16</f>
        <v>-23</v>
      </c>
      <c r="K25" s="1346" t="s">
        <v>1460</v>
      </c>
      <c r="L25" s="1347"/>
      <c r="M25" s="1348"/>
    </row>
    <row r="26" spans="1:37">
      <c r="A26" s="1202" t="s">
        <v>1031</v>
      </c>
      <c r="B26" s="346" t="s">
        <v>1461</v>
      </c>
      <c r="C26" s="23">
        <f ca="1">ROUND((C19+C20)*F26,0)</f>
        <v>142</v>
      </c>
      <c r="D26" s="368" t="s">
        <v>1462</v>
      </c>
      <c r="E26" s="357" t="s">
        <v>1463</v>
      </c>
      <c r="F26" s="356">
        <f ca="1">INDIRECT("'数据-取费表'!q"&amp;$G$1)</f>
        <v>0.2</v>
      </c>
      <c r="G26" s="1851"/>
      <c r="H26" s="343" t="s">
        <v>1029</v>
      </c>
      <c r="I26" s="344" t="s">
        <v>1464</v>
      </c>
      <c r="J26" s="345">
        <f ca="1">IF(J5&lt;&gt;0,ROUND(J25*(1-((1+M28)/(1+M26))^M27)/(M26-M28),0),0)</f>
        <v>0</v>
      </c>
      <c r="K26" s="369" t="s">
        <v>1465</v>
      </c>
      <c r="L26" s="346" t="s">
        <v>1466</v>
      </c>
      <c r="M26" s="356">
        <f ca="1">INDIRECT("'数据-取费表'!I"&amp;$G$1)</f>
        <v>5.5E-2</v>
      </c>
    </row>
    <row r="27" spans="1:37" ht="18" customHeight="1">
      <c r="A27" s="1202" t="s">
        <v>1033</v>
      </c>
      <c r="B27" s="346" t="s">
        <v>1467</v>
      </c>
      <c r="C27" s="23">
        <f ca="1">ROUND(F21*F26,4)</f>
        <v>5.0000000000000001E-3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980</v>
      </c>
      <c r="D29" s="1343"/>
      <c r="E29" s="1341"/>
      <c r="F29" s="1344"/>
      <c r="G29" s="1854"/>
      <c r="H29" s="379" t="s">
        <v>1030</v>
      </c>
      <c r="I29" s="380" t="s">
        <v>1475</v>
      </c>
      <c r="J29" s="381">
        <f ca="1">ROUND(J26/(1+F40)^F41,0)</f>
        <v>0</v>
      </c>
      <c r="K29" s="382" t="s">
        <v>1476</v>
      </c>
      <c r="L29" s="383"/>
      <c r="M29" s="384">
        <f ca="1">INDIRECT("'数据-取费表'!k"&amp;$G$1)</f>
        <v>1600.16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128</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ROUND(IF(项目基本情况!B11="自然人",C5*F31,C32+C33+C34),1)</f>
        <v>100.3</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30.83</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69.36</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0.06</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400.04</v>
      </c>
      <c r="G35" s="1851"/>
      <c r="H35" s="744"/>
      <c r="I35" s="1860"/>
      <c r="J35" s="1861"/>
      <c r="K35" s="1862"/>
      <c r="L35" s="1859"/>
      <c r="M35" s="1859"/>
    </row>
    <row r="36" spans="1:18" ht="18" customHeight="1">
      <c r="A36" s="1353" t="s">
        <v>1036</v>
      </c>
      <c r="B36" s="346" t="s">
        <v>1445</v>
      </c>
      <c r="C36" s="23">
        <f ca="1">ROUND(C29*F36,1)</f>
        <v>14.7</v>
      </c>
      <c r="D36" s="1798"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1.4</v>
      </c>
      <c r="D37" s="1798"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11.6</v>
      </c>
      <c r="D38" s="1343" t="s">
        <v>1455</v>
      </c>
      <c r="E38" s="1341" t="s">
        <v>1451</v>
      </c>
      <c r="F38" s="1337">
        <f ca="1">INDIRECT("'数据-取费表'!Am"&amp;$G$1)</f>
        <v>0.02</v>
      </c>
      <c r="G38" s="1851"/>
      <c r="H38" s="1859"/>
      <c r="I38" s="1860"/>
      <c r="J38" s="1861"/>
      <c r="K38" s="1865"/>
      <c r="L38" s="1859"/>
      <c r="M38" s="1859"/>
    </row>
    <row r="39" spans="1:18" ht="24.6" customHeight="1" thickTop="1">
      <c r="A39" s="1330" t="s">
        <v>1028</v>
      </c>
      <c r="B39" s="1345" t="s">
        <v>1479</v>
      </c>
      <c r="C39" s="354">
        <f ca="1">C5-C30</f>
        <v>450</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10241</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35.090000000000003</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64000</v>
      </c>
      <c r="D43" s="382" t="s">
        <v>1484</v>
      </c>
      <c r="E43" s="383" t="s">
        <v>1485</v>
      </c>
      <c r="F43" s="384">
        <f ca="1">INDIRECT("'数据-取费表'!k"&amp;$G$1)</f>
        <v>1600.16</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-11766</v>
      </c>
      <c r="D46" s="1872" t="str">
        <f>C2</f>
        <v>万元</v>
      </c>
      <c r="E46" s="1866"/>
      <c r="F46" s="1866"/>
      <c r="I46" s="1873" t="s">
        <v>1517</v>
      </c>
      <c r="J46" s="1874"/>
      <c r="K46" s="1875"/>
      <c r="L46" s="1876">
        <f ca="1">IF(M47="住宅",0,IF(L48&gt;J51,L60,J60))</f>
        <v>19</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40</v>
      </c>
      <c r="M47" s="1838" t="str">
        <f>IF(ISNUMBER(FIND("住宅",C1)),"住宅","非住宅")</f>
        <v>非住宅</v>
      </c>
      <c r="O47" s="1884" t="s">
        <v>1037</v>
      </c>
      <c r="P47" s="1885" t="s">
        <v>1524</v>
      </c>
      <c r="Q47" s="1886">
        <f ca="1">C40+J29</f>
        <v>10241</v>
      </c>
      <c r="R47" s="1886" t="s">
        <v>1525</v>
      </c>
    </row>
    <row r="48" spans="1:18" s="1842" customFormat="1" ht="28.5" thickBot="1">
      <c r="A48" s="1361" t="s">
        <v>1132</v>
      </c>
      <c r="B48" s="344" t="s">
        <v>1397</v>
      </c>
      <c r="C48" s="1817">
        <f ca="1">C49+C53+C55</f>
        <v>0</v>
      </c>
      <c r="D48" s="1363"/>
      <c r="E48" s="1364"/>
      <c r="F48" s="1182"/>
      <c r="G48" s="791"/>
      <c r="H48" s="792"/>
      <c r="I48" s="1887" t="s">
        <v>1526</v>
      </c>
      <c r="J48" s="1888" t="s">
        <v>4161</v>
      </c>
      <c r="K48" s="1889" t="s">
        <v>1527</v>
      </c>
      <c r="L48" s="1890">
        <f ca="1">INDIRECT("'数据-取费表'!f"&amp;$G$1)</f>
        <v>35.090000000000003</v>
      </c>
      <c r="O48" s="1884" t="s">
        <v>1038</v>
      </c>
      <c r="P48" s="1885" t="s">
        <v>1528</v>
      </c>
      <c r="Q48" s="1886">
        <f ca="1">J60</f>
        <v>19</v>
      </c>
      <c r="R48" s="1886" t="s">
        <v>1529</v>
      </c>
    </row>
    <row r="49" spans="1:18" s="1842" customFormat="1" ht="13.5" thickBot="1">
      <c r="A49" s="1195" t="s">
        <v>1133</v>
      </c>
      <c r="B49" s="1829" t="s">
        <v>1486</v>
      </c>
      <c r="C49" s="1365">
        <f ca="1">ROUND(F49*F51*F50*(1-F52)/10000,0)</f>
        <v>0</v>
      </c>
      <c r="D49" s="1277" t="s">
        <v>3027</v>
      </c>
      <c r="E49" s="1830" t="s">
        <v>1487</v>
      </c>
      <c r="F49" s="1282"/>
      <c r="G49" s="1891"/>
      <c r="H49" s="792"/>
      <c r="I49" s="1887" t="s">
        <v>1530</v>
      </c>
      <c r="J49" s="1892">
        <v>2017</v>
      </c>
      <c r="K49" s="1889" t="s">
        <v>1531</v>
      </c>
      <c r="L49" s="1893"/>
      <c r="O49" s="1894" t="s">
        <v>1039</v>
      </c>
      <c r="P49" s="1885" t="s">
        <v>1532</v>
      </c>
      <c r="Q49" s="1886">
        <f ca="1">C29</f>
        <v>980</v>
      </c>
      <c r="R49" s="1886" t="s">
        <v>1525</v>
      </c>
    </row>
    <row r="50" spans="1:18" s="1842" customFormat="1" ht="13.5" thickBot="1">
      <c r="A50" s="1196"/>
      <c r="B50" s="1199"/>
      <c r="C50" s="1369"/>
      <c r="D50" s="1173"/>
      <c r="E50" s="1278" t="s">
        <v>1402</v>
      </c>
      <c r="F50" s="1279">
        <f ca="1">F7</f>
        <v>1600.16</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58</v>
      </c>
      <c r="K51" s="1900" t="s">
        <v>1537</v>
      </c>
      <c r="L51" s="1901">
        <f ca="1">ROUND(-PV(INDIRECT("'数据-取费表'!h"&amp;$G$1),L48,(C39-C13*C76),0),0)</f>
        <v>6453</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35.090000000000003</v>
      </c>
      <c r="R52" s="1886" t="s">
        <v>1542</v>
      </c>
    </row>
    <row r="53" spans="1:18" s="1842" customFormat="1" ht="24.75"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35.090000000000003</v>
      </c>
      <c r="K53" s="3141" t="s">
        <v>1544</v>
      </c>
      <c r="L53" s="3142"/>
      <c r="O53" s="1884" t="s">
        <v>1043</v>
      </c>
      <c r="P53" s="1885" t="s">
        <v>1545</v>
      </c>
      <c r="Q53" s="1886">
        <f ca="1">Q47+Q48</f>
        <v>10260</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f ca="1">ROUND(IF(J47="钢混",J57/J50,1-(1-2%)*(J50-J57)/J50),3)</f>
        <v>0.38200000000000001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951</v>
      </c>
      <c r="D56" s="1914"/>
      <c r="E56" s="1915"/>
      <c r="F56" s="1907"/>
      <c r="I56" s="1916" t="s">
        <v>1550</v>
      </c>
      <c r="J56" s="1917" t="s">
        <v>4162</v>
      </c>
      <c r="K56" s="1887" t="s">
        <v>1551</v>
      </c>
      <c r="L56" s="1890" t="str">
        <f ca="1">IF(L48&lt;J51,"——",L48-J53)</f>
        <v>——</v>
      </c>
      <c r="O56" s="1884" t="s">
        <v>1037</v>
      </c>
      <c r="P56" s="1885" t="s">
        <v>1524</v>
      </c>
      <c r="Q56" s="1886">
        <f ca="1">C40+J29</f>
        <v>10241</v>
      </c>
      <c r="R56" s="1886" t="s">
        <v>1525</v>
      </c>
    </row>
    <row r="57" spans="1:18" s="1842" customFormat="1" ht="24.75" thickBot="1">
      <c r="A57" s="1918"/>
      <c r="B57" s="1170" t="s">
        <v>1474</v>
      </c>
      <c r="C57" s="281">
        <f ca="1">C29</f>
        <v>980</v>
      </c>
      <c r="D57" s="1919"/>
      <c r="E57" s="1920"/>
      <c r="F57" s="1921"/>
      <c r="I57" s="1922" t="s">
        <v>1552</v>
      </c>
      <c r="J57" s="1923">
        <f ca="1">IF(OR(M47="住宅",J51&lt;L48,J56="是"),"——",J51-L48)</f>
        <v>22.909999999999997</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99</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82.4</v>
      </c>
      <c r="D59" s="1183" t="s">
        <v>1426</v>
      </c>
      <c r="E59" s="1184" t="s">
        <v>1427</v>
      </c>
      <c r="F59" s="367" t="str">
        <f ca="1">IF(项目基本情况!B11="企业","",IF(INDIRECT("'数据-取费表'!c"&amp;$G$1)="住宅",5%,IF(F49*F50*F51/12/(1+'数据-取费表'!C42)&gt;20000,12%,7%)))</f>
        <v/>
      </c>
      <c r="I59" s="1922" t="s">
        <v>1559</v>
      </c>
      <c r="J59" s="1923">
        <f ca="1">IF(OR(M47="住宅",J51&lt;L48,J56="是"),"——",ROUND(C29*J58,0))</f>
        <v>392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19</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82.32</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0.06</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10241</v>
      </c>
      <c r="R62" s="1886" t="s">
        <v>1044</v>
      </c>
    </row>
    <row r="63" spans="1:18" s="1842" customFormat="1" ht="13.5" thickBot="1">
      <c r="A63" s="371"/>
      <c r="B63" s="1176"/>
      <c r="C63" s="28"/>
      <c r="D63" s="1186"/>
      <c r="E63" s="1170" t="s">
        <v>1495</v>
      </c>
      <c r="F63" s="347">
        <f t="shared" ca="1" si="0"/>
        <v>400.04</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14.7</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1.4</v>
      </c>
      <c r="D65" s="1184" t="s">
        <v>1450</v>
      </c>
      <c r="E65" s="1170" t="s">
        <v>1451</v>
      </c>
      <c r="F65" s="375">
        <f t="shared" ca="1" si="0"/>
        <v>1.5E-3</v>
      </c>
      <c r="I65" s="1929" t="s">
        <v>1575</v>
      </c>
      <c r="J65" s="1930">
        <v>40</v>
      </c>
      <c r="K65" s="1930">
        <v>30</v>
      </c>
      <c r="L65" s="1930">
        <v>50</v>
      </c>
      <c r="M65" s="1932">
        <v>0.02</v>
      </c>
      <c r="O65" s="1884" t="s">
        <v>1037</v>
      </c>
      <c r="P65" s="1885" t="s">
        <v>1576</v>
      </c>
      <c r="Q65" s="1886">
        <f ca="1">C40+J29</f>
        <v>10241</v>
      </c>
      <c r="R65" s="1886" t="s">
        <v>1525</v>
      </c>
    </row>
    <row r="66" spans="1:18" s="1842" customFormat="1" ht="16.5" thickBot="1">
      <c r="A66" s="1202" t="s">
        <v>1500</v>
      </c>
      <c r="B66" s="1170" t="s">
        <v>1435</v>
      </c>
      <c r="C66" s="23">
        <f ca="1">ROUND(C48*F66,1)</f>
        <v>0</v>
      </c>
      <c r="D66" s="1184" t="s">
        <v>1501</v>
      </c>
      <c r="E66" s="1170" t="s">
        <v>1418</v>
      </c>
      <c r="F66" s="356">
        <f t="shared" ca="1" si="0"/>
        <v>0.02</v>
      </c>
      <c r="O66" s="1884" t="s">
        <v>1038</v>
      </c>
      <c r="P66" s="1885" t="s">
        <v>1554</v>
      </c>
      <c r="Q66" s="1886">
        <f ca="1">L60</f>
        <v>0</v>
      </c>
      <c r="R66" s="1886" t="s">
        <v>1577</v>
      </c>
    </row>
    <row r="67" spans="1:18" s="1842" customFormat="1" ht="16.5" thickBot="1">
      <c r="A67" s="1177" t="s">
        <v>1028</v>
      </c>
      <c r="B67" s="1187" t="s">
        <v>1459</v>
      </c>
      <c r="C67" s="360">
        <f ca="1">C48-C58</f>
        <v>-99</v>
      </c>
      <c r="D67" s="1183" t="s">
        <v>1460</v>
      </c>
      <c r="E67" s="1188"/>
      <c r="F67" s="1189"/>
      <c r="O67" s="1894" t="s">
        <v>1039</v>
      </c>
      <c r="P67" s="1885" t="s">
        <v>1558</v>
      </c>
      <c r="Q67" s="1933">
        <f ca="1">L51</f>
        <v>6453</v>
      </c>
      <c r="R67" s="1886" t="s">
        <v>1578</v>
      </c>
    </row>
    <row r="68" spans="1:18" s="1842" customFormat="1" ht="16.5" thickBot="1">
      <c r="A68" s="1167" t="s">
        <v>1029</v>
      </c>
      <c r="B68" s="1168" t="s">
        <v>1481</v>
      </c>
      <c r="C68" s="345">
        <f ca="1">ROUND(C67*(1-((1+F70)/(1+F68))^F69)/(F68-F70),0)</f>
        <v>-1525</v>
      </c>
      <c r="D68" s="1185" t="s">
        <v>1465</v>
      </c>
      <c r="E68" s="1170" t="s">
        <v>1466</v>
      </c>
      <c r="F68" s="356">
        <f ca="1">F40</f>
        <v>5.5E-2</v>
      </c>
      <c r="O68" s="1894" t="s">
        <v>1040</v>
      </c>
      <c r="P68" s="1934" t="s">
        <v>1579</v>
      </c>
      <c r="Q68" s="1886">
        <f ca="1">ROUND(Q69-Q70*Q71,0)</f>
        <v>369</v>
      </c>
      <c r="R68" s="1886" t="s">
        <v>1048</v>
      </c>
    </row>
    <row r="69" spans="1:18" s="1842" customFormat="1" ht="13.5" thickBot="1">
      <c r="A69" s="1171"/>
      <c r="B69" s="1172"/>
      <c r="C69" s="350"/>
      <c r="D69" s="1190" t="s">
        <v>1469</v>
      </c>
      <c r="E69" s="1170" t="s">
        <v>1470</v>
      </c>
      <c r="F69" s="378">
        <f ca="1">F41</f>
        <v>35.090000000000003</v>
      </c>
      <c r="O69" s="1894" t="s">
        <v>1045</v>
      </c>
      <c r="P69" s="1934" t="s">
        <v>1580</v>
      </c>
      <c r="Q69" s="1886">
        <f ca="1">C39</f>
        <v>450</v>
      </c>
      <c r="R69" s="1886" t="s">
        <v>1525</v>
      </c>
    </row>
    <row r="70" spans="1:18" s="1842" customFormat="1" ht="13.5" thickBot="1">
      <c r="A70" s="1174"/>
      <c r="B70" s="1175"/>
      <c r="C70" s="354"/>
      <c r="D70" s="1186"/>
      <c r="E70" s="1170" t="s">
        <v>1473</v>
      </c>
      <c r="F70" s="1276"/>
      <c r="O70" s="1894" t="s">
        <v>1046</v>
      </c>
      <c r="P70" s="1934" t="s">
        <v>1581</v>
      </c>
      <c r="Q70" s="1886">
        <f ca="1">C13</f>
        <v>951</v>
      </c>
      <c r="R70" s="1886" t="s">
        <v>1525</v>
      </c>
    </row>
    <row r="71" spans="1:18" s="1842" customFormat="1" ht="13.5" thickBot="1">
      <c r="A71" s="1191" t="s">
        <v>1030</v>
      </c>
      <c r="B71" s="1192" t="s">
        <v>1483</v>
      </c>
      <c r="C71" s="381">
        <f ca="1">ROUND(C68*10000/F71,0)</f>
        <v>-9530</v>
      </c>
      <c r="D71" s="1193" t="s">
        <v>1484</v>
      </c>
      <c r="E71" s="1194" t="s">
        <v>1485</v>
      </c>
      <c r="F71" s="384">
        <f ca="1">F43</f>
        <v>1600.16</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81</v>
      </c>
      <c r="D75" s="1842"/>
      <c r="E75" s="1842"/>
      <c r="F75" s="1842"/>
      <c r="K75" s="1868"/>
      <c r="L75" s="1842"/>
      <c r="O75" s="1884" t="s">
        <v>1043</v>
      </c>
      <c r="P75" s="1885" t="s">
        <v>1545</v>
      </c>
      <c r="Q75" s="1886">
        <f ca="1">Q65+Q66</f>
        <v>10241</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0.82000000000000006</v>
      </c>
    </row>
    <row r="80" spans="1:18">
      <c r="B80" s="385" t="s">
        <v>1507</v>
      </c>
      <c r="C80" s="317">
        <f ca="1">ROUND(C75/C39,3)</f>
        <v>0.18</v>
      </c>
    </row>
    <row r="81" spans="2:3">
      <c r="B81" s="313" t="s">
        <v>1508</v>
      </c>
      <c r="C81" s="281"/>
    </row>
    <row r="82" spans="2:3">
      <c r="B82" s="316" t="s">
        <v>1509</v>
      </c>
      <c r="C82" s="318">
        <f ca="1">1-C83</f>
        <v>0.90700000000000003</v>
      </c>
    </row>
    <row r="83" spans="2:3">
      <c r="B83" s="316" t="s">
        <v>1510</v>
      </c>
      <c r="C83" s="317">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0" sqref="D3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4157</v>
      </c>
      <c r="D1" s="1820" t="s">
        <v>70</v>
      </c>
      <c r="E1" s="1821" t="s">
        <v>1383</v>
      </c>
      <c r="F1" s="1284">
        <f ca="1">J53</f>
        <v>45.1</v>
      </c>
      <c r="G1" s="1836">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60226</v>
      </c>
      <c r="C2" s="1845" t="s">
        <v>1512</v>
      </c>
      <c r="D2" s="1845"/>
      <c r="E2" s="1846"/>
      <c r="F2" s="1847"/>
      <c r="G2" s="1848"/>
      <c r="H2" s="1840"/>
      <c r="I2" s="1840"/>
      <c r="J2" s="1840"/>
      <c r="K2" s="1841"/>
      <c r="L2" s="1840"/>
      <c r="M2" s="1840"/>
    </row>
    <row r="3" spans="1:37" ht="18" customHeight="1" thickBot="1">
      <c r="A3" s="1849" t="s">
        <v>1513</v>
      </c>
      <c r="B3" s="1850">
        <f ca="1">IF(ISERROR(B2*10000/F43),0,ROUND(B2*10000/F43,0))</f>
        <v>39746</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2787</v>
      </c>
      <c r="D5" s="1822" t="s">
        <v>1398</v>
      </c>
      <c r="E5" s="1294"/>
      <c r="F5" s="1295"/>
      <c r="G5" s="1851"/>
      <c r="H5" s="343">
        <v>1</v>
      </c>
      <c r="I5" s="344" t="s">
        <v>1397</v>
      </c>
      <c r="J5" s="1293">
        <f ca="1">J6+J10+J12</f>
        <v>0</v>
      </c>
      <c r="K5" s="1822" t="s">
        <v>1398</v>
      </c>
      <c r="L5" s="1294"/>
      <c r="M5" s="1295"/>
    </row>
    <row r="6" spans="1:37" ht="18" customHeight="1">
      <c r="A6" s="1292" t="s">
        <v>1032</v>
      </c>
      <c r="B6" s="3143" t="s">
        <v>1399</v>
      </c>
      <c r="C6" s="1297">
        <f ca="1">ROUND(F6*F8*F7*(1-F9)/10000,0)</f>
        <v>2787</v>
      </c>
      <c r="D6" s="163" t="s">
        <v>3026</v>
      </c>
      <c r="E6" s="346" t="s">
        <v>1401</v>
      </c>
      <c r="F6" s="347">
        <f ca="1">INDIRECT("'数据-取费表'!u"&amp;$G$1)</f>
        <v>5.6</v>
      </c>
      <c r="G6" s="1851"/>
      <c r="H6" s="1292" t="s">
        <v>1032</v>
      </c>
      <c r="I6" s="3143" t="s">
        <v>1399</v>
      </c>
      <c r="J6" s="345">
        <f ca="1">ROUND(M6*M8*M7*(1-M9)/10000,0)</f>
        <v>0</v>
      </c>
      <c r="K6" s="163" t="s">
        <v>3025</v>
      </c>
      <c r="L6" s="346" t="s">
        <v>1401</v>
      </c>
      <c r="M6" s="347">
        <f ca="1">INDIRECT("'数据-取费表'!z"&amp;$G$1)</f>
        <v>0</v>
      </c>
    </row>
    <row r="7" spans="1:37" ht="18" customHeight="1">
      <c r="A7" s="1296"/>
      <c r="B7" s="3144"/>
      <c r="C7" s="1298"/>
      <c r="D7" s="351"/>
      <c r="E7" s="2945" t="s">
        <v>1402</v>
      </c>
      <c r="F7" s="347">
        <f ca="1">IF(INDIRECT("'数据-取费表'!ah"&amp;$G$1)="",INDIRECT("'数据-取费表'!k"&amp;$G$1),INDIRECT("'数据-取费表'!ah"&amp;$G$1))</f>
        <v>15152.750000000002</v>
      </c>
      <c r="G7" s="1851"/>
      <c r="H7" s="348"/>
      <c r="I7" s="3144"/>
      <c r="J7" s="350"/>
      <c r="K7" s="351"/>
      <c r="L7" s="346" t="s">
        <v>1402</v>
      </c>
      <c r="M7" s="347">
        <f ca="1">F7</f>
        <v>15152.750000000002</v>
      </c>
    </row>
    <row r="8" spans="1:37" ht="18" customHeight="1">
      <c r="A8" s="348"/>
      <c r="B8" s="3144"/>
      <c r="C8" s="350"/>
      <c r="D8" s="351"/>
      <c r="E8" s="346" t="s">
        <v>1403</v>
      </c>
      <c r="F8" s="347">
        <f ca="1">INDIRECT("'数据-取费表'!ai"&amp;$G$1)</f>
        <v>365</v>
      </c>
      <c r="G8" s="1851"/>
      <c r="H8" s="348"/>
      <c r="I8" s="3144"/>
      <c r="J8" s="350"/>
      <c r="K8" s="351"/>
      <c r="L8" s="346" t="s">
        <v>1403</v>
      </c>
      <c r="M8" s="347">
        <f ca="1">INDIRECT("'数据-取费表'!ai"&amp;$G$1)</f>
        <v>365</v>
      </c>
    </row>
    <row r="9" spans="1:37" ht="18" customHeight="1">
      <c r="A9" s="348"/>
      <c r="B9" s="3145"/>
      <c r="C9" s="350"/>
      <c r="D9" s="351"/>
      <c r="E9" s="346" t="s">
        <v>1404</v>
      </c>
      <c r="F9" s="356">
        <f ca="1">INDIRECT("'数据-取费表'!w"&amp;$G$1)</f>
        <v>0.1</v>
      </c>
      <c r="G9" s="1851"/>
      <c r="H9" s="348"/>
      <c r="I9" s="3145"/>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10227</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7576</v>
      </c>
      <c r="D14" s="2948" t="s">
        <v>1414</v>
      </c>
      <c r="E14" s="2947"/>
      <c r="F14" s="363"/>
      <c r="G14" s="1851"/>
      <c r="H14" s="1202" t="s">
        <v>1032</v>
      </c>
      <c r="I14" s="346" t="s">
        <v>1415</v>
      </c>
      <c r="J14" s="23">
        <f ca="1">C29</f>
        <v>10543</v>
      </c>
      <c r="K14" s="2944"/>
      <c r="L14" s="980"/>
      <c r="M14" s="981"/>
    </row>
    <row r="15" spans="1:37" s="1858" customFormat="1" ht="18" customHeight="1" thickBot="1">
      <c r="A15" s="1202" t="s">
        <v>1033</v>
      </c>
      <c r="B15" s="346" t="s">
        <v>1416</v>
      </c>
      <c r="C15" s="23">
        <f ca="1">ROUND(C14*F15,0)</f>
        <v>227</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247</v>
      </c>
      <c r="K16" s="1338" t="s">
        <v>1421</v>
      </c>
      <c r="L16" s="2950"/>
      <c r="M16" s="1295"/>
    </row>
    <row r="17" spans="1:37" s="1858" customFormat="1" ht="18" customHeight="1">
      <c r="A17" s="1202" t="s">
        <v>1386</v>
      </c>
      <c r="B17" s="346" t="s">
        <v>1422</v>
      </c>
      <c r="C17" s="23">
        <f ca="1">ROUND(F17*(F43+INDIRECT("'数据-取费表'!S"&amp;$G$1))/10000,0)</f>
        <v>303</v>
      </c>
      <c r="D17" s="346" t="s">
        <v>1423</v>
      </c>
      <c r="E17" s="346" t="s">
        <v>1424</v>
      </c>
      <c r="F17" s="25">
        <f>'数据-取费表'!B35</f>
        <v>200</v>
      </c>
      <c r="G17" s="1854"/>
      <c r="H17" s="1202" t="s">
        <v>1032</v>
      </c>
      <c r="I17" s="346" t="s">
        <v>1425</v>
      </c>
      <c r="J17" s="23">
        <f ca="1">ROUND(IF(项目基本情况!B11="自然人",J5*M17,J18+J19+J20),1)</f>
        <v>89.1</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114</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8220</v>
      </c>
      <c r="D19" s="139" t="s">
        <v>1432</v>
      </c>
      <c r="E19" s="2943"/>
      <c r="F19" s="25"/>
      <c r="G19" s="1851"/>
      <c r="H19" s="1202" t="s">
        <v>1033</v>
      </c>
      <c r="I19" s="346" t="s">
        <v>1433</v>
      </c>
      <c r="J19" s="23">
        <f ca="1">IF(K19="按租金收入计税",ROUND(J5*M19,2),ROUND(C29*M19*0.7,2))</f>
        <v>88.56</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123</v>
      </c>
      <c r="D20" s="368" t="s">
        <v>1436</v>
      </c>
      <c r="E20" s="346" t="s">
        <v>1418</v>
      </c>
      <c r="F20" s="366">
        <f>'数据-取费表'!B37</f>
        <v>1.4999999999999999E-2</v>
      </c>
      <c r="G20" s="1854"/>
      <c r="H20" s="1202" t="s">
        <v>1385</v>
      </c>
      <c r="I20" s="163" t="s">
        <v>1437</v>
      </c>
      <c r="J20" s="24">
        <f ca="1">ROUND(M20*M21/10000,2)</f>
        <v>0.56999999999999995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3788.19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158.1</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498</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-247</v>
      </c>
      <c r="K25" s="1346" t="s">
        <v>1460</v>
      </c>
      <c r="L25" s="1347"/>
      <c r="M25" s="1348"/>
    </row>
    <row r="26" spans="1:37">
      <c r="A26" s="1202" t="s">
        <v>1031</v>
      </c>
      <c r="B26" s="346" t="s">
        <v>1461</v>
      </c>
      <c r="C26" s="23">
        <f ca="1">ROUND((C19+C20)*F26,0)</f>
        <v>834</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2.5000000000000001E-3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10543</v>
      </c>
      <c r="D29" s="1343"/>
      <c r="E29" s="1341"/>
      <c r="F29" s="1344"/>
      <c r="G29" s="1854"/>
      <c r="H29" s="379" t="s">
        <v>1030</v>
      </c>
      <c r="I29" s="380" t="s">
        <v>1475</v>
      </c>
      <c r="J29" s="381">
        <f ca="1">ROUND(J26/(1+F40)^F41,0)</f>
        <v>0</v>
      </c>
      <c r="K29" s="382" t="s">
        <v>1476</v>
      </c>
      <c r="L29" s="383"/>
      <c r="M29" s="384">
        <f ca="1">INDIRECT("'数据-取费表'!k"&amp;$G$1)</f>
        <v>15152.750000000002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713</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483.7</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148.63999999999999</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334.44</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0.56999999999999995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3788.19</v>
      </c>
      <c r="G35" s="1851"/>
      <c r="H35" s="744"/>
      <c r="I35" s="1860"/>
      <c r="J35" s="1861"/>
      <c r="K35" s="1862"/>
      <c r="L35" s="1859"/>
      <c r="M35" s="1859"/>
    </row>
    <row r="36" spans="1:18" ht="18" customHeight="1">
      <c r="A36" s="1353" t="s">
        <v>1036</v>
      </c>
      <c r="B36" s="346" t="s">
        <v>1445</v>
      </c>
      <c r="C36" s="23">
        <f ca="1">ROUND(C29*F36,1)</f>
        <v>158.1</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15.3</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55.7</v>
      </c>
      <c r="D38" s="1343" t="s">
        <v>1455</v>
      </c>
      <c r="E38" s="1341" t="s">
        <v>1451</v>
      </c>
      <c r="F38" s="1337">
        <f ca="1">INDIRECT("'数据-取费表'!Am"&amp;$G$1)</f>
        <v>0.02</v>
      </c>
      <c r="G38" s="1851"/>
      <c r="H38" s="1859"/>
      <c r="I38" s="1860"/>
      <c r="J38" s="1861"/>
      <c r="K38" s="1865"/>
      <c r="L38" s="1859"/>
      <c r="M38" s="1859"/>
    </row>
    <row r="39" spans="1:18" ht="24.6" customHeight="1" thickTop="1">
      <c r="A39" s="1330" t="s">
        <v>1028</v>
      </c>
      <c r="B39" s="1345" t="s">
        <v>1479</v>
      </c>
      <c r="C39" s="354">
        <f ca="1">C5-C30</f>
        <v>2074</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60139</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39689</v>
      </c>
      <c r="D43" s="382" t="s">
        <v>1484</v>
      </c>
      <c r="E43" s="383" t="s">
        <v>1485</v>
      </c>
      <c r="F43" s="384">
        <f ca="1">INDIRECT("'数据-取费表'!k"&amp;$G$1)</f>
        <v>15152.750000000002</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-78991</v>
      </c>
      <c r="D46" s="1872" t="str">
        <f>C2</f>
        <v>万元</v>
      </c>
      <c r="E46" s="1866"/>
      <c r="F46" s="1866"/>
      <c r="I46" s="1873" t="s">
        <v>1517</v>
      </c>
      <c r="J46" s="1874"/>
      <c r="K46" s="1875"/>
      <c r="L46" s="1876">
        <f ca="1">IF(M47="住宅",0,IF(L48&gt;J51,L60,J60))</f>
        <v>87</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50</v>
      </c>
      <c r="M47" s="1838" t="str">
        <f>IF(ISNUMBER(FIND("住宅",C1)),"住宅","非住宅")</f>
        <v>非住宅</v>
      </c>
      <c r="O47" s="1884" t="s">
        <v>1037</v>
      </c>
      <c r="P47" s="1885" t="s">
        <v>1524</v>
      </c>
      <c r="Q47" s="1886">
        <f ca="1">C40+J29</f>
        <v>60139</v>
      </c>
      <c r="R47" s="1886" t="s">
        <v>1525</v>
      </c>
    </row>
    <row r="48" spans="1:18" s="1842" customFormat="1" ht="28.5" thickBot="1">
      <c r="A48" s="1361" t="s">
        <v>1132</v>
      </c>
      <c r="B48" s="344" t="s">
        <v>1397</v>
      </c>
      <c r="C48" s="2942">
        <f ca="1">C49+C53+C55</f>
        <v>0</v>
      </c>
      <c r="D48" s="1363"/>
      <c r="E48" s="1364"/>
      <c r="F48" s="1182"/>
      <c r="G48" s="791"/>
      <c r="H48" s="792"/>
      <c r="I48" s="1887" t="s">
        <v>1526</v>
      </c>
      <c r="J48" s="1888" t="s">
        <v>4161</v>
      </c>
      <c r="K48" s="1889" t="s">
        <v>1527</v>
      </c>
      <c r="L48" s="1890">
        <f ca="1">INDIRECT("'数据-取费表'!f"&amp;$G$1)</f>
        <v>45.1</v>
      </c>
      <c r="O48" s="1884" t="s">
        <v>1038</v>
      </c>
      <c r="P48" s="1885" t="s">
        <v>1528</v>
      </c>
      <c r="Q48" s="1886">
        <f ca="1">J60</f>
        <v>87</v>
      </c>
      <c r="R48" s="1886" t="s">
        <v>1529</v>
      </c>
    </row>
    <row r="49" spans="1:18" s="1842" customFormat="1" ht="13.5" thickBot="1">
      <c r="A49" s="1195" t="s">
        <v>1133</v>
      </c>
      <c r="B49" s="1829" t="s">
        <v>1486</v>
      </c>
      <c r="C49" s="1365">
        <f ca="1">ROUND(F49*F51*F50*(1-F52)/10000,0)</f>
        <v>0</v>
      </c>
      <c r="D49" s="1277" t="s">
        <v>3025</v>
      </c>
      <c r="E49" s="1830" t="s">
        <v>1487</v>
      </c>
      <c r="F49" s="1282"/>
      <c r="G49" s="1891"/>
      <c r="H49" s="792"/>
      <c r="I49" s="1887" t="s">
        <v>1530</v>
      </c>
      <c r="J49" s="1892">
        <v>2018</v>
      </c>
      <c r="K49" s="1889" t="s">
        <v>1531</v>
      </c>
      <c r="L49" s="1893"/>
      <c r="O49" s="1894" t="s">
        <v>1039</v>
      </c>
      <c r="P49" s="1885" t="s">
        <v>1532</v>
      </c>
      <c r="Q49" s="1886">
        <f ca="1">C29</f>
        <v>10543</v>
      </c>
      <c r="R49" s="1886" t="s">
        <v>1525</v>
      </c>
    </row>
    <row r="50" spans="1:18" s="1842" customFormat="1" ht="13.5" thickBot="1">
      <c r="A50" s="1196"/>
      <c r="B50" s="1199"/>
      <c r="C50" s="1369"/>
      <c r="D50" s="1173"/>
      <c r="E50" s="1278" t="s">
        <v>1402</v>
      </c>
      <c r="F50" s="1279">
        <f ca="1">F7</f>
        <v>15152.750000000002</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23094</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24.75"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141" t="s">
        <v>1544</v>
      </c>
      <c r="L53" s="3142"/>
      <c r="O53" s="1884" t="s">
        <v>1043</v>
      </c>
      <c r="P53" s="1885" t="s">
        <v>1545</v>
      </c>
      <c r="Q53" s="1886">
        <f ca="1">Q47+Q48</f>
        <v>60226</v>
      </c>
      <c r="R53" s="1886" t="s">
        <v>1044</v>
      </c>
    </row>
    <row r="54" spans="1:18" s="1842" customFormat="1" ht="13.5"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10227</v>
      </c>
      <c r="D56" s="1914"/>
      <c r="E56" s="1915"/>
      <c r="F56" s="1907"/>
      <c r="I56" s="1916" t="s">
        <v>1550</v>
      </c>
      <c r="J56" s="1917" t="s">
        <v>4162</v>
      </c>
      <c r="K56" s="1887" t="s">
        <v>1551</v>
      </c>
      <c r="L56" s="1890" t="str">
        <f ca="1">IF(L48&lt;J51,"——",L48-J53)</f>
        <v>——</v>
      </c>
      <c r="O56" s="1884" t="s">
        <v>1037</v>
      </c>
      <c r="P56" s="1885" t="s">
        <v>1524</v>
      </c>
      <c r="Q56" s="1886">
        <f ca="1">C40+J29</f>
        <v>60139</v>
      </c>
      <c r="R56" s="1886" t="s">
        <v>1525</v>
      </c>
    </row>
    <row r="57" spans="1:18" s="1842" customFormat="1" ht="24.75" thickBot="1">
      <c r="A57" s="1918"/>
      <c r="B57" s="1170" t="s">
        <v>1474</v>
      </c>
      <c r="C57" s="281">
        <f ca="1">C29</f>
        <v>10543</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1060</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886.2</v>
      </c>
      <c r="D59" s="1183" t="s">
        <v>1426</v>
      </c>
      <c r="E59" s="1184" t="s">
        <v>1427</v>
      </c>
      <c r="F59" s="367" t="str">
        <f ca="1">IF(项目基本情况!B11="企业","",IF(INDIRECT("'数据-取费表'!c"&amp;$G$1)="住宅",5%,IF(F49*F50*F51/12/(1+'数据-取费表'!C42)&gt;20000,12%,7%)))</f>
        <v/>
      </c>
      <c r="I59" s="1922" t="s">
        <v>1559</v>
      </c>
      <c r="J59" s="1923">
        <f ca="1">IF(OR(M47="住宅",J51&lt;L48,J56="是"),"——",ROUND(C29*J58,0))</f>
        <v>4217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87</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885.61</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0.56999999999999995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60139</v>
      </c>
      <c r="R62" s="1886" t="s">
        <v>1044</v>
      </c>
    </row>
    <row r="63" spans="1:18" s="1842" customFormat="1" ht="13.5" thickBot="1">
      <c r="A63" s="371"/>
      <c r="B63" s="1176"/>
      <c r="C63" s="28"/>
      <c r="D63" s="1186"/>
      <c r="E63" s="1170" t="s">
        <v>1495</v>
      </c>
      <c r="F63" s="347">
        <f t="shared" ca="1" si="0"/>
        <v>3788.19</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158.1</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15.3</v>
      </c>
      <c r="D65" s="1184" t="s">
        <v>1450</v>
      </c>
      <c r="E65" s="1170" t="s">
        <v>1451</v>
      </c>
      <c r="F65" s="375">
        <f t="shared" ca="1" si="0"/>
        <v>1.5E-3</v>
      </c>
      <c r="I65" s="1929" t="s">
        <v>1575</v>
      </c>
      <c r="J65" s="1930">
        <v>40</v>
      </c>
      <c r="K65" s="1930">
        <v>30</v>
      </c>
      <c r="L65" s="1930">
        <v>50</v>
      </c>
      <c r="M65" s="1932">
        <v>0.02</v>
      </c>
      <c r="O65" s="1884" t="s">
        <v>1037</v>
      </c>
      <c r="P65" s="1885" t="s">
        <v>1576</v>
      </c>
      <c r="Q65" s="1886">
        <f ca="1">C40+J29</f>
        <v>60139</v>
      </c>
      <c r="R65" s="1886" t="s">
        <v>1525</v>
      </c>
    </row>
    <row r="66" spans="1:18" s="1842" customFormat="1" ht="16.5" thickBot="1">
      <c r="A66" s="1202" t="s">
        <v>1500</v>
      </c>
      <c r="B66" s="1170" t="s">
        <v>1435</v>
      </c>
      <c r="C66" s="23">
        <f ca="1">ROUND(C48*F66,1)</f>
        <v>0</v>
      </c>
      <c r="D66" s="1184" t="s">
        <v>1501</v>
      </c>
      <c r="E66" s="1170" t="s">
        <v>1418</v>
      </c>
      <c r="F66" s="356">
        <f t="shared" ca="1" si="0"/>
        <v>0.02</v>
      </c>
      <c r="O66" s="1884" t="s">
        <v>1038</v>
      </c>
      <c r="P66" s="1885" t="s">
        <v>1554</v>
      </c>
      <c r="Q66" s="1886">
        <f ca="1">L60</f>
        <v>0</v>
      </c>
      <c r="R66" s="1886" t="s">
        <v>1577</v>
      </c>
    </row>
    <row r="67" spans="1:18" s="1842" customFormat="1" ht="16.5" thickBot="1">
      <c r="A67" s="1177" t="s">
        <v>1028</v>
      </c>
      <c r="B67" s="1187" t="s">
        <v>1459</v>
      </c>
      <c r="C67" s="360">
        <f ca="1">C48-C58</f>
        <v>-1060</v>
      </c>
      <c r="D67" s="1183" t="s">
        <v>1460</v>
      </c>
      <c r="E67" s="1188"/>
      <c r="F67" s="1189"/>
      <c r="O67" s="1894" t="s">
        <v>1039</v>
      </c>
      <c r="P67" s="1885" t="s">
        <v>1558</v>
      </c>
      <c r="Q67" s="1933">
        <f ca="1">L51</f>
        <v>23094</v>
      </c>
      <c r="R67" s="1886" t="s">
        <v>1578</v>
      </c>
    </row>
    <row r="68" spans="1:18" s="1842" customFormat="1" ht="16.5" thickBot="1">
      <c r="A68" s="1167" t="s">
        <v>1029</v>
      </c>
      <c r="B68" s="1168" t="s">
        <v>1481</v>
      </c>
      <c r="C68" s="345">
        <f ca="1">ROUND(C67*(1-((1+F70)/(1+F68))^F69)/(F68-F70),0)</f>
        <v>-18852</v>
      </c>
      <c r="D68" s="1185" t="s">
        <v>1465</v>
      </c>
      <c r="E68" s="1170" t="s">
        <v>1466</v>
      </c>
      <c r="F68" s="356">
        <f ca="1">F40</f>
        <v>0.05</v>
      </c>
      <c r="O68" s="1894" t="s">
        <v>1040</v>
      </c>
      <c r="P68" s="1934" t="s">
        <v>1579</v>
      </c>
      <c r="Q68" s="1886">
        <f ca="1">ROUND(Q69-Q70*Q71,0)</f>
        <v>1205</v>
      </c>
      <c r="R68" s="1886" t="s">
        <v>1048</v>
      </c>
    </row>
    <row r="69" spans="1:18" s="1842" customFormat="1" ht="13.5" thickBot="1">
      <c r="A69" s="1171"/>
      <c r="B69" s="1172"/>
      <c r="C69" s="350"/>
      <c r="D69" s="1190" t="s">
        <v>1469</v>
      </c>
      <c r="E69" s="1170" t="s">
        <v>1470</v>
      </c>
      <c r="F69" s="378">
        <f ca="1">F41</f>
        <v>45.1</v>
      </c>
      <c r="O69" s="1894" t="s">
        <v>1045</v>
      </c>
      <c r="P69" s="1934" t="s">
        <v>1580</v>
      </c>
      <c r="Q69" s="1886">
        <f ca="1">C39</f>
        <v>2074</v>
      </c>
      <c r="R69" s="1886" t="s">
        <v>1525</v>
      </c>
    </row>
    <row r="70" spans="1:18" s="1842" customFormat="1" ht="13.5" thickBot="1">
      <c r="A70" s="1174"/>
      <c r="B70" s="1175"/>
      <c r="C70" s="354"/>
      <c r="D70" s="1186"/>
      <c r="E70" s="1170" t="s">
        <v>1473</v>
      </c>
      <c r="F70" s="1276"/>
      <c r="O70" s="1894" t="s">
        <v>1046</v>
      </c>
      <c r="P70" s="1934" t="s">
        <v>1581</v>
      </c>
      <c r="Q70" s="1886">
        <f ca="1">C13</f>
        <v>10227</v>
      </c>
      <c r="R70" s="1886" t="s">
        <v>1525</v>
      </c>
    </row>
    <row r="71" spans="1:18" s="1842" customFormat="1" ht="13.5" thickBot="1">
      <c r="A71" s="1191" t="s">
        <v>1030</v>
      </c>
      <c r="B71" s="1192" t="s">
        <v>1483</v>
      </c>
      <c r="C71" s="381">
        <f ca="1">ROUND(C68*10000/F71,0)</f>
        <v>-12441</v>
      </c>
      <c r="D71" s="1193" t="s">
        <v>1484</v>
      </c>
      <c r="E71" s="1194" t="s">
        <v>1485</v>
      </c>
      <c r="F71" s="384">
        <f ca="1">F43</f>
        <v>15152.750000000002</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869</v>
      </c>
      <c r="D75" s="1842"/>
      <c r="E75" s="1842"/>
      <c r="F75" s="1842"/>
      <c r="K75" s="1868"/>
      <c r="L75" s="1842"/>
      <c r="O75" s="1884" t="s">
        <v>1043</v>
      </c>
      <c r="P75" s="1885" t="s">
        <v>1545</v>
      </c>
      <c r="Q75" s="1886">
        <f ca="1">Q65+Q66</f>
        <v>60139</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0.58099999999999996</v>
      </c>
    </row>
    <row r="80" spans="1:18">
      <c r="B80" s="385" t="s">
        <v>1507</v>
      </c>
      <c r="C80" s="317">
        <f ca="1">ROUND(C75/C39,3)</f>
        <v>0.41899999999999998</v>
      </c>
    </row>
    <row r="81" spans="2:3">
      <c r="B81" s="313" t="s">
        <v>1508</v>
      </c>
      <c r="C81" s="281"/>
    </row>
    <row r="82" spans="2:3">
      <c r="B82" s="316" t="s">
        <v>1509</v>
      </c>
      <c r="C82" s="318">
        <f ca="1">1-C83</f>
        <v>0.83</v>
      </c>
    </row>
    <row r="83" spans="2:3">
      <c r="B83" s="316" t="s">
        <v>1510</v>
      </c>
      <c r="C83" s="317">
        <f ca="1">ROUND(C13/C40,3)</f>
        <v>0.17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5" sqref="A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4156</v>
      </c>
      <c r="D1" s="1820" t="s">
        <v>70</v>
      </c>
      <c r="E1" s="1821" t="s">
        <v>1383</v>
      </c>
      <c r="F1" s="1284">
        <f ca="1">J53</f>
        <v>45.1</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118894</v>
      </c>
      <c r="C2" s="1845" t="s">
        <v>1512</v>
      </c>
      <c r="D2" s="1845"/>
      <c r="E2" s="1846"/>
      <c r="F2" s="1847"/>
      <c r="G2" s="1848"/>
      <c r="H2" s="1840"/>
      <c r="I2" s="1840"/>
      <c r="J2" s="1840"/>
      <c r="K2" s="1841"/>
      <c r="L2" s="1840"/>
      <c r="M2" s="1840"/>
    </row>
    <row r="3" spans="1:37" ht="18" customHeight="1" thickBot="1">
      <c r="A3" s="1849" t="s">
        <v>1513</v>
      </c>
      <c r="B3" s="1850">
        <f ca="1">IF(ISERROR(B2*10000/F43),0,ROUND(B2*10000/F43,0))</f>
        <v>35770</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5459</v>
      </c>
      <c r="D5" s="1822" t="s">
        <v>1398</v>
      </c>
      <c r="E5" s="1294"/>
      <c r="F5" s="1295"/>
      <c r="G5" s="1851"/>
      <c r="H5" s="343">
        <v>1</v>
      </c>
      <c r="I5" s="344" t="s">
        <v>1397</v>
      </c>
      <c r="J5" s="1293">
        <f ca="1">J6+J10+J12</f>
        <v>0</v>
      </c>
      <c r="K5" s="1822" t="s">
        <v>1398</v>
      </c>
      <c r="L5" s="1294"/>
      <c r="M5" s="1295"/>
    </row>
    <row r="6" spans="1:37" ht="18" customHeight="1">
      <c r="A6" s="1292" t="s">
        <v>1032</v>
      </c>
      <c r="B6" s="3143" t="s">
        <v>1399</v>
      </c>
      <c r="C6" s="1297">
        <f ca="1">ROUND(F6*F8*F7*(1-F9)/10000,0)</f>
        <v>5459</v>
      </c>
      <c r="D6" s="163" t="s">
        <v>3026</v>
      </c>
      <c r="E6" s="346" t="s">
        <v>1401</v>
      </c>
      <c r="F6" s="347">
        <f ca="1">INDIRECT("'数据-取费表'!u"&amp;$G$1)</f>
        <v>5</v>
      </c>
      <c r="G6" s="1851"/>
      <c r="H6" s="1292" t="s">
        <v>1032</v>
      </c>
      <c r="I6" s="3143" t="s">
        <v>1399</v>
      </c>
      <c r="J6" s="345">
        <f ca="1">ROUND(M6*M8*M7*(1-M9)/10000,0)</f>
        <v>0</v>
      </c>
      <c r="K6" s="163" t="s">
        <v>3025</v>
      </c>
      <c r="L6" s="346" t="s">
        <v>1401</v>
      </c>
      <c r="M6" s="347">
        <f ca="1">INDIRECT("'数据-取费表'!z"&amp;$G$1)</f>
        <v>0</v>
      </c>
    </row>
    <row r="7" spans="1:37" ht="18" customHeight="1">
      <c r="A7" s="1296"/>
      <c r="B7" s="3144"/>
      <c r="C7" s="1298"/>
      <c r="D7" s="351"/>
      <c r="E7" s="2945" t="s">
        <v>1402</v>
      </c>
      <c r="F7" s="347">
        <f ca="1">IF(INDIRECT("'数据-取费表'!ah"&amp;$G$1)="",INDIRECT("'数据-取费表'!k"&amp;$G$1),INDIRECT("'数据-取费表'!ah"&amp;$G$1))</f>
        <v>33238.290000000008</v>
      </c>
      <c r="G7" s="1851"/>
      <c r="H7" s="348"/>
      <c r="I7" s="3144"/>
      <c r="J7" s="350"/>
      <c r="K7" s="351"/>
      <c r="L7" s="346" t="s">
        <v>1402</v>
      </c>
      <c r="M7" s="347">
        <f ca="1">F7</f>
        <v>33238.290000000008</v>
      </c>
    </row>
    <row r="8" spans="1:37" ht="18" customHeight="1">
      <c r="A8" s="348"/>
      <c r="B8" s="3144"/>
      <c r="C8" s="350"/>
      <c r="D8" s="351"/>
      <c r="E8" s="346" t="s">
        <v>1403</v>
      </c>
      <c r="F8" s="347">
        <f ca="1">INDIRECT("'数据-取费表'!ai"&amp;$G$1)</f>
        <v>365</v>
      </c>
      <c r="G8" s="1851"/>
      <c r="H8" s="348"/>
      <c r="I8" s="3144"/>
      <c r="J8" s="350"/>
      <c r="K8" s="351"/>
      <c r="L8" s="346" t="s">
        <v>1403</v>
      </c>
      <c r="M8" s="347">
        <f ca="1">INDIRECT("'数据-取费表'!ai"&amp;$G$1)</f>
        <v>365</v>
      </c>
    </row>
    <row r="9" spans="1:37" ht="18" customHeight="1">
      <c r="A9" s="348"/>
      <c r="B9" s="3145"/>
      <c r="C9" s="350"/>
      <c r="D9" s="351"/>
      <c r="E9" s="346" t="s">
        <v>1404</v>
      </c>
      <c r="F9" s="356">
        <f ca="1">INDIRECT("'数据-取费表'!w"&amp;$G$1)</f>
        <v>0.1</v>
      </c>
      <c r="G9" s="1851"/>
      <c r="H9" s="348"/>
      <c r="I9" s="3145"/>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18113</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13295</v>
      </c>
      <c r="D14" s="2948" t="s">
        <v>1414</v>
      </c>
      <c r="E14" s="2947"/>
      <c r="F14" s="363"/>
      <c r="G14" s="1851"/>
      <c r="H14" s="1202" t="s">
        <v>1032</v>
      </c>
      <c r="I14" s="346" t="s">
        <v>1415</v>
      </c>
      <c r="J14" s="23">
        <f ca="1">C29</f>
        <v>18673</v>
      </c>
      <c r="K14" s="2944"/>
      <c r="L14" s="980"/>
      <c r="M14" s="981"/>
    </row>
    <row r="15" spans="1:37" s="1858" customFormat="1" ht="18" customHeight="1" thickBot="1">
      <c r="A15" s="1202" t="s">
        <v>1033</v>
      </c>
      <c r="B15" s="346" t="s">
        <v>1416</v>
      </c>
      <c r="C15" s="23">
        <f ca="1">ROUND(C14*F15,0)</f>
        <v>399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438</v>
      </c>
      <c r="K16" s="1338" t="s">
        <v>1421</v>
      </c>
      <c r="L16" s="2950"/>
      <c r="M16" s="1295"/>
    </row>
    <row r="17" spans="1:37" s="1858" customFormat="1" ht="18" customHeight="1">
      <c r="A17" s="1202" t="s">
        <v>1386</v>
      </c>
      <c r="B17" s="346" t="s">
        <v>1422</v>
      </c>
      <c r="C17" s="23">
        <f ca="1">ROUND(F17*(F43+INDIRECT("'数据-取费表'!S"&amp;$G$1))/10000,0)</f>
        <v>665</v>
      </c>
      <c r="D17" s="346" t="s">
        <v>1423</v>
      </c>
      <c r="E17" s="346" t="s">
        <v>1424</v>
      </c>
      <c r="F17" s="25">
        <f>'数据-取费表'!B35</f>
        <v>200</v>
      </c>
      <c r="G17" s="1854"/>
      <c r="H17" s="1202" t="s">
        <v>1032</v>
      </c>
      <c r="I17" s="346" t="s">
        <v>1425</v>
      </c>
      <c r="J17" s="23">
        <f ca="1">ROUND(IF(项目基本情况!B11="自然人",J5*M17,J18+J19+J20),1)</f>
        <v>158.1</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199</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14558</v>
      </c>
      <c r="D19" s="139" t="s">
        <v>1432</v>
      </c>
      <c r="E19" s="2943"/>
      <c r="F19" s="25"/>
      <c r="G19" s="1851"/>
      <c r="H19" s="1202" t="s">
        <v>1033</v>
      </c>
      <c r="I19" s="346" t="s">
        <v>1433</v>
      </c>
      <c r="J19" s="23">
        <f ca="1">IF(K19="按租金收入计税",ROUND(J5*M19,2),ROUND(C29*M19*0.7,2))</f>
        <v>156.85</v>
      </c>
      <c r="K19" s="1828" t="s">
        <v>1434</v>
      </c>
      <c r="L19" s="346" t="s">
        <v>1418</v>
      </c>
      <c r="M19" s="366">
        <f>IF(K19="按租金收入计税",'数据-取费表'!B51,'数据-取费表'!B50)</f>
        <v>1.2E-2</v>
      </c>
    </row>
    <row r="20" spans="1:37" s="1858" customFormat="1" ht="18" customHeight="1">
      <c r="A20" s="1202" t="s">
        <v>1036</v>
      </c>
      <c r="B20" s="346" t="s">
        <v>1435</v>
      </c>
      <c r="C20" s="23">
        <f ca="1">ROUND(C19*F20,0)</f>
        <v>218</v>
      </c>
      <c r="D20" s="368" t="s">
        <v>1436</v>
      </c>
      <c r="E20" s="346" t="s">
        <v>1418</v>
      </c>
      <c r="F20" s="366">
        <f>'数据-取费表'!B37</f>
        <v>1.4999999999999999E-2</v>
      </c>
      <c r="G20" s="1854"/>
      <c r="H20" s="1202" t="s">
        <v>1385</v>
      </c>
      <c r="I20" s="163" t="s">
        <v>1437</v>
      </c>
      <c r="J20" s="24">
        <f ca="1">ROUND(M20*M21/10000,2)</f>
        <v>1.25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8309.57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280.10000000000002</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882</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-438</v>
      </c>
      <c r="K25" s="1346" t="s">
        <v>1460</v>
      </c>
      <c r="L25" s="1347"/>
      <c r="M25" s="1348"/>
    </row>
    <row r="26" spans="1:37">
      <c r="A26" s="1202" t="s">
        <v>1031</v>
      </c>
      <c r="B26" s="346" t="s">
        <v>1461</v>
      </c>
      <c r="C26" s="23">
        <f ca="1">ROUND((C19+C20)*F26,0)</f>
        <v>1478</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2.5000000000000001E-3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18673</v>
      </c>
      <c r="D29" s="1343"/>
      <c r="E29" s="1341"/>
      <c r="F29" s="1344"/>
      <c r="G29" s="1854"/>
      <c r="H29" s="379" t="s">
        <v>1030</v>
      </c>
      <c r="I29" s="380" t="s">
        <v>1475</v>
      </c>
      <c r="J29" s="381">
        <f ca="1">ROUND(J26/(1+F40)^F41,0)</f>
        <v>0</v>
      </c>
      <c r="K29" s="382" t="s">
        <v>1476</v>
      </c>
      <c r="L29" s="383"/>
      <c r="M29" s="384">
        <f ca="1">INDIRECT("'数据-取费表'!k"&amp;$G$1)</f>
        <v>33238.290000000008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1364</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947.5</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291.14999999999998</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655.08000000000004</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1.25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8309.57</v>
      </c>
      <c r="G35" s="1851"/>
      <c r="H35" s="744"/>
      <c r="I35" s="1860"/>
      <c r="J35" s="1861"/>
      <c r="K35" s="1862"/>
      <c r="L35" s="1859"/>
      <c r="M35" s="1859"/>
    </row>
    <row r="36" spans="1:18" ht="18" customHeight="1">
      <c r="A36" s="1353" t="s">
        <v>1036</v>
      </c>
      <c r="B36" s="346" t="s">
        <v>1445</v>
      </c>
      <c r="C36" s="23">
        <f ca="1">ROUND(C29*F36,1)</f>
        <v>280.10000000000002</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27.2</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109.2</v>
      </c>
      <c r="D38" s="1343" t="s">
        <v>1455</v>
      </c>
      <c r="E38" s="1341" t="s">
        <v>1451</v>
      </c>
      <c r="F38" s="1337">
        <f ca="1">INDIRECT("'数据-取费表'!Am"&amp;$G$1)</f>
        <v>0.02</v>
      </c>
      <c r="G38" s="1851"/>
      <c r="H38" s="1859"/>
      <c r="I38" s="1860"/>
      <c r="J38" s="1861"/>
      <c r="K38" s="1865"/>
      <c r="L38" s="1859"/>
      <c r="M38" s="1859"/>
    </row>
    <row r="39" spans="1:18" ht="24.6" customHeight="1" thickTop="1">
      <c r="A39" s="1330" t="s">
        <v>1028</v>
      </c>
      <c r="B39" s="1345" t="s">
        <v>1479</v>
      </c>
      <c r="C39" s="354">
        <f ca="1">C5-C30</f>
        <v>4095</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118741</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35724</v>
      </c>
      <c r="D43" s="382" t="s">
        <v>1484</v>
      </c>
      <c r="E43" s="383" t="s">
        <v>1485</v>
      </c>
      <c r="F43" s="384">
        <f ca="1">INDIRECT("'数据-取费表'!k"&amp;$G$1)</f>
        <v>33238.290000000008</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-152123</v>
      </c>
      <c r="D46" s="1872" t="str">
        <f>C2</f>
        <v>万元</v>
      </c>
      <c r="E46" s="1866"/>
      <c r="F46" s="1866"/>
      <c r="I46" s="1873" t="s">
        <v>1517</v>
      </c>
      <c r="J46" s="1874"/>
      <c r="K46" s="1875"/>
      <c r="L46" s="1876">
        <f ca="1">IF(M47="住宅",0,IF(L48&gt;J51,L60,J60))</f>
        <v>153</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50</v>
      </c>
      <c r="M47" s="1838" t="str">
        <f>IF(ISNUMBER(FIND("住宅",C1)),"住宅","非住宅")</f>
        <v>非住宅</v>
      </c>
      <c r="O47" s="1884" t="s">
        <v>1037</v>
      </c>
      <c r="P47" s="1885" t="s">
        <v>1524</v>
      </c>
      <c r="Q47" s="1886">
        <f ca="1">C40+J29</f>
        <v>118741</v>
      </c>
      <c r="R47" s="1886" t="s">
        <v>1525</v>
      </c>
    </row>
    <row r="48" spans="1:18" s="1842" customFormat="1" ht="28.5" thickBot="1">
      <c r="A48" s="1361" t="s">
        <v>1132</v>
      </c>
      <c r="B48" s="344" t="s">
        <v>1397</v>
      </c>
      <c r="C48" s="2942">
        <f ca="1">C49+C53+C55</f>
        <v>0</v>
      </c>
      <c r="D48" s="1363"/>
      <c r="E48" s="1364"/>
      <c r="F48" s="1182"/>
      <c r="G48" s="791"/>
      <c r="H48" s="792"/>
      <c r="I48" s="1887" t="s">
        <v>1526</v>
      </c>
      <c r="J48" s="1888" t="s">
        <v>4161</v>
      </c>
      <c r="K48" s="1889" t="s">
        <v>1527</v>
      </c>
      <c r="L48" s="1890">
        <f ca="1">INDIRECT("'数据-取费表'!f"&amp;$G$1)</f>
        <v>45.1</v>
      </c>
      <c r="O48" s="1884" t="s">
        <v>1038</v>
      </c>
      <c r="P48" s="1885" t="s">
        <v>1528</v>
      </c>
      <c r="Q48" s="1886">
        <f ca="1">J60</f>
        <v>153</v>
      </c>
      <c r="R48" s="1886" t="s">
        <v>1529</v>
      </c>
    </row>
    <row r="49" spans="1:18" s="1842" customFormat="1" ht="13.5" thickBot="1">
      <c r="A49" s="1195" t="s">
        <v>1133</v>
      </c>
      <c r="B49" s="1829" t="s">
        <v>1486</v>
      </c>
      <c r="C49" s="1365">
        <f ca="1">ROUND(F49*F51*F50*(1-F52)/10000,0)</f>
        <v>0</v>
      </c>
      <c r="D49" s="1277" t="s">
        <v>3025</v>
      </c>
      <c r="E49" s="1830" t="s">
        <v>1487</v>
      </c>
      <c r="F49" s="1282"/>
      <c r="G49" s="1891"/>
      <c r="H49" s="792"/>
      <c r="I49" s="1887" t="s">
        <v>1530</v>
      </c>
      <c r="J49" s="1892">
        <v>2018</v>
      </c>
      <c r="K49" s="1889" t="s">
        <v>1531</v>
      </c>
      <c r="L49" s="1893"/>
      <c r="O49" s="1894" t="s">
        <v>1039</v>
      </c>
      <c r="P49" s="1885" t="s">
        <v>1532</v>
      </c>
      <c r="Q49" s="1886">
        <f ca="1">C29</f>
        <v>18673</v>
      </c>
      <c r="R49" s="1886" t="s">
        <v>1525</v>
      </c>
    </row>
    <row r="50" spans="1:18" s="1842" customFormat="1" ht="13.5" thickBot="1">
      <c r="A50" s="1196"/>
      <c r="B50" s="1199"/>
      <c r="C50" s="1369"/>
      <c r="D50" s="1173"/>
      <c r="E50" s="1278" t="s">
        <v>1402</v>
      </c>
      <c r="F50" s="1279">
        <f ca="1">F7</f>
        <v>33238.290000000008</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48986</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24.75"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141" t="s">
        <v>1544</v>
      </c>
      <c r="L53" s="3142"/>
      <c r="O53" s="1884" t="s">
        <v>1043</v>
      </c>
      <c r="P53" s="1885" t="s">
        <v>1545</v>
      </c>
      <c r="Q53" s="1886">
        <f ca="1">Q47+Q48</f>
        <v>118894</v>
      </c>
      <c r="R53" s="1886" t="s">
        <v>1044</v>
      </c>
    </row>
    <row r="54" spans="1:18" s="1842" customFormat="1" ht="13.5"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18113</v>
      </c>
      <c r="D56" s="1914"/>
      <c r="E56" s="1915"/>
      <c r="F56" s="1907"/>
      <c r="I56" s="1916" t="s">
        <v>1550</v>
      </c>
      <c r="J56" s="1917" t="s">
        <v>4162</v>
      </c>
      <c r="K56" s="1887" t="s">
        <v>1551</v>
      </c>
      <c r="L56" s="1890" t="str">
        <f ca="1">IF(L48&lt;J51,"——",L48-J53)</f>
        <v>——</v>
      </c>
      <c r="O56" s="1884" t="s">
        <v>1037</v>
      </c>
      <c r="P56" s="1885" t="s">
        <v>1524</v>
      </c>
      <c r="Q56" s="1886">
        <f ca="1">C40+J29</f>
        <v>118741</v>
      </c>
      <c r="R56" s="1886" t="s">
        <v>1525</v>
      </c>
    </row>
    <row r="57" spans="1:18" s="1842" customFormat="1" ht="24.75" thickBot="1">
      <c r="A57" s="1918"/>
      <c r="B57" s="1170" t="s">
        <v>1474</v>
      </c>
      <c r="C57" s="281">
        <f ca="1">C29</f>
        <v>18673</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1877</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1569.8</v>
      </c>
      <c r="D59" s="1183" t="s">
        <v>1426</v>
      </c>
      <c r="E59" s="1184" t="s">
        <v>1427</v>
      </c>
      <c r="F59" s="367" t="str">
        <f ca="1">IF(项目基本情况!B11="企业","",IF(INDIRECT("'数据-取费表'!c"&amp;$G$1)="住宅",5%,IF(F49*F50*F51/12/(1+'数据-取费表'!C42)&gt;20000,12%,7%)))</f>
        <v/>
      </c>
      <c r="I59" s="1922" t="s">
        <v>1559</v>
      </c>
      <c r="J59" s="1923">
        <f ca="1">IF(OR(M47="住宅",J51&lt;L48,J56="是"),"——",ROUND(C29*J58,0))</f>
        <v>7469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153</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1568.53</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1.25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118741</v>
      </c>
      <c r="R62" s="1886" t="s">
        <v>1044</v>
      </c>
    </row>
    <row r="63" spans="1:18" s="1842" customFormat="1" ht="13.5" thickBot="1">
      <c r="A63" s="371"/>
      <c r="B63" s="1176"/>
      <c r="C63" s="28"/>
      <c r="D63" s="1186"/>
      <c r="E63" s="1170" t="s">
        <v>1495</v>
      </c>
      <c r="F63" s="347">
        <f t="shared" ca="1" si="0"/>
        <v>8309.57</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280.10000000000002</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27.2</v>
      </c>
      <c r="D65" s="1184" t="s">
        <v>1450</v>
      </c>
      <c r="E65" s="1170" t="s">
        <v>1451</v>
      </c>
      <c r="F65" s="375">
        <f t="shared" ca="1" si="0"/>
        <v>1.5E-3</v>
      </c>
      <c r="I65" s="1929" t="s">
        <v>1575</v>
      </c>
      <c r="J65" s="1930">
        <v>40</v>
      </c>
      <c r="K65" s="1930">
        <v>30</v>
      </c>
      <c r="L65" s="1930">
        <v>50</v>
      </c>
      <c r="M65" s="1932">
        <v>0.02</v>
      </c>
      <c r="O65" s="1884" t="s">
        <v>1037</v>
      </c>
      <c r="P65" s="1885" t="s">
        <v>1576</v>
      </c>
      <c r="Q65" s="1886">
        <f ca="1">C40+J29</f>
        <v>118741</v>
      </c>
      <c r="R65" s="1886" t="s">
        <v>1525</v>
      </c>
    </row>
    <row r="66" spans="1:18" s="1842" customFormat="1" ht="16.5" thickBot="1">
      <c r="A66" s="1202" t="s">
        <v>1500</v>
      </c>
      <c r="B66" s="1170" t="s">
        <v>1435</v>
      </c>
      <c r="C66" s="23">
        <f ca="1">ROUND(C48*F66,1)</f>
        <v>0</v>
      </c>
      <c r="D66" s="1184" t="s">
        <v>1501</v>
      </c>
      <c r="E66" s="1170" t="s">
        <v>1418</v>
      </c>
      <c r="F66" s="356">
        <f t="shared" ca="1" si="0"/>
        <v>0.02</v>
      </c>
      <c r="O66" s="1884" t="s">
        <v>1038</v>
      </c>
      <c r="P66" s="1885" t="s">
        <v>1554</v>
      </c>
      <c r="Q66" s="1886">
        <f ca="1">L60</f>
        <v>0</v>
      </c>
      <c r="R66" s="1886" t="s">
        <v>1577</v>
      </c>
    </row>
    <row r="67" spans="1:18" s="1842" customFormat="1" ht="16.5" thickBot="1">
      <c r="A67" s="1177" t="s">
        <v>1028</v>
      </c>
      <c r="B67" s="1187" t="s">
        <v>1459</v>
      </c>
      <c r="C67" s="360">
        <f ca="1">C48-C58</f>
        <v>-1877</v>
      </c>
      <c r="D67" s="1183" t="s">
        <v>1460</v>
      </c>
      <c r="E67" s="1188"/>
      <c r="F67" s="1189"/>
      <c r="O67" s="1894" t="s">
        <v>1039</v>
      </c>
      <c r="P67" s="1885" t="s">
        <v>1558</v>
      </c>
      <c r="Q67" s="1933">
        <f ca="1">L51</f>
        <v>48986</v>
      </c>
      <c r="R67" s="1886" t="s">
        <v>1578</v>
      </c>
    </row>
    <row r="68" spans="1:18" s="1842" customFormat="1" ht="16.5" thickBot="1">
      <c r="A68" s="1167" t="s">
        <v>1029</v>
      </c>
      <c r="B68" s="1168" t="s">
        <v>1481</v>
      </c>
      <c r="C68" s="345">
        <f ca="1">ROUND(C67*(1-((1+F70)/(1+F68))^F69)/(F68-F70),0)</f>
        <v>-33382</v>
      </c>
      <c r="D68" s="1185" t="s">
        <v>1465</v>
      </c>
      <c r="E68" s="1170" t="s">
        <v>1466</v>
      </c>
      <c r="F68" s="356">
        <f ca="1">F40</f>
        <v>0.05</v>
      </c>
      <c r="O68" s="1894" t="s">
        <v>1040</v>
      </c>
      <c r="P68" s="1934" t="s">
        <v>1579</v>
      </c>
      <c r="Q68" s="1886">
        <f ca="1">ROUND(Q69-Q70*Q71,0)</f>
        <v>2555</v>
      </c>
      <c r="R68" s="1886" t="s">
        <v>1048</v>
      </c>
    </row>
    <row r="69" spans="1:18" s="1842" customFormat="1" ht="13.5" thickBot="1">
      <c r="A69" s="1171"/>
      <c r="B69" s="1172"/>
      <c r="C69" s="350"/>
      <c r="D69" s="1190" t="s">
        <v>1469</v>
      </c>
      <c r="E69" s="1170" t="s">
        <v>1470</v>
      </c>
      <c r="F69" s="378">
        <f ca="1">F41</f>
        <v>45.1</v>
      </c>
      <c r="O69" s="1894" t="s">
        <v>1045</v>
      </c>
      <c r="P69" s="1934" t="s">
        <v>1580</v>
      </c>
      <c r="Q69" s="1886">
        <f ca="1">C39</f>
        <v>4095</v>
      </c>
      <c r="R69" s="1886" t="s">
        <v>1525</v>
      </c>
    </row>
    <row r="70" spans="1:18" s="1842" customFormat="1" ht="13.5" thickBot="1">
      <c r="A70" s="1174"/>
      <c r="B70" s="1175"/>
      <c r="C70" s="354"/>
      <c r="D70" s="1186"/>
      <c r="E70" s="1170" t="s">
        <v>1473</v>
      </c>
      <c r="F70" s="1276"/>
      <c r="O70" s="1894" t="s">
        <v>1046</v>
      </c>
      <c r="P70" s="1934" t="s">
        <v>1581</v>
      </c>
      <c r="Q70" s="1886">
        <f ca="1">C13</f>
        <v>18113</v>
      </c>
      <c r="R70" s="1886" t="s">
        <v>1525</v>
      </c>
    </row>
    <row r="71" spans="1:18" s="1842" customFormat="1" ht="13.5" thickBot="1">
      <c r="A71" s="1191" t="s">
        <v>1030</v>
      </c>
      <c r="B71" s="1192" t="s">
        <v>1483</v>
      </c>
      <c r="C71" s="381">
        <f ca="1">ROUND(C68*10000/F71,0)</f>
        <v>-10043</v>
      </c>
      <c r="D71" s="1193" t="s">
        <v>1484</v>
      </c>
      <c r="E71" s="1194" t="s">
        <v>1485</v>
      </c>
      <c r="F71" s="384">
        <f ca="1">F43</f>
        <v>33238.290000000008</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1540</v>
      </c>
      <c r="D75" s="1842"/>
      <c r="E75" s="1842"/>
      <c r="F75" s="1842"/>
      <c r="K75" s="1868"/>
      <c r="L75" s="1842"/>
      <c r="O75" s="1884" t="s">
        <v>1043</v>
      </c>
      <c r="P75" s="1885" t="s">
        <v>1545</v>
      </c>
      <c r="Q75" s="1886">
        <f ca="1">Q65+Q66</f>
        <v>118741</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0.624</v>
      </c>
    </row>
    <row r="80" spans="1:18">
      <c r="B80" s="385" t="s">
        <v>1507</v>
      </c>
      <c r="C80" s="317">
        <f ca="1">ROUND(C75/C39,3)</f>
        <v>0.376</v>
      </c>
    </row>
    <row r="81" spans="2:3">
      <c r="B81" s="313" t="s">
        <v>1508</v>
      </c>
      <c r="C81" s="281"/>
    </row>
    <row r="82" spans="2:3">
      <c r="B82" s="316" t="s">
        <v>1509</v>
      </c>
      <c r="C82" s="318">
        <f ca="1">1-C83</f>
        <v>0.84699999999999998</v>
      </c>
    </row>
    <row r="83" spans="2:3">
      <c r="B83" s="316" t="s">
        <v>1510</v>
      </c>
      <c r="C83" s="317">
        <f ca="1">ROUND(C13/C40,3)</f>
        <v>0.153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257"/>
  <sheetViews>
    <sheetView workbookViewId="0">
      <selection activeCell="F11" sqref="F11:J11"/>
    </sheetView>
  </sheetViews>
  <sheetFormatPr defaultRowHeight="12.75"/>
  <cols>
    <col min="1" max="1" width="14.875" style="3293" customWidth="1"/>
    <col min="2" max="2" width="19" style="3293" customWidth="1"/>
    <col min="3" max="4" width="9" style="3293"/>
    <col min="5" max="5" width="19.875" style="3293" customWidth="1"/>
    <col min="6" max="6" width="10.75" style="3293" customWidth="1"/>
    <col min="7" max="7" width="6.75" style="3293" customWidth="1"/>
    <col min="8" max="8" width="10.375" style="3293" customWidth="1"/>
    <col min="9" max="9" width="12.5" style="3293" customWidth="1"/>
    <col min="10" max="10" width="14.25" style="3293" customWidth="1"/>
    <col min="11" max="256" width="9" style="3293"/>
    <col min="257" max="257" width="14.875" style="3293" customWidth="1"/>
    <col min="258" max="258" width="19" style="3293" customWidth="1"/>
    <col min="259" max="260" width="9" style="3293"/>
    <col min="261" max="261" width="19.875" style="3293" customWidth="1"/>
    <col min="262" max="262" width="10.75" style="3293" customWidth="1"/>
    <col min="263" max="263" width="6.75" style="3293" customWidth="1"/>
    <col min="264" max="264" width="10.375" style="3293" customWidth="1"/>
    <col min="265" max="265" width="12.5" style="3293" customWidth="1"/>
    <col min="266" max="266" width="14.25" style="3293" customWidth="1"/>
    <col min="267" max="512" width="9" style="3293"/>
    <col min="513" max="513" width="14.875" style="3293" customWidth="1"/>
    <col min="514" max="514" width="19" style="3293" customWidth="1"/>
    <col min="515" max="516" width="9" style="3293"/>
    <col min="517" max="517" width="19.875" style="3293" customWidth="1"/>
    <col min="518" max="518" width="10.75" style="3293" customWidth="1"/>
    <col min="519" max="519" width="6.75" style="3293" customWidth="1"/>
    <col min="520" max="520" width="10.375" style="3293" customWidth="1"/>
    <col min="521" max="521" width="12.5" style="3293" customWidth="1"/>
    <col min="522" max="522" width="14.25" style="3293" customWidth="1"/>
    <col min="523" max="768" width="9" style="3293"/>
    <col min="769" max="769" width="14.875" style="3293" customWidth="1"/>
    <col min="770" max="770" width="19" style="3293" customWidth="1"/>
    <col min="771" max="772" width="9" style="3293"/>
    <col min="773" max="773" width="19.875" style="3293" customWidth="1"/>
    <col min="774" max="774" width="10.75" style="3293" customWidth="1"/>
    <col min="775" max="775" width="6.75" style="3293" customWidth="1"/>
    <col min="776" max="776" width="10.375" style="3293" customWidth="1"/>
    <col min="777" max="777" width="12.5" style="3293" customWidth="1"/>
    <col min="778" max="778" width="14.25" style="3293" customWidth="1"/>
    <col min="779" max="1024" width="9" style="3293"/>
    <col min="1025" max="1025" width="14.875" style="3293" customWidth="1"/>
    <col min="1026" max="1026" width="19" style="3293" customWidth="1"/>
    <col min="1027" max="1028" width="9" style="3293"/>
    <col min="1029" max="1029" width="19.875" style="3293" customWidth="1"/>
    <col min="1030" max="1030" width="10.75" style="3293" customWidth="1"/>
    <col min="1031" max="1031" width="6.75" style="3293" customWidth="1"/>
    <col min="1032" max="1032" width="10.375" style="3293" customWidth="1"/>
    <col min="1033" max="1033" width="12.5" style="3293" customWidth="1"/>
    <col min="1034" max="1034" width="14.25" style="3293" customWidth="1"/>
    <col min="1035" max="1280" width="9" style="3293"/>
    <col min="1281" max="1281" width="14.875" style="3293" customWidth="1"/>
    <col min="1282" max="1282" width="19" style="3293" customWidth="1"/>
    <col min="1283" max="1284" width="9" style="3293"/>
    <col min="1285" max="1285" width="19.875" style="3293" customWidth="1"/>
    <col min="1286" max="1286" width="10.75" style="3293" customWidth="1"/>
    <col min="1287" max="1287" width="6.75" style="3293" customWidth="1"/>
    <col min="1288" max="1288" width="10.375" style="3293" customWidth="1"/>
    <col min="1289" max="1289" width="12.5" style="3293" customWidth="1"/>
    <col min="1290" max="1290" width="14.25" style="3293" customWidth="1"/>
    <col min="1291" max="1536" width="9" style="3293"/>
    <col min="1537" max="1537" width="14.875" style="3293" customWidth="1"/>
    <col min="1538" max="1538" width="19" style="3293" customWidth="1"/>
    <col min="1539" max="1540" width="9" style="3293"/>
    <col min="1541" max="1541" width="19.875" style="3293" customWidth="1"/>
    <col min="1542" max="1542" width="10.75" style="3293" customWidth="1"/>
    <col min="1543" max="1543" width="6.75" style="3293" customWidth="1"/>
    <col min="1544" max="1544" width="10.375" style="3293" customWidth="1"/>
    <col min="1545" max="1545" width="12.5" style="3293" customWidth="1"/>
    <col min="1546" max="1546" width="14.25" style="3293" customWidth="1"/>
    <col min="1547" max="1792" width="9" style="3293"/>
    <col min="1793" max="1793" width="14.875" style="3293" customWidth="1"/>
    <col min="1794" max="1794" width="19" style="3293" customWidth="1"/>
    <col min="1795" max="1796" width="9" style="3293"/>
    <col min="1797" max="1797" width="19.875" style="3293" customWidth="1"/>
    <col min="1798" max="1798" width="10.75" style="3293" customWidth="1"/>
    <col min="1799" max="1799" width="6.75" style="3293" customWidth="1"/>
    <col min="1800" max="1800" width="10.375" style="3293" customWidth="1"/>
    <col min="1801" max="1801" width="12.5" style="3293" customWidth="1"/>
    <col min="1802" max="1802" width="14.25" style="3293" customWidth="1"/>
    <col min="1803" max="2048" width="9" style="3293"/>
    <col min="2049" max="2049" width="14.875" style="3293" customWidth="1"/>
    <col min="2050" max="2050" width="19" style="3293" customWidth="1"/>
    <col min="2051" max="2052" width="9" style="3293"/>
    <col min="2053" max="2053" width="19.875" style="3293" customWidth="1"/>
    <col min="2054" max="2054" width="10.75" style="3293" customWidth="1"/>
    <col min="2055" max="2055" width="6.75" style="3293" customWidth="1"/>
    <col min="2056" max="2056" width="10.375" style="3293" customWidth="1"/>
    <col min="2057" max="2057" width="12.5" style="3293" customWidth="1"/>
    <col min="2058" max="2058" width="14.25" style="3293" customWidth="1"/>
    <col min="2059" max="2304" width="9" style="3293"/>
    <col min="2305" max="2305" width="14.875" style="3293" customWidth="1"/>
    <col min="2306" max="2306" width="19" style="3293" customWidth="1"/>
    <col min="2307" max="2308" width="9" style="3293"/>
    <col min="2309" max="2309" width="19.875" style="3293" customWidth="1"/>
    <col min="2310" max="2310" width="10.75" style="3293" customWidth="1"/>
    <col min="2311" max="2311" width="6.75" style="3293" customWidth="1"/>
    <col min="2312" max="2312" width="10.375" style="3293" customWidth="1"/>
    <col min="2313" max="2313" width="12.5" style="3293" customWidth="1"/>
    <col min="2314" max="2314" width="14.25" style="3293" customWidth="1"/>
    <col min="2315" max="2560" width="9" style="3293"/>
    <col min="2561" max="2561" width="14.875" style="3293" customWidth="1"/>
    <col min="2562" max="2562" width="19" style="3293" customWidth="1"/>
    <col min="2563" max="2564" width="9" style="3293"/>
    <col min="2565" max="2565" width="19.875" style="3293" customWidth="1"/>
    <col min="2566" max="2566" width="10.75" style="3293" customWidth="1"/>
    <col min="2567" max="2567" width="6.75" style="3293" customWidth="1"/>
    <col min="2568" max="2568" width="10.375" style="3293" customWidth="1"/>
    <col min="2569" max="2569" width="12.5" style="3293" customWidth="1"/>
    <col min="2570" max="2570" width="14.25" style="3293" customWidth="1"/>
    <col min="2571" max="2816" width="9" style="3293"/>
    <col min="2817" max="2817" width="14.875" style="3293" customWidth="1"/>
    <col min="2818" max="2818" width="19" style="3293" customWidth="1"/>
    <col min="2819" max="2820" width="9" style="3293"/>
    <col min="2821" max="2821" width="19.875" style="3293" customWidth="1"/>
    <col min="2822" max="2822" width="10.75" style="3293" customWidth="1"/>
    <col min="2823" max="2823" width="6.75" style="3293" customWidth="1"/>
    <col min="2824" max="2824" width="10.375" style="3293" customWidth="1"/>
    <col min="2825" max="2825" width="12.5" style="3293" customWidth="1"/>
    <col min="2826" max="2826" width="14.25" style="3293" customWidth="1"/>
    <col min="2827" max="3072" width="9" style="3293"/>
    <col min="3073" max="3073" width="14.875" style="3293" customWidth="1"/>
    <col min="3074" max="3074" width="19" style="3293" customWidth="1"/>
    <col min="3075" max="3076" width="9" style="3293"/>
    <col min="3077" max="3077" width="19.875" style="3293" customWidth="1"/>
    <col min="3078" max="3078" width="10.75" style="3293" customWidth="1"/>
    <col min="3079" max="3079" width="6.75" style="3293" customWidth="1"/>
    <col min="3080" max="3080" width="10.375" style="3293" customWidth="1"/>
    <col min="3081" max="3081" width="12.5" style="3293" customWidth="1"/>
    <col min="3082" max="3082" width="14.25" style="3293" customWidth="1"/>
    <col min="3083" max="3328" width="9" style="3293"/>
    <col min="3329" max="3329" width="14.875" style="3293" customWidth="1"/>
    <col min="3330" max="3330" width="19" style="3293" customWidth="1"/>
    <col min="3331" max="3332" width="9" style="3293"/>
    <col min="3333" max="3333" width="19.875" style="3293" customWidth="1"/>
    <col min="3334" max="3334" width="10.75" style="3293" customWidth="1"/>
    <col min="3335" max="3335" width="6.75" style="3293" customWidth="1"/>
    <col min="3336" max="3336" width="10.375" style="3293" customWidth="1"/>
    <col min="3337" max="3337" width="12.5" style="3293" customWidth="1"/>
    <col min="3338" max="3338" width="14.25" style="3293" customWidth="1"/>
    <col min="3339" max="3584" width="9" style="3293"/>
    <col min="3585" max="3585" width="14.875" style="3293" customWidth="1"/>
    <col min="3586" max="3586" width="19" style="3293" customWidth="1"/>
    <col min="3587" max="3588" width="9" style="3293"/>
    <col min="3589" max="3589" width="19.875" style="3293" customWidth="1"/>
    <col min="3590" max="3590" width="10.75" style="3293" customWidth="1"/>
    <col min="3591" max="3591" width="6.75" style="3293" customWidth="1"/>
    <col min="3592" max="3592" width="10.375" style="3293" customWidth="1"/>
    <col min="3593" max="3593" width="12.5" style="3293" customWidth="1"/>
    <col min="3594" max="3594" width="14.25" style="3293" customWidth="1"/>
    <col min="3595" max="3840" width="9" style="3293"/>
    <col min="3841" max="3841" width="14.875" style="3293" customWidth="1"/>
    <col min="3842" max="3842" width="19" style="3293" customWidth="1"/>
    <col min="3843" max="3844" width="9" style="3293"/>
    <col min="3845" max="3845" width="19.875" style="3293" customWidth="1"/>
    <col min="3846" max="3846" width="10.75" style="3293" customWidth="1"/>
    <col min="3847" max="3847" width="6.75" style="3293" customWidth="1"/>
    <col min="3848" max="3848" width="10.375" style="3293" customWidth="1"/>
    <col min="3849" max="3849" width="12.5" style="3293" customWidth="1"/>
    <col min="3850" max="3850" width="14.25" style="3293" customWidth="1"/>
    <col min="3851" max="4096" width="9" style="3293"/>
    <col min="4097" max="4097" width="14.875" style="3293" customWidth="1"/>
    <col min="4098" max="4098" width="19" style="3293" customWidth="1"/>
    <col min="4099" max="4100" width="9" style="3293"/>
    <col min="4101" max="4101" width="19.875" style="3293" customWidth="1"/>
    <col min="4102" max="4102" width="10.75" style="3293" customWidth="1"/>
    <col min="4103" max="4103" width="6.75" style="3293" customWidth="1"/>
    <col min="4104" max="4104" width="10.375" style="3293" customWidth="1"/>
    <col min="4105" max="4105" width="12.5" style="3293" customWidth="1"/>
    <col min="4106" max="4106" width="14.25" style="3293" customWidth="1"/>
    <col min="4107" max="4352" width="9" style="3293"/>
    <col min="4353" max="4353" width="14.875" style="3293" customWidth="1"/>
    <col min="4354" max="4354" width="19" style="3293" customWidth="1"/>
    <col min="4355" max="4356" width="9" style="3293"/>
    <col min="4357" max="4357" width="19.875" style="3293" customWidth="1"/>
    <col min="4358" max="4358" width="10.75" style="3293" customWidth="1"/>
    <col min="4359" max="4359" width="6.75" style="3293" customWidth="1"/>
    <col min="4360" max="4360" width="10.375" style="3293" customWidth="1"/>
    <col min="4361" max="4361" width="12.5" style="3293" customWidth="1"/>
    <col min="4362" max="4362" width="14.25" style="3293" customWidth="1"/>
    <col min="4363" max="4608" width="9" style="3293"/>
    <col min="4609" max="4609" width="14.875" style="3293" customWidth="1"/>
    <col min="4610" max="4610" width="19" style="3293" customWidth="1"/>
    <col min="4611" max="4612" width="9" style="3293"/>
    <col min="4613" max="4613" width="19.875" style="3293" customWidth="1"/>
    <col min="4614" max="4614" width="10.75" style="3293" customWidth="1"/>
    <col min="4615" max="4615" width="6.75" style="3293" customWidth="1"/>
    <col min="4616" max="4616" width="10.375" style="3293" customWidth="1"/>
    <col min="4617" max="4617" width="12.5" style="3293" customWidth="1"/>
    <col min="4618" max="4618" width="14.25" style="3293" customWidth="1"/>
    <col min="4619" max="4864" width="9" style="3293"/>
    <col min="4865" max="4865" width="14.875" style="3293" customWidth="1"/>
    <col min="4866" max="4866" width="19" style="3293" customWidth="1"/>
    <col min="4867" max="4868" width="9" style="3293"/>
    <col min="4869" max="4869" width="19.875" style="3293" customWidth="1"/>
    <col min="4870" max="4870" width="10.75" style="3293" customWidth="1"/>
    <col min="4871" max="4871" width="6.75" style="3293" customWidth="1"/>
    <col min="4872" max="4872" width="10.375" style="3293" customWidth="1"/>
    <col min="4873" max="4873" width="12.5" style="3293" customWidth="1"/>
    <col min="4874" max="4874" width="14.25" style="3293" customWidth="1"/>
    <col min="4875" max="5120" width="9" style="3293"/>
    <col min="5121" max="5121" width="14.875" style="3293" customWidth="1"/>
    <col min="5122" max="5122" width="19" style="3293" customWidth="1"/>
    <col min="5123" max="5124" width="9" style="3293"/>
    <col min="5125" max="5125" width="19.875" style="3293" customWidth="1"/>
    <col min="5126" max="5126" width="10.75" style="3293" customWidth="1"/>
    <col min="5127" max="5127" width="6.75" style="3293" customWidth="1"/>
    <col min="5128" max="5128" width="10.375" style="3293" customWidth="1"/>
    <col min="5129" max="5129" width="12.5" style="3293" customWidth="1"/>
    <col min="5130" max="5130" width="14.25" style="3293" customWidth="1"/>
    <col min="5131" max="5376" width="9" style="3293"/>
    <col min="5377" max="5377" width="14.875" style="3293" customWidth="1"/>
    <col min="5378" max="5378" width="19" style="3293" customWidth="1"/>
    <col min="5379" max="5380" width="9" style="3293"/>
    <col min="5381" max="5381" width="19.875" style="3293" customWidth="1"/>
    <col min="5382" max="5382" width="10.75" style="3293" customWidth="1"/>
    <col min="5383" max="5383" width="6.75" style="3293" customWidth="1"/>
    <col min="5384" max="5384" width="10.375" style="3293" customWidth="1"/>
    <col min="5385" max="5385" width="12.5" style="3293" customWidth="1"/>
    <col min="5386" max="5386" width="14.25" style="3293" customWidth="1"/>
    <col min="5387" max="5632" width="9" style="3293"/>
    <col min="5633" max="5633" width="14.875" style="3293" customWidth="1"/>
    <col min="5634" max="5634" width="19" style="3293" customWidth="1"/>
    <col min="5635" max="5636" width="9" style="3293"/>
    <col min="5637" max="5637" width="19.875" style="3293" customWidth="1"/>
    <col min="5638" max="5638" width="10.75" style="3293" customWidth="1"/>
    <col min="5639" max="5639" width="6.75" style="3293" customWidth="1"/>
    <col min="5640" max="5640" width="10.375" style="3293" customWidth="1"/>
    <col min="5641" max="5641" width="12.5" style="3293" customWidth="1"/>
    <col min="5642" max="5642" width="14.25" style="3293" customWidth="1"/>
    <col min="5643" max="5888" width="9" style="3293"/>
    <col min="5889" max="5889" width="14.875" style="3293" customWidth="1"/>
    <col min="5890" max="5890" width="19" style="3293" customWidth="1"/>
    <col min="5891" max="5892" width="9" style="3293"/>
    <col min="5893" max="5893" width="19.875" style="3293" customWidth="1"/>
    <col min="5894" max="5894" width="10.75" style="3293" customWidth="1"/>
    <col min="5895" max="5895" width="6.75" style="3293" customWidth="1"/>
    <col min="5896" max="5896" width="10.375" style="3293" customWidth="1"/>
    <col min="5897" max="5897" width="12.5" style="3293" customWidth="1"/>
    <col min="5898" max="5898" width="14.25" style="3293" customWidth="1"/>
    <col min="5899" max="6144" width="9" style="3293"/>
    <col min="6145" max="6145" width="14.875" style="3293" customWidth="1"/>
    <col min="6146" max="6146" width="19" style="3293" customWidth="1"/>
    <col min="6147" max="6148" width="9" style="3293"/>
    <col min="6149" max="6149" width="19.875" style="3293" customWidth="1"/>
    <col min="6150" max="6150" width="10.75" style="3293" customWidth="1"/>
    <col min="6151" max="6151" width="6.75" style="3293" customWidth="1"/>
    <col min="6152" max="6152" width="10.375" style="3293" customWidth="1"/>
    <col min="6153" max="6153" width="12.5" style="3293" customWidth="1"/>
    <col min="6154" max="6154" width="14.25" style="3293" customWidth="1"/>
    <col min="6155" max="6400" width="9" style="3293"/>
    <col min="6401" max="6401" width="14.875" style="3293" customWidth="1"/>
    <col min="6402" max="6402" width="19" style="3293" customWidth="1"/>
    <col min="6403" max="6404" width="9" style="3293"/>
    <col min="6405" max="6405" width="19.875" style="3293" customWidth="1"/>
    <col min="6406" max="6406" width="10.75" style="3293" customWidth="1"/>
    <col min="6407" max="6407" width="6.75" style="3293" customWidth="1"/>
    <col min="6408" max="6408" width="10.375" style="3293" customWidth="1"/>
    <col min="6409" max="6409" width="12.5" style="3293" customWidth="1"/>
    <col min="6410" max="6410" width="14.25" style="3293" customWidth="1"/>
    <col min="6411" max="6656" width="9" style="3293"/>
    <col min="6657" max="6657" width="14.875" style="3293" customWidth="1"/>
    <col min="6658" max="6658" width="19" style="3293" customWidth="1"/>
    <col min="6659" max="6660" width="9" style="3293"/>
    <col min="6661" max="6661" width="19.875" style="3293" customWidth="1"/>
    <col min="6662" max="6662" width="10.75" style="3293" customWidth="1"/>
    <col min="6663" max="6663" width="6.75" style="3293" customWidth="1"/>
    <col min="6664" max="6664" width="10.375" style="3293" customWidth="1"/>
    <col min="6665" max="6665" width="12.5" style="3293" customWidth="1"/>
    <col min="6666" max="6666" width="14.25" style="3293" customWidth="1"/>
    <col min="6667" max="6912" width="9" style="3293"/>
    <col min="6913" max="6913" width="14.875" style="3293" customWidth="1"/>
    <col min="6914" max="6914" width="19" style="3293" customWidth="1"/>
    <col min="6915" max="6916" width="9" style="3293"/>
    <col min="6917" max="6917" width="19.875" style="3293" customWidth="1"/>
    <col min="6918" max="6918" width="10.75" style="3293" customWidth="1"/>
    <col min="6919" max="6919" width="6.75" style="3293" customWidth="1"/>
    <col min="6920" max="6920" width="10.375" style="3293" customWidth="1"/>
    <col min="6921" max="6921" width="12.5" style="3293" customWidth="1"/>
    <col min="6922" max="6922" width="14.25" style="3293" customWidth="1"/>
    <col min="6923" max="7168" width="9" style="3293"/>
    <col min="7169" max="7169" width="14.875" style="3293" customWidth="1"/>
    <col min="7170" max="7170" width="19" style="3293" customWidth="1"/>
    <col min="7171" max="7172" width="9" style="3293"/>
    <col min="7173" max="7173" width="19.875" style="3293" customWidth="1"/>
    <col min="7174" max="7174" width="10.75" style="3293" customWidth="1"/>
    <col min="7175" max="7175" width="6.75" style="3293" customWidth="1"/>
    <col min="7176" max="7176" width="10.375" style="3293" customWidth="1"/>
    <col min="7177" max="7177" width="12.5" style="3293" customWidth="1"/>
    <col min="7178" max="7178" width="14.25" style="3293" customWidth="1"/>
    <col min="7179" max="7424" width="9" style="3293"/>
    <col min="7425" max="7425" width="14.875" style="3293" customWidth="1"/>
    <col min="7426" max="7426" width="19" style="3293" customWidth="1"/>
    <col min="7427" max="7428" width="9" style="3293"/>
    <col min="7429" max="7429" width="19.875" style="3293" customWidth="1"/>
    <col min="7430" max="7430" width="10.75" style="3293" customWidth="1"/>
    <col min="7431" max="7431" width="6.75" style="3293" customWidth="1"/>
    <col min="7432" max="7432" width="10.375" style="3293" customWidth="1"/>
    <col min="7433" max="7433" width="12.5" style="3293" customWidth="1"/>
    <col min="7434" max="7434" width="14.25" style="3293" customWidth="1"/>
    <col min="7435" max="7680" width="9" style="3293"/>
    <col min="7681" max="7681" width="14.875" style="3293" customWidth="1"/>
    <col min="7682" max="7682" width="19" style="3293" customWidth="1"/>
    <col min="7683" max="7684" width="9" style="3293"/>
    <col min="7685" max="7685" width="19.875" style="3293" customWidth="1"/>
    <col min="7686" max="7686" width="10.75" style="3293" customWidth="1"/>
    <col min="7687" max="7687" width="6.75" style="3293" customWidth="1"/>
    <col min="7688" max="7688" width="10.375" style="3293" customWidth="1"/>
    <col min="7689" max="7689" width="12.5" style="3293" customWidth="1"/>
    <col min="7690" max="7690" width="14.25" style="3293" customWidth="1"/>
    <col min="7691" max="7936" width="9" style="3293"/>
    <col min="7937" max="7937" width="14.875" style="3293" customWidth="1"/>
    <col min="7938" max="7938" width="19" style="3293" customWidth="1"/>
    <col min="7939" max="7940" width="9" style="3293"/>
    <col min="7941" max="7941" width="19.875" style="3293" customWidth="1"/>
    <col min="7942" max="7942" width="10.75" style="3293" customWidth="1"/>
    <col min="7943" max="7943" width="6.75" style="3293" customWidth="1"/>
    <col min="7944" max="7944" width="10.375" style="3293" customWidth="1"/>
    <col min="7945" max="7945" width="12.5" style="3293" customWidth="1"/>
    <col min="7946" max="7946" width="14.25" style="3293" customWidth="1"/>
    <col min="7947" max="8192" width="9" style="3293"/>
    <col min="8193" max="8193" width="14.875" style="3293" customWidth="1"/>
    <col min="8194" max="8194" width="19" style="3293" customWidth="1"/>
    <col min="8195" max="8196" width="9" style="3293"/>
    <col min="8197" max="8197" width="19.875" style="3293" customWidth="1"/>
    <col min="8198" max="8198" width="10.75" style="3293" customWidth="1"/>
    <col min="8199" max="8199" width="6.75" style="3293" customWidth="1"/>
    <col min="8200" max="8200" width="10.375" style="3293" customWidth="1"/>
    <col min="8201" max="8201" width="12.5" style="3293" customWidth="1"/>
    <col min="8202" max="8202" width="14.25" style="3293" customWidth="1"/>
    <col min="8203" max="8448" width="9" style="3293"/>
    <col min="8449" max="8449" width="14.875" style="3293" customWidth="1"/>
    <col min="8450" max="8450" width="19" style="3293" customWidth="1"/>
    <col min="8451" max="8452" width="9" style="3293"/>
    <col min="8453" max="8453" width="19.875" style="3293" customWidth="1"/>
    <col min="8454" max="8454" width="10.75" style="3293" customWidth="1"/>
    <col min="8455" max="8455" width="6.75" style="3293" customWidth="1"/>
    <col min="8456" max="8456" width="10.375" style="3293" customWidth="1"/>
    <col min="8457" max="8457" width="12.5" style="3293" customWidth="1"/>
    <col min="8458" max="8458" width="14.25" style="3293" customWidth="1"/>
    <col min="8459" max="8704" width="9" style="3293"/>
    <col min="8705" max="8705" width="14.875" style="3293" customWidth="1"/>
    <col min="8706" max="8706" width="19" style="3293" customWidth="1"/>
    <col min="8707" max="8708" width="9" style="3293"/>
    <col min="8709" max="8709" width="19.875" style="3293" customWidth="1"/>
    <col min="8710" max="8710" width="10.75" style="3293" customWidth="1"/>
    <col min="8711" max="8711" width="6.75" style="3293" customWidth="1"/>
    <col min="8712" max="8712" width="10.375" style="3293" customWidth="1"/>
    <col min="8713" max="8713" width="12.5" style="3293" customWidth="1"/>
    <col min="8714" max="8714" width="14.25" style="3293" customWidth="1"/>
    <col min="8715" max="8960" width="9" style="3293"/>
    <col min="8961" max="8961" width="14.875" style="3293" customWidth="1"/>
    <col min="8962" max="8962" width="19" style="3293" customWidth="1"/>
    <col min="8963" max="8964" width="9" style="3293"/>
    <col min="8965" max="8965" width="19.875" style="3293" customWidth="1"/>
    <col min="8966" max="8966" width="10.75" style="3293" customWidth="1"/>
    <col min="8967" max="8967" width="6.75" style="3293" customWidth="1"/>
    <col min="8968" max="8968" width="10.375" style="3293" customWidth="1"/>
    <col min="8969" max="8969" width="12.5" style="3293" customWidth="1"/>
    <col min="8970" max="8970" width="14.25" style="3293" customWidth="1"/>
    <col min="8971" max="9216" width="9" style="3293"/>
    <col min="9217" max="9217" width="14.875" style="3293" customWidth="1"/>
    <col min="9218" max="9218" width="19" style="3293" customWidth="1"/>
    <col min="9219" max="9220" width="9" style="3293"/>
    <col min="9221" max="9221" width="19.875" style="3293" customWidth="1"/>
    <col min="9222" max="9222" width="10.75" style="3293" customWidth="1"/>
    <col min="9223" max="9223" width="6.75" style="3293" customWidth="1"/>
    <col min="9224" max="9224" width="10.375" style="3293" customWidth="1"/>
    <col min="9225" max="9225" width="12.5" style="3293" customWidth="1"/>
    <col min="9226" max="9226" width="14.25" style="3293" customWidth="1"/>
    <col min="9227" max="9472" width="9" style="3293"/>
    <col min="9473" max="9473" width="14.875" style="3293" customWidth="1"/>
    <col min="9474" max="9474" width="19" style="3293" customWidth="1"/>
    <col min="9475" max="9476" width="9" style="3293"/>
    <col min="9477" max="9477" width="19.875" style="3293" customWidth="1"/>
    <col min="9478" max="9478" width="10.75" style="3293" customWidth="1"/>
    <col min="9479" max="9479" width="6.75" style="3293" customWidth="1"/>
    <col min="9480" max="9480" width="10.375" style="3293" customWidth="1"/>
    <col min="9481" max="9481" width="12.5" style="3293" customWidth="1"/>
    <col min="9482" max="9482" width="14.25" style="3293" customWidth="1"/>
    <col min="9483" max="9728" width="9" style="3293"/>
    <col min="9729" max="9729" width="14.875" style="3293" customWidth="1"/>
    <col min="9730" max="9730" width="19" style="3293" customWidth="1"/>
    <col min="9731" max="9732" width="9" style="3293"/>
    <col min="9733" max="9733" width="19.875" style="3293" customWidth="1"/>
    <col min="9734" max="9734" width="10.75" style="3293" customWidth="1"/>
    <col min="9735" max="9735" width="6.75" style="3293" customWidth="1"/>
    <col min="9736" max="9736" width="10.375" style="3293" customWidth="1"/>
    <col min="9737" max="9737" width="12.5" style="3293" customWidth="1"/>
    <col min="9738" max="9738" width="14.25" style="3293" customWidth="1"/>
    <col min="9739" max="9984" width="9" style="3293"/>
    <col min="9985" max="9985" width="14.875" style="3293" customWidth="1"/>
    <col min="9986" max="9986" width="19" style="3293" customWidth="1"/>
    <col min="9987" max="9988" width="9" style="3293"/>
    <col min="9989" max="9989" width="19.875" style="3293" customWidth="1"/>
    <col min="9990" max="9990" width="10.75" style="3293" customWidth="1"/>
    <col min="9991" max="9991" width="6.75" style="3293" customWidth="1"/>
    <col min="9992" max="9992" width="10.375" style="3293" customWidth="1"/>
    <col min="9993" max="9993" width="12.5" style="3293" customWidth="1"/>
    <col min="9994" max="9994" width="14.25" style="3293" customWidth="1"/>
    <col min="9995" max="10240" width="9" style="3293"/>
    <col min="10241" max="10241" width="14.875" style="3293" customWidth="1"/>
    <col min="10242" max="10242" width="19" style="3293" customWidth="1"/>
    <col min="10243" max="10244" width="9" style="3293"/>
    <col min="10245" max="10245" width="19.875" style="3293" customWidth="1"/>
    <col min="10246" max="10246" width="10.75" style="3293" customWidth="1"/>
    <col min="10247" max="10247" width="6.75" style="3293" customWidth="1"/>
    <col min="10248" max="10248" width="10.375" style="3293" customWidth="1"/>
    <col min="10249" max="10249" width="12.5" style="3293" customWidth="1"/>
    <col min="10250" max="10250" width="14.25" style="3293" customWidth="1"/>
    <col min="10251" max="10496" width="9" style="3293"/>
    <col min="10497" max="10497" width="14.875" style="3293" customWidth="1"/>
    <col min="10498" max="10498" width="19" style="3293" customWidth="1"/>
    <col min="10499" max="10500" width="9" style="3293"/>
    <col min="10501" max="10501" width="19.875" style="3293" customWidth="1"/>
    <col min="10502" max="10502" width="10.75" style="3293" customWidth="1"/>
    <col min="10503" max="10503" width="6.75" style="3293" customWidth="1"/>
    <col min="10504" max="10504" width="10.375" style="3293" customWidth="1"/>
    <col min="10505" max="10505" width="12.5" style="3293" customWidth="1"/>
    <col min="10506" max="10506" width="14.25" style="3293" customWidth="1"/>
    <col min="10507" max="10752" width="9" style="3293"/>
    <col min="10753" max="10753" width="14.875" style="3293" customWidth="1"/>
    <col min="10754" max="10754" width="19" style="3293" customWidth="1"/>
    <col min="10755" max="10756" width="9" style="3293"/>
    <col min="10757" max="10757" width="19.875" style="3293" customWidth="1"/>
    <col min="10758" max="10758" width="10.75" style="3293" customWidth="1"/>
    <col min="10759" max="10759" width="6.75" style="3293" customWidth="1"/>
    <col min="10760" max="10760" width="10.375" style="3293" customWidth="1"/>
    <col min="10761" max="10761" width="12.5" style="3293" customWidth="1"/>
    <col min="10762" max="10762" width="14.25" style="3293" customWidth="1"/>
    <col min="10763" max="11008" width="9" style="3293"/>
    <col min="11009" max="11009" width="14.875" style="3293" customWidth="1"/>
    <col min="11010" max="11010" width="19" style="3293" customWidth="1"/>
    <col min="11011" max="11012" width="9" style="3293"/>
    <col min="11013" max="11013" width="19.875" style="3293" customWidth="1"/>
    <col min="11014" max="11014" width="10.75" style="3293" customWidth="1"/>
    <col min="11015" max="11015" width="6.75" style="3293" customWidth="1"/>
    <col min="11016" max="11016" width="10.375" style="3293" customWidth="1"/>
    <col min="11017" max="11017" width="12.5" style="3293" customWidth="1"/>
    <col min="11018" max="11018" width="14.25" style="3293" customWidth="1"/>
    <col min="11019" max="11264" width="9" style="3293"/>
    <col min="11265" max="11265" width="14.875" style="3293" customWidth="1"/>
    <col min="11266" max="11266" width="19" style="3293" customWidth="1"/>
    <col min="11267" max="11268" width="9" style="3293"/>
    <col min="11269" max="11269" width="19.875" style="3293" customWidth="1"/>
    <col min="11270" max="11270" width="10.75" style="3293" customWidth="1"/>
    <col min="11271" max="11271" width="6.75" style="3293" customWidth="1"/>
    <col min="11272" max="11272" width="10.375" style="3293" customWidth="1"/>
    <col min="11273" max="11273" width="12.5" style="3293" customWidth="1"/>
    <col min="11274" max="11274" width="14.25" style="3293" customWidth="1"/>
    <col min="11275" max="11520" width="9" style="3293"/>
    <col min="11521" max="11521" width="14.875" style="3293" customWidth="1"/>
    <col min="11522" max="11522" width="19" style="3293" customWidth="1"/>
    <col min="11523" max="11524" width="9" style="3293"/>
    <col min="11525" max="11525" width="19.875" style="3293" customWidth="1"/>
    <col min="11526" max="11526" width="10.75" style="3293" customWidth="1"/>
    <col min="11527" max="11527" width="6.75" style="3293" customWidth="1"/>
    <col min="11528" max="11528" width="10.375" style="3293" customWidth="1"/>
    <col min="11529" max="11529" width="12.5" style="3293" customWidth="1"/>
    <col min="11530" max="11530" width="14.25" style="3293" customWidth="1"/>
    <col min="11531" max="11776" width="9" style="3293"/>
    <col min="11777" max="11777" width="14.875" style="3293" customWidth="1"/>
    <col min="11778" max="11778" width="19" style="3293" customWidth="1"/>
    <col min="11779" max="11780" width="9" style="3293"/>
    <col min="11781" max="11781" width="19.875" style="3293" customWidth="1"/>
    <col min="11782" max="11782" width="10.75" style="3293" customWidth="1"/>
    <col min="11783" max="11783" width="6.75" style="3293" customWidth="1"/>
    <col min="11784" max="11784" width="10.375" style="3293" customWidth="1"/>
    <col min="11785" max="11785" width="12.5" style="3293" customWidth="1"/>
    <col min="11786" max="11786" width="14.25" style="3293" customWidth="1"/>
    <col min="11787" max="12032" width="9" style="3293"/>
    <col min="12033" max="12033" width="14.875" style="3293" customWidth="1"/>
    <col min="12034" max="12034" width="19" style="3293" customWidth="1"/>
    <col min="12035" max="12036" width="9" style="3293"/>
    <col min="12037" max="12037" width="19.875" style="3293" customWidth="1"/>
    <col min="12038" max="12038" width="10.75" style="3293" customWidth="1"/>
    <col min="12039" max="12039" width="6.75" style="3293" customWidth="1"/>
    <col min="12040" max="12040" width="10.375" style="3293" customWidth="1"/>
    <col min="12041" max="12041" width="12.5" style="3293" customWidth="1"/>
    <col min="12042" max="12042" width="14.25" style="3293" customWidth="1"/>
    <col min="12043" max="12288" width="9" style="3293"/>
    <col min="12289" max="12289" width="14.875" style="3293" customWidth="1"/>
    <col min="12290" max="12290" width="19" style="3293" customWidth="1"/>
    <col min="12291" max="12292" width="9" style="3293"/>
    <col min="12293" max="12293" width="19.875" style="3293" customWidth="1"/>
    <col min="12294" max="12294" width="10.75" style="3293" customWidth="1"/>
    <col min="12295" max="12295" width="6.75" style="3293" customWidth="1"/>
    <col min="12296" max="12296" width="10.375" style="3293" customWidth="1"/>
    <col min="12297" max="12297" width="12.5" style="3293" customWidth="1"/>
    <col min="12298" max="12298" width="14.25" style="3293" customWidth="1"/>
    <col min="12299" max="12544" width="9" style="3293"/>
    <col min="12545" max="12545" width="14.875" style="3293" customWidth="1"/>
    <col min="12546" max="12546" width="19" style="3293" customWidth="1"/>
    <col min="12547" max="12548" width="9" style="3293"/>
    <col min="12549" max="12549" width="19.875" style="3293" customWidth="1"/>
    <col min="12550" max="12550" width="10.75" style="3293" customWidth="1"/>
    <col min="12551" max="12551" width="6.75" style="3293" customWidth="1"/>
    <col min="12552" max="12552" width="10.375" style="3293" customWidth="1"/>
    <col min="12553" max="12553" width="12.5" style="3293" customWidth="1"/>
    <col min="12554" max="12554" width="14.25" style="3293" customWidth="1"/>
    <col min="12555" max="12800" width="9" style="3293"/>
    <col min="12801" max="12801" width="14.875" style="3293" customWidth="1"/>
    <col min="12802" max="12802" width="19" style="3293" customWidth="1"/>
    <col min="12803" max="12804" width="9" style="3293"/>
    <col min="12805" max="12805" width="19.875" style="3293" customWidth="1"/>
    <col min="12806" max="12806" width="10.75" style="3293" customWidth="1"/>
    <col min="12807" max="12807" width="6.75" style="3293" customWidth="1"/>
    <col min="12808" max="12808" width="10.375" style="3293" customWidth="1"/>
    <col min="12809" max="12809" width="12.5" style="3293" customWidth="1"/>
    <col min="12810" max="12810" width="14.25" style="3293" customWidth="1"/>
    <col min="12811" max="13056" width="9" style="3293"/>
    <col min="13057" max="13057" width="14.875" style="3293" customWidth="1"/>
    <col min="13058" max="13058" width="19" style="3293" customWidth="1"/>
    <col min="13059" max="13060" width="9" style="3293"/>
    <col min="13061" max="13061" width="19.875" style="3293" customWidth="1"/>
    <col min="13062" max="13062" width="10.75" style="3293" customWidth="1"/>
    <col min="13063" max="13063" width="6.75" style="3293" customWidth="1"/>
    <col min="13064" max="13064" width="10.375" style="3293" customWidth="1"/>
    <col min="13065" max="13065" width="12.5" style="3293" customWidth="1"/>
    <col min="13066" max="13066" width="14.25" style="3293" customWidth="1"/>
    <col min="13067" max="13312" width="9" style="3293"/>
    <col min="13313" max="13313" width="14.875" style="3293" customWidth="1"/>
    <col min="13314" max="13314" width="19" style="3293" customWidth="1"/>
    <col min="13315" max="13316" width="9" style="3293"/>
    <col min="13317" max="13317" width="19.875" style="3293" customWidth="1"/>
    <col min="13318" max="13318" width="10.75" style="3293" customWidth="1"/>
    <col min="13319" max="13319" width="6.75" style="3293" customWidth="1"/>
    <col min="13320" max="13320" width="10.375" style="3293" customWidth="1"/>
    <col min="13321" max="13321" width="12.5" style="3293" customWidth="1"/>
    <col min="13322" max="13322" width="14.25" style="3293" customWidth="1"/>
    <col min="13323" max="13568" width="9" style="3293"/>
    <col min="13569" max="13569" width="14.875" style="3293" customWidth="1"/>
    <col min="13570" max="13570" width="19" style="3293" customWidth="1"/>
    <col min="13571" max="13572" width="9" style="3293"/>
    <col min="13573" max="13573" width="19.875" style="3293" customWidth="1"/>
    <col min="13574" max="13574" width="10.75" style="3293" customWidth="1"/>
    <col min="13575" max="13575" width="6.75" style="3293" customWidth="1"/>
    <col min="13576" max="13576" width="10.375" style="3293" customWidth="1"/>
    <col min="13577" max="13577" width="12.5" style="3293" customWidth="1"/>
    <col min="13578" max="13578" width="14.25" style="3293" customWidth="1"/>
    <col min="13579" max="13824" width="9" style="3293"/>
    <col min="13825" max="13825" width="14.875" style="3293" customWidth="1"/>
    <col min="13826" max="13826" width="19" style="3293" customWidth="1"/>
    <col min="13827" max="13828" width="9" style="3293"/>
    <col min="13829" max="13829" width="19.875" style="3293" customWidth="1"/>
    <col min="13830" max="13830" width="10.75" style="3293" customWidth="1"/>
    <col min="13831" max="13831" width="6.75" style="3293" customWidth="1"/>
    <col min="13832" max="13832" width="10.375" style="3293" customWidth="1"/>
    <col min="13833" max="13833" width="12.5" style="3293" customWidth="1"/>
    <col min="13834" max="13834" width="14.25" style="3293" customWidth="1"/>
    <col min="13835" max="14080" width="9" style="3293"/>
    <col min="14081" max="14081" width="14.875" style="3293" customWidth="1"/>
    <col min="14082" max="14082" width="19" style="3293" customWidth="1"/>
    <col min="14083" max="14084" width="9" style="3293"/>
    <col min="14085" max="14085" width="19.875" style="3293" customWidth="1"/>
    <col min="14086" max="14086" width="10.75" style="3293" customWidth="1"/>
    <col min="14087" max="14087" width="6.75" style="3293" customWidth="1"/>
    <col min="14088" max="14088" width="10.375" style="3293" customWidth="1"/>
    <col min="14089" max="14089" width="12.5" style="3293" customWidth="1"/>
    <col min="14090" max="14090" width="14.25" style="3293" customWidth="1"/>
    <col min="14091" max="14336" width="9" style="3293"/>
    <col min="14337" max="14337" width="14.875" style="3293" customWidth="1"/>
    <col min="14338" max="14338" width="19" style="3293" customWidth="1"/>
    <col min="14339" max="14340" width="9" style="3293"/>
    <col min="14341" max="14341" width="19.875" style="3293" customWidth="1"/>
    <col min="14342" max="14342" width="10.75" style="3293" customWidth="1"/>
    <col min="14343" max="14343" width="6.75" style="3293" customWidth="1"/>
    <col min="14344" max="14344" width="10.375" style="3293" customWidth="1"/>
    <col min="14345" max="14345" width="12.5" style="3293" customWidth="1"/>
    <col min="14346" max="14346" width="14.25" style="3293" customWidth="1"/>
    <col min="14347" max="14592" width="9" style="3293"/>
    <col min="14593" max="14593" width="14.875" style="3293" customWidth="1"/>
    <col min="14594" max="14594" width="19" style="3293" customWidth="1"/>
    <col min="14595" max="14596" width="9" style="3293"/>
    <col min="14597" max="14597" width="19.875" style="3293" customWidth="1"/>
    <col min="14598" max="14598" width="10.75" style="3293" customWidth="1"/>
    <col min="14599" max="14599" width="6.75" style="3293" customWidth="1"/>
    <col min="14600" max="14600" width="10.375" style="3293" customWidth="1"/>
    <col min="14601" max="14601" width="12.5" style="3293" customWidth="1"/>
    <col min="14602" max="14602" width="14.25" style="3293" customWidth="1"/>
    <col min="14603" max="14848" width="9" style="3293"/>
    <col min="14849" max="14849" width="14.875" style="3293" customWidth="1"/>
    <col min="14850" max="14850" width="19" style="3293" customWidth="1"/>
    <col min="14851" max="14852" width="9" style="3293"/>
    <col min="14853" max="14853" width="19.875" style="3293" customWidth="1"/>
    <col min="14854" max="14854" width="10.75" style="3293" customWidth="1"/>
    <col min="14855" max="14855" width="6.75" style="3293" customWidth="1"/>
    <col min="14856" max="14856" width="10.375" style="3293" customWidth="1"/>
    <col min="14857" max="14857" width="12.5" style="3293" customWidth="1"/>
    <col min="14858" max="14858" width="14.25" style="3293" customWidth="1"/>
    <col min="14859" max="15104" width="9" style="3293"/>
    <col min="15105" max="15105" width="14.875" style="3293" customWidth="1"/>
    <col min="15106" max="15106" width="19" style="3293" customWidth="1"/>
    <col min="15107" max="15108" width="9" style="3293"/>
    <col min="15109" max="15109" width="19.875" style="3293" customWidth="1"/>
    <col min="15110" max="15110" width="10.75" style="3293" customWidth="1"/>
    <col min="15111" max="15111" width="6.75" style="3293" customWidth="1"/>
    <col min="15112" max="15112" width="10.375" style="3293" customWidth="1"/>
    <col min="15113" max="15113" width="12.5" style="3293" customWidth="1"/>
    <col min="15114" max="15114" width="14.25" style="3293" customWidth="1"/>
    <col min="15115" max="15360" width="9" style="3293"/>
    <col min="15361" max="15361" width="14.875" style="3293" customWidth="1"/>
    <col min="15362" max="15362" width="19" style="3293" customWidth="1"/>
    <col min="15363" max="15364" width="9" style="3293"/>
    <col min="15365" max="15365" width="19.875" style="3293" customWidth="1"/>
    <col min="15366" max="15366" width="10.75" style="3293" customWidth="1"/>
    <col min="15367" max="15367" width="6.75" style="3293" customWidth="1"/>
    <col min="15368" max="15368" width="10.375" style="3293" customWidth="1"/>
    <col min="15369" max="15369" width="12.5" style="3293" customWidth="1"/>
    <col min="15370" max="15370" width="14.25" style="3293" customWidth="1"/>
    <col min="15371" max="15616" width="9" style="3293"/>
    <col min="15617" max="15617" width="14.875" style="3293" customWidth="1"/>
    <col min="15618" max="15618" width="19" style="3293" customWidth="1"/>
    <col min="15619" max="15620" width="9" style="3293"/>
    <col min="15621" max="15621" width="19.875" style="3293" customWidth="1"/>
    <col min="15622" max="15622" width="10.75" style="3293" customWidth="1"/>
    <col min="15623" max="15623" width="6.75" style="3293" customWidth="1"/>
    <col min="15624" max="15624" width="10.375" style="3293" customWidth="1"/>
    <col min="15625" max="15625" width="12.5" style="3293" customWidth="1"/>
    <col min="15626" max="15626" width="14.25" style="3293" customWidth="1"/>
    <col min="15627" max="15872" width="9" style="3293"/>
    <col min="15873" max="15873" width="14.875" style="3293" customWidth="1"/>
    <col min="15874" max="15874" width="19" style="3293" customWidth="1"/>
    <col min="15875" max="15876" width="9" style="3293"/>
    <col min="15877" max="15877" width="19.875" style="3293" customWidth="1"/>
    <col min="15878" max="15878" width="10.75" style="3293" customWidth="1"/>
    <col min="15879" max="15879" width="6.75" style="3293" customWidth="1"/>
    <col min="15880" max="15880" width="10.375" style="3293" customWidth="1"/>
    <col min="15881" max="15881" width="12.5" style="3293" customWidth="1"/>
    <col min="15882" max="15882" width="14.25" style="3293" customWidth="1"/>
    <col min="15883" max="16128" width="9" style="3293"/>
    <col min="16129" max="16129" width="14.875" style="3293" customWidth="1"/>
    <col min="16130" max="16130" width="19" style="3293" customWidth="1"/>
    <col min="16131" max="16132" width="9" style="3293"/>
    <col min="16133" max="16133" width="19.875" style="3293" customWidth="1"/>
    <col min="16134" max="16134" width="10.75" style="3293" customWidth="1"/>
    <col min="16135" max="16135" width="6.75" style="3293" customWidth="1"/>
    <col min="16136" max="16136" width="10.375" style="3293" customWidth="1"/>
    <col min="16137" max="16137" width="12.5" style="3293" customWidth="1"/>
    <col min="16138" max="16138" width="14.25" style="3293" customWidth="1"/>
    <col min="16139" max="16384" width="9" style="3293"/>
  </cols>
  <sheetData>
    <row r="1" spans="1:10">
      <c r="A1" s="3293" t="s">
        <v>4310</v>
      </c>
      <c r="B1" s="3293" t="s">
        <v>4311</v>
      </c>
      <c r="C1" s="3293" t="s">
        <v>4312</v>
      </c>
      <c r="D1" s="3293" t="s">
        <v>4313</v>
      </c>
      <c r="E1" s="3293" t="s">
        <v>4314</v>
      </c>
      <c r="F1" s="3293" t="s">
        <v>4315</v>
      </c>
      <c r="G1" s="3293" t="s">
        <v>4316</v>
      </c>
      <c r="H1" s="3293" t="s">
        <v>4317</v>
      </c>
      <c r="I1" s="3293" t="s">
        <v>4318</v>
      </c>
      <c r="J1" s="3293" t="s">
        <v>4319</v>
      </c>
    </row>
    <row r="2" spans="1:10">
      <c r="A2" s="3293" t="s">
        <v>4320</v>
      </c>
      <c r="B2" s="3293" t="s">
        <v>4321</v>
      </c>
      <c r="C2" s="3293" t="s">
        <v>1327</v>
      </c>
      <c r="D2" s="3293">
        <v>302</v>
      </c>
      <c r="E2" s="3293" t="s">
        <v>4322</v>
      </c>
      <c r="F2" s="3293" t="s">
        <v>1373</v>
      </c>
      <c r="G2" s="3293" t="s">
        <v>4323</v>
      </c>
      <c r="H2" s="3293">
        <v>628</v>
      </c>
      <c r="I2" s="3293">
        <v>2040.43</v>
      </c>
      <c r="J2" s="3293">
        <v>32511</v>
      </c>
    </row>
    <row r="3" spans="1:10">
      <c r="A3" s="3293" t="s">
        <v>4324</v>
      </c>
      <c r="B3" s="3293" t="s">
        <v>4325</v>
      </c>
      <c r="C3" s="3293" t="s">
        <v>1327</v>
      </c>
      <c r="D3" s="3293" t="s">
        <v>4326</v>
      </c>
      <c r="E3" s="3293" t="s">
        <v>4327</v>
      </c>
      <c r="F3" s="3293" t="s">
        <v>1373</v>
      </c>
      <c r="G3" s="3293" t="s">
        <v>4323</v>
      </c>
      <c r="H3" s="3293" t="s">
        <v>4328</v>
      </c>
      <c r="I3" s="3293" t="s">
        <v>4329</v>
      </c>
      <c r="J3" s="3293" t="s">
        <v>4330</v>
      </c>
    </row>
    <row r="4" spans="1:10">
      <c r="A4" s="3293" t="s">
        <v>4324</v>
      </c>
      <c r="B4" s="3293" t="s">
        <v>4325</v>
      </c>
      <c r="C4" s="3293" t="s">
        <v>1327</v>
      </c>
      <c r="D4" s="3293" t="s">
        <v>4331</v>
      </c>
      <c r="E4" s="3293" t="s">
        <v>4327</v>
      </c>
      <c r="F4" s="3293" t="s">
        <v>4332</v>
      </c>
      <c r="G4" s="3293" t="s">
        <v>4323</v>
      </c>
      <c r="H4" s="3293" t="s">
        <v>4333</v>
      </c>
      <c r="I4" s="3293" t="s">
        <v>4334</v>
      </c>
      <c r="J4" s="3293" t="s">
        <v>4335</v>
      </c>
    </row>
    <row r="5" spans="1:10">
      <c r="A5" s="3293" t="s">
        <v>4324</v>
      </c>
      <c r="B5" s="3293" t="s">
        <v>4325</v>
      </c>
      <c r="C5" s="3293" t="s">
        <v>1327</v>
      </c>
      <c r="D5" s="3293" t="s">
        <v>4336</v>
      </c>
      <c r="E5" s="3293" t="s">
        <v>4327</v>
      </c>
      <c r="F5" s="3293" t="s">
        <v>1373</v>
      </c>
      <c r="G5" s="3293" t="s">
        <v>4323</v>
      </c>
      <c r="H5" s="3293" t="s">
        <v>4337</v>
      </c>
      <c r="I5" s="3293" t="s">
        <v>4338</v>
      </c>
      <c r="J5" s="3293" t="s">
        <v>4339</v>
      </c>
    </row>
    <row r="6" spans="1:10">
      <c r="A6" s="3293" t="s">
        <v>4324</v>
      </c>
      <c r="B6" s="3293" t="s">
        <v>4325</v>
      </c>
      <c r="C6" s="3293" t="s">
        <v>1327</v>
      </c>
      <c r="D6" s="3293" t="s">
        <v>4340</v>
      </c>
      <c r="E6" s="3293" t="s">
        <v>4327</v>
      </c>
      <c r="F6" s="3293" t="s">
        <v>4332</v>
      </c>
      <c r="G6" s="3293" t="s">
        <v>4323</v>
      </c>
      <c r="H6" s="3293" t="s">
        <v>4333</v>
      </c>
      <c r="I6" s="3293" t="s">
        <v>4341</v>
      </c>
      <c r="J6" s="3293" t="s">
        <v>4342</v>
      </c>
    </row>
    <row r="7" spans="1:10">
      <c r="A7" s="3293" t="s">
        <v>4324</v>
      </c>
      <c r="B7" s="3293" t="s">
        <v>4325</v>
      </c>
      <c r="C7" s="3293" t="s">
        <v>1327</v>
      </c>
      <c r="D7" s="3293" t="s">
        <v>4343</v>
      </c>
      <c r="E7" s="3293" t="s">
        <v>4327</v>
      </c>
      <c r="F7" s="3293" t="s">
        <v>1373</v>
      </c>
      <c r="G7" s="3293" t="s">
        <v>4323</v>
      </c>
      <c r="H7" s="3293" t="s">
        <v>4344</v>
      </c>
      <c r="I7" s="3293" t="s">
        <v>4345</v>
      </c>
      <c r="J7" s="3293" t="s">
        <v>4346</v>
      </c>
    </row>
    <row r="8" spans="1:10">
      <c r="A8" s="3293" t="s">
        <v>4324</v>
      </c>
      <c r="B8" s="3293" t="s">
        <v>4325</v>
      </c>
      <c r="C8" s="3293" t="s">
        <v>1327</v>
      </c>
      <c r="D8" s="3293" t="s">
        <v>4347</v>
      </c>
      <c r="E8" s="3293" t="s">
        <v>4327</v>
      </c>
      <c r="F8" s="3293" t="s">
        <v>4332</v>
      </c>
      <c r="G8" s="3293" t="s">
        <v>4323</v>
      </c>
      <c r="H8" s="3293" t="s">
        <v>4348</v>
      </c>
      <c r="I8" s="3293" t="s">
        <v>4349</v>
      </c>
      <c r="J8" s="3293" t="s">
        <v>4350</v>
      </c>
    </row>
    <row r="9" spans="1:10">
      <c r="A9" s="3293" t="s">
        <v>4324</v>
      </c>
      <c r="B9" s="3293" t="s">
        <v>4325</v>
      </c>
      <c r="C9" s="3293" t="s">
        <v>1327</v>
      </c>
      <c r="D9" s="3293" t="s">
        <v>4351</v>
      </c>
      <c r="E9" s="3293" t="s">
        <v>4327</v>
      </c>
      <c r="F9" s="3293" t="s">
        <v>1373</v>
      </c>
      <c r="G9" s="3293" t="s">
        <v>4323</v>
      </c>
      <c r="H9" s="3293" t="s">
        <v>4352</v>
      </c>
      <c r="I9" s="3293" t="s">
        <v>4353</v>
      </c>
      <c r="J9" s="3293" t="s">
        <v>4354</v>
      </c>
    </row>
    <row r="10" spans="1:10">
      <c r="A10" s="3293" t="s">
        <v>4324</v>
      </c>
      <c r="B10" s="3293" t="s">
        <v>4325</v>
      </c>
      <c r="C10" s="3293" t="s">
        <v>1327</v>
      </c>
      <c r="D10" s="3293" t="s">
        <v>4355</v>
      </c>
      <c r="E10" s="3293" t="s">
        <v>4327</v>
      </c>
      <c r="F10" s="3293" t="s">
        <v>4332</v>
      </c>
      <c r="G10" s="3293" t="s">
        <v>4323</v>
      </c>
      <c r="H10" s="3293" t="s">
        <v>4348</v>
      </c>
      <c r="I10" s="3293" t="s">
        <v>4349</v>
      </c>
      <c r="J10" s="3293" t="s">
        <v>4350</v>
      </c>
    </row>
    <row r="11" spans="1:10">
      <c r="A11" s="3293" t="s">
        <v>4356</v>
      </c>
      <c r="B11" s="3293" t="s">
        <v>4321</v>
      </c>
      <c r="C11" s="3293" t="s">
        <v>1327</v>
      </c>
      <c r="D11" s="3293" t="s">
        <v>4357</v>
      </c>
      <c r="E11" s="3293" t="s">
        <v>4322</v>
      </c>
      <c r="F11" s="3293" t="s">
        <v>1373</v>
      </c>
      <c r="G11" s="3293" t="s">
        <v>4323</v>
      </c>
      <c r="H11" s="3293" t="s">
        <v>4358</v>
      </c>
      <c r="I11" s="3293" t="s">
        <v>4359</v>
      </c>
      <c r="J11" s="3293" t="s">
        <v>4360</v>
      </c>
    </row>
    <row r="12" spans="1:10">
      <c r="A12" s="3293" t="s">
        <v>4361</v>
      </c>
      <c r="B12" s="3293" t="s">
        <v>4325</v>
      </c>
      <c r="C12" s="3293" t="s">
        <v>1327</v>
      </c>
      <c r="D12" s="3293" t="s">
        <v>1327</v>
      </c>
      <c r="E12" s="3293" t="s">
        <v>4327</v>
      </c>
      <c r="F12" s="3293" t="s">
        <v>4332</v>
      </c>
      <c r="G12" s="3293" t="s">
        <v>4323</v>
      </c>
      <c r="H12" s="3293" t="s">
        <v>4348</v>
      </c>
      <c r="I12" s="3293" t="s">
        <v>4362</v>
      </c>
      <c r="J12" s="3293" t="s">
        <v>4363</v>
      </c>
    </row>
    <row r="13" spans="1:10">
      <c r="A13" s="3293" t="s">
        <v>4364</v>
      </c>
      <c r="B13" s="3293" t="s">
        <v>4325</v>
      </c>
      <c r="C13" s="3293" t="s">
        <v>1327</v>
      </c>
      <c r="D13" s="3293" t="s">
        <v>1327</v>
      </c>
      <c r="E13" s="3293" t="s">
        <v>4327</v>
      </c>
      <c r="F13" s="3293" t="s">
        <v>4332</v>
      </c>
      <c r="G13" s="3293" t="s">
        <v>4323</v>
      </c>
      <c r="H13" s="3293" t="s">
        <v>4348</v>
      </c>
      <c r="I13" s="3293" t="s">
        <v>4365</v>
      </c>
      <c r="J13" s="3293" t="s">
        <v>4366</v>
      </c>
    </row>
    <row r="14" spans="1:10">
      <c r="A14" s="3293" t="s">
        <v>4367</v>
      </c>
      <c r="B14" s="3293" t="s">
        <v>4325</v>
      </c>
      <c r="C14" s="3293" t="s">
        <v>1327</v>
      </c>
      <c r="D14" s="3293" t="s">
        <v>1327</v>
      </c>
      <c r="E14" s="3293" t="s">
        <v>4327</v>
      </c>
      <c r="F14" s="3293" t="s">
        <v>4332</v>
      </c>
      <c r="G14" s="3293" t="s">
        <v>4323</v>
      </c>
      <c r="H14" s="3293" t="s">
        <v>4333</v>
      </c>
      <c r="I14" s="3293" t="s">
        <v>4368</v>
      </c>
      <c r="J14" s="3293" t="s">
        <v>4369</v>
      </c>
    </row>
    <row r="15" spans="1:10">
      <c r="A15" s="3293" t="s">
        <v>4370</v>
      </c>
      <c r="B15" s="3293" t="s">
        <v>4325</v>
      </c>
      <c r="C15" s="3293" t="s">
        <v>1327</v>
      </c>
      <c r="D15" s="3293" t="s">
        <v>4371</v>
      </c>
      <c r="E15" s="3293" t="s">
        <v>4327</v>
      </c>
      <c r="F15" s="3293" t="s">
        <v>4332</v>
      </c>
      <c r="G15" s="3293" t="s">
        <v>4323</v>
      </c>
      <c r="H15" s="3293" t="s">
        <v>4348</v>
      </c>
      <c r="I15" s="3293" t="s">
        <v>4372</v>
      </c>
      <c r="J15" s="3293" t="s">
        <v>4373</v>
      </c>
    </row>
    <row r="16" spans="1:10">
      <c r="A16" s="3293" t="s">
        <v>4374</v>
      </c>
      <c r="B16" s="3293" t="s">
        <v>4325</v>
      </c>
      <c r="C16" s="3293" t="s">
        <v>1327</v>
      </c>
      <c r="D16" s="3293" t="s">
        <v>4375</v>
      </c>
      <c r="E16" s="3293" t="s">
        <v>4327</v>
      </c>
      <c r="F16" s="3293" t="s">
        <v>4332</v>
      </c>
      <c r="G16" s="3293" t="s">
        <v>4323</v>
      </c>
      <c r="H16" s="3293" t="s">
        <v>4333</v>
      </c>
      <c r="I16" s="3293" t="s">
        <v>4376</v>
      </c>
      <c r="J16" s="3293" t="s">
        <v>4377</v>
      </c>
    </row>
    <row r="17" spans="1:10">
      <c r="A17" s="3293" t="s">
        <v>4374</v>
      </c>
      <c r="B17" s="3293" t="s">
        <v>4325</v>
      </c>
      <c r="C17" s="3293" t="s">
        <v>1327</v>
      </c>
      <c r="D17" s="3293" t="s">
        <v>4378</v>
      </c>
      <c r="E17" s="3293" t="s">
        <v>4327</v>
      </c>
      <c r="F17" s="3293" t="s">
        <v>4332</v>
      </c>
      <c r="G17" s="3293" t="s">
        <v>4323</v>
      </c>
      <c r="H17" s="3293" t="s">
        <v>4348</v>
      </c>
      <c r="I17" s="3293" t="s">
        <v>4379</v>
      </c>
      <c r="J17" s="3293" t="s">
        <v>4380</v>
      </c>
    </row>
    <row r="18" spans="1:10">
      <c r="A18" s="3293" t="s">
        <v>4381</v>
      </c>
      <c r="B18" s="3293" t="s">
        <v>4325</v>
      </c>
      <c r="C18" s="3293" t="s">
        <v>1327</v>
      </c>
      <c r="D18" s="3293" t="s">
        <v>4382</v>
      </c>
      <c r="E18" s="3293" t="s">
        <v>4327</v>
      </c>
      <c r="F18" s="3293" t="s">
        <v>4332</v>
      </c>
      <c r="G18" s="3293" t="s">
        <v>4323</v>
      </c>
      <c r="H18" s="3293" t="s">
        <v>4333</v>
      </c>
      <c r="I18" s="3293" t="s">
        <v>4383</v>
      </c>
      <c r="J18" s="3293" t="s">
        <v>4384</v>
      </c>
    </row>
    <row r="19" spans="1:10">
      <c r="A19" s="3293" t="s">
        <v>4385</v>
      </c>
      <c r="B19" s="3293" t="s">
        <v>4325</v>
      </c>
      <c r="C19" s="3293" t="s">
        <v>1327</v>
      </c>
      <c r="D19" s="3293" t="s">
        <v>1327</v>
      </c>
      <c r="E19" s="3293" t="s">
        <v>4327</v>
      </c>
      <c r="F19" s="3293" t="s">
        <v>4332</v>
      </c>
      <c r="G19" s="3293" t="s">
        <v>4323</v>
      </c>
      <c r="H19" s="3293" t="s">
        <v>4333</v>
      </c>
      <c r="I19" s="3293" t="s">
        <v>4386</v>
      </c>
      <c r="J19" s="3293" t="s">
        <v>4387</v>
      </c>
    </row>
    <row r="20" spans="1:10">
      <c r="A20" s="3293" t="s">
        <v>4385</v>
      </c>
      <c r="B20" s="3293" t="s">
        <v>4325</v>
      </c>
      <c r="C20" s="3293" t="s">
        <v>1327</v>
      </c>
      <c r="D20" s="3293" t="s">
        <v>1327</v>
      </c>
      <c r="E20" s="3293" t="s">
        <v>4327</v>
      </c>
      <c r="F20" s="3293" t="s">
        <v>4332</v>
      </c>
      <c r="G20" s="3293" t="s">
        <v>4323</v>
      </c>
      <c r="H20" s="3293" t="s">
        <v>4333</v>
      </c>
      <c r="I20" s="3293" t="s">
        <v>4388</v>
      </c>
      <c r="J20" s="3293" t="s">
        <v>4389</v>
      </c>
    </row>
    <row r="21" spans="1:10">
      <c r="A21" s="3293" t="s">
        <v>4385</v>
      </c>
      <c r="B21" s="3293" t="s">
        <v>4325</v>
      </c>
      <c r="C21" s="3293" t="s">
        <v>1327</v>
      </c>
      <c r="D21" s="3293" t="s">
        <v>1327</v>
      </c>
      <c r="E21" s="3293" t="s">
        <v>4327</v>
      </c>
      <c r="F21" s="3293" t="s">
        <v>4332</v>
      </c>
      <c r="G21" s="3293" t="s">
        <v>4323</v>
      </c>
      <c r="H21" s="3293" t="s">
        <v>4348</v>
      </c>
      <c r="I21" s="3293" t="s">
        <v>4390</v>
      </c>
      <c r="J21" s="3293" t="s">
        <v>4391</v>
      </c>
    </row>
    <row r="22" spans="1:10">
      <c r="A22" s="3293" t="s">
        <v>4385</v>
      </c>
      <c r="B22" s="3293" t="s">
        <v>4325</v>
      </c>
      <c r="C22" s="3293" t="s">
        <v>1327</v>
      </c>
      <c r="D22" s="3293" t="s">
        <v>1327</v>
      </c>
      <c r="E22" s="3293" t="s">
        <v>4327</v>
      </c>
      <c r="F22" s="3293" t="s">
        <v>4332</v>
      </c>
      <c r="G22" s="3293" t="s">
        <v>4323</v>
      </c>
      <c r="H22" s="3293" t="s">
        <v>4348</v>
      </c>
      <c r="I22" s="3293" t="s">
        <v>4390</v>
      </c>
      <c r="J22" s="3293" t="s">
        <v>4391</v>
      </c>
    </row>
    <row r="23" spans="1:10">
      <c r="A23" s="3293" t="s">
        <v>4392</v>
      </c>
      <c r="B23" s="3293" t="s">
        <v>4325</v>
      </c>
      <c r="C23" s="3293" t="s">
        <v>1327</v>
      </c>
      <c r="D23" s="3293" t="s">
        <v>1327</v>
      </c>
      <c r="E23" s="3293" t="s">
        <v>4327</v>
      </c>
      <c r="F23" s="3293" t="s">
        <v>4332</v>
      </c>
      <c r="G23" s="3293" t="s">
        <v>4323</v>
      </c>
      <c r="H23" s="3293" t="s">
        <v>4333</v>
      </c>
      <c r="I23" s="3293" t="s">
        <v>4393</v>
      </c>
      <c r="J23" s="3293" t="s">
        <v>4394</v>
      </c>
    </row>
    <row r="24" spans="1:10">
      <c r="A24" s="3293" t="s">
        <v>4392</v>
      </c>
      <c r="B24" s="3293" t="s">
        <v>4325</v>
      </c>
      <c r="C24" s="3293" t="s">
        <v>1327</v>
      </c>
      <c r="D24" s="3293" t="s">
        <v>1327</v>
      </c>
      <c r="E24" s="3293" t="s">
        <v>4327</v>
      </c>
      <c r="F24" s="3293" t="s">
        <v>4332</v>
      </c>
      <c r="G24" s="3293" t="s">
        <v>4323</v>
      </c>
      <c r="H24" s="3293" t="s">
        <v>4333</v>
      </c>
      <c r="I24" s="3293" t="s">
        <v>4395</v>
      </c>
      <c r="J24" s="3293" t="s">
        <v>4396</v>
      </c>
    </row>
    <row r="25" spans="1:10">
      <c r="A25" s="3293" t="s">
        <v>4392</v>
      </c>
      <c r="B25" s="3293" t="s">
        <v>4325</v>
      </c>
      <c r="C25" s="3293" t="s">
        <v>1327</v>
      </c>
      <c r="D25" s="3293" t="s">
        <v>1327</v>
      </c>
      <c r="E25" s="3293" t="s">
        <v>4327</v>
      </c>
      <c r="F25" s="3293" t="s">
        <v>4332</v>
      </c>
      <c r="G25" s="3293" t="s">
        <v>4323</v>
      </c>
      <c r="H25" s="3293" t="s">
        <v>4348</v>
      </c>
      <c r="I25" s="3293" t="s">
        <v>4397</v>
      </c>
      <c r="J25" s="3293" t="s">
        <v>4398</v>
      </c>
    </row>
    <row r="26" spans="1:10">
      <c r="A26" s="3293" t="s">
        <v>4392</v>
      </c>
      <c r="B26" s="3293" t="s">
        <v>4325</v>
      </c>
      <c r="C26" s="3293" t="s">
        <v>1327</v>
      </c>
      <c r="D26" s="3293" t="s">
        <v>1327</v>
      </c>
      <c r="E26" s="3293" t="s">
        <v>4327</v>
      </c>
      <c r="F26" s="3293" t="s">
        <v>4332</v>
      </c>
      <c r="G26" s="3293" t="s">
        <v>4323</v>
      </c>
      <c r="H26" s="3293" t="s">
        <v>4333</v>
      </c>
      <c r="I26" s="3293" t="s">
        <v>4399</v>
      </c>
      <c r="J26" s="3293" t="s">
        <v>4400</v>
      </c>
    </row>
    <row r="27" spans="1:10">
      <c r="A27" s="3293" t="s">
        <v>4392</v>
      </c>
      <c r="B27" s="3293" t="s">
        <v>4325</v>
      </c>
      <c r="C27" s="3293" t="s">
        <v>1327</v>
      </c>
      <c r="D27" s="3293" t="s">
        <v>1327</v>
      </c>
      <c r="E27" s="3293" t="s">
        <v>4327</v>
      </c>
      <c r="F27" s="3293" t="s">
        <v>4332</v>
      </c>
      <c r="G27" s="3293" t="s">
        <v>4323</v>
      </c>
      <c r="H27" s="3293" t="s">
        <v>4348</v>
      </c>
      <c r="I27" s="3293" t="s">
        <v>4397</v>
      </c>
      <c r="J27" s="3293" t="s">
        <v>4398</v>
      </c>
    </row>
    <row r="28" spans="1:10">
      <c r="A28" s="3293" t="s">
        <v>4401</v>
      </c>
      <c r="B28" s="3293" t="s">
        <v>4325</v>
      </c>
      <c r="C28" s="3293" t="s">
        <v>1327</v>
      </c>
      <c r="D28" s="3293" t="s">
        <v>1327</v>
      </c>
      <c r="E28" s="3293" t="s">
        <v>4327</v>
      </c>
      <c r="F28" s="3293" t="s">
        <v>4332</v>
      </c>
      <c r="G28" s="3293" t="s">
        <v>4323</v>
      </c>
      <c r="H28" s="3293" t="s">
        <v>4333</v>
      </c>
      <c r="I28" s="3293" t="s">
        <v>4402</v>
      </c>
      <c r="J28" s="3293" t="s">
        <v>4403</v>
      </c>
    </row>
    <row r="29" spans="1:10">
      <c r="A29" s="3293" t="s">
        <v>4404</v>
      </c>
      <c r="B29" s="3293" t="s">
        <v>4325</v>
      </c>
      <c r="C29" s="3293" t="s">
        <v>1327</v>
      </c>
      <c r="D29" s="3293" t="s">
        <v>4405</v>
      </c>
      <c r="E29" s="3293" t="s">
        <v>4327</v>
      </c>
      <c r="F29" s="3293" t="s">
        <v>4332</v>
      </c>
      <c r="G29" s="3293" t="s">
        <v>4323</v>
      </c>
      <c r="H29" s="3293" t="s">
        <v>4348</v>
      </c>
      <c r="I29" s="3293" t="s">
        <v>4406</v>
      </c>
      <c r="J29" s="3293" t="s">
        <v>4407</v>
      </c>
    </row>
    <row r="30" spans="1:10">
      <c r="A30" s="3293" t="s">
        <v>4408</v>
      </c>
      <c r="B30" s="3293" t="s">
        <v>4325</v>
      </c>
      <c r="C30" s="3293" t="s">
        <v>1327</v>
      </c>
      <c r="D30" s="3293" t="s">
        <v>4405</v>
      </c>
      <c r="E30" s="3293" t="s">
        <v>4327</v>
      </c>
      <c r="F30" s="3293" t="s">
        <v>4332</v>
      </c>
      <c r="G30" s="3293" t="s">
        <v>4323</v>
      </c>
      <c r="H30" s="3293" t="s">
        <v>4333</v>
      </c>
      <c r="I30" s="3293" t="s">
        <v>4409</v>
      </c>
      <c r="J30" s="3293" t="s">
        <v>4410</v>
      </c>
    </row>
    <row r="31" spans="1:10">
      <c r="A31" s="3293" t="s">
        <v>4408</v>
      </c>
      <c r="B31" s="3293" t="s">
        <v>4325</v>
      </c>
      <c r="C31" s="3293" t="s">
        <v>1327</v>
      </c>
      <c r="D31" s="3293" t="s">
        <v>4405</v>
      </c>
      <c r="E31" s="3293" t="s">
        <v>4327</v>
      </c>
      <c r="F31" s="3293" t="s">
        <v>4332</v>
      </c>
      <c r="G31" s="3293" t="s">
        <v>4323</v>
      </c>
      <c r="H31" s="3293" t="s">
        <v>4348</v>
      </c>
      <c r="I31" s="3293" t="s">
        <v>4365</v>
      </c>
      <c r="J31" s="3293" t="s">
        <v>4366</v>
      </c>
    </row>
    <row r="32" spans="1:10">
      <c r="A32" s="3293" t="s">
        <v>4411</v>
      </c>
      <c r="B32" s="3293" t="s">
        <v>4412</v>
      </c>
      <c r="C32" s="3293" t="s">
        <v>1327</v>
      </c>
      <c r="D32" s="3293" t="s">
        <v>4413</v>
      </c>
      <c r="E32" s="3293" t="s">
        <v>4414</v>
      </c>
      <c r="F32" s="3293" t="s">
        <v>1373</v>
      </c>
      <c r="G32" s="3293" t="s">
        <v>4323</v>
      </c>
      <c r="H32" s="3293" t="s">
        <v>4415</v>
      </c>
      <c r="I32" s="3293" t="s">
        <v>4416</v>
      </c>
      <c r="J32" s="3293" t="s">
        <v>4417</v>
      </c>
    </row>
    <row r="33" spans="1:10">
      <c r="A33" s="3293" t="s">
        <v>4411</v>
      </c>
      <c r="B33" s="3293" t="s">
        <v>4325</v>
      </c>
      <c r="C33" s="3293" t="s">
        <v>1327</v>
      </c>
      <c r="D33" s="3293" t="s">
        <v>4418</v>
      </c>
      <c r="E33" s="3293" t="s">
        <v>4327</v>
      </c>
      <c r="F33" s="3293" t="s">
        <v>4332</v>
      </c>
      <c r="G33" s="3293" t="s">
        <v>4323</v>
      </c>
      <c r="H33" s="3293" t="s">
        <v>4333</v>
      </c>
      <c r="I33" s="3293" t="s">
        <v>4419</v>
      </c>
      <c r="J33" s="3293" t="s">
        <v>4420</v>
      </c>
    </row>
    <row r="34" spans="1:10">
      <c r="A34" s="3293" t="s">
        <v>4411</v>
      </c>
      <c r="B34" s="3293" t="s">
        <v>4325</v>
      </c>
      <c r="C34" s="3293" t="s">
        <v>1327</v>
      </c>
      <c r="D34" s="3293" t="s">
        <v>4421</v>
      </c>
      <c r="E34" s="3293" t="s">
        <v>4327</v>
      </c>
      <c r="F34" s="3293" t="s">
        <v>4332</v>
      </c>
      <c r="G34" s="3293" t="s">
        <v>4323</v>
      </c>
      <c r="H34" s="3293" t="s">
        <v>4348</v>
      </c>
      <c r="I34" s="3293" t="s">
        <v>4422</v>
      </c>
      <c r="J34" s="3293" t="s">
        <v>4423</v>
      </c>
    </row>
    <row r="35" spans="1:10">
      <c r="A35" s="3293" t="s">
        <v>4411</v>
      </c>
      <c r="B35" s="3293" t="s">
        <v>4325</v>
      </c>
      <c r="C35" s="3293" t="s">
        <v>1327</v>
      </c>
      <c r="D35" s="3293" t="s">
        <v>4424</v>
      </c>
      <c r="E35" s="3293" t="s">
        <v>4327</v>
      </c>
      <c r="F35" s="3293" t="s">
        <v>4332</v>
      </c>
      <c r="G35" s="3293" t="s">
        <v>4323</v>
      </c>
      <c r="H35" s="3293" t="s">
        <v>4348</v>
      </c>
      <c r="I35" s="3293" t="s">
        <v>4425</v>
      </c>
      <c r="J35" s="3293" t="s">
        <v>4426</v>
      </c>
    </row>
    <row r="36" spans="1:10">
      <c r="A36" s="3293" t="s">
        <v>4427</v>
      </c>
      <c r="B36" s="3293" t="s">
        <v>4325</v>
      </c>
      <c r="C36" s="3293" t="s">
        <v>1327</v>
      </c>
      <c r="D36" s="3293" t="s">
        <v>4428</v>
      </c>
      <c r="E36" s="3293" t="s">
        <v>4327</v>
      </c>
      <c r="F36" s="3293" t="s">
        <v>4332</v>
      </c>
      <c r="G36" s="3293" t="s">
        <v>4323</v>
      </c>
      <c r="H36" s="3293" t="s">
        <v>4333</v>
      </c>
      <c r="I36" s="3293" t="s">
        <v>4429</v>
      </c>
      <c r="J36" s="3293" t="s">
        <v>4430</v>
      </c>
    </row>
    <row r="37" spans="1:10">
      <c r="A37" s="3293" t="s">
        <v>4427</v>
      </c>
      <c r="B37" s="3293" t="s">
        <v>4412</v>
      </c>
      <c r="C37" s="3293" t="s">
        <v>1327</v>
      </c>
      <c r="D37" s="3293" t="s">
        <v>4357</v>
      </c>
      <c r="E37" s="3293" t="s">
        <v>4414</v>
      </c>
      <c r="F37" s="3293" t="s">
        <v>1373</v>
      </c>
      <c r="G37" s="3293" t="s">
        <v>4323</v>
      </c>
      <c r="H37" s="3293" t="s">
        <v>4431</v>
      </c>
      <c r="I37" s="3293" t="s">
        <v>4432</v>
      </c>
      <c r="J37" s="3293" t="s">
        <v>4433</v>
      </c>
    </row>
    <row r="38" spans="1:10">
      <c r="A38" s="3293" t="s">
        <v>4434</v>
      </c>
      <c r="B38" s="3293" t="s">
        <v>4325</v>
      </c>
      <c r="C38" s="3293" t="s">
        <v>1327</v>
      </c>
      <c r="D38" s="3293" t="s">
        <v>4435</v>
      </c>
      <c r="E38" s="3293" t="s">
        <v>4327</v>
      </c>
      <c r="F38" s="3293" t="s">
        <v>4332</v>
      </c>
      <c r="G38" s="3293" t="s">
        <v>4323</v>
      </c>
      <c r="H38" s="3293" t="s">
        <v>4333</v>
      </c>
      <c r="I38" s="3293" t="s">
        <v>4436</v>
      </c>
      <c r="J38" s="3293" t="s">
        <v>4437</v>
      </c>
    </row>
    <row r="39" spans="1:10">
      <c r="A39" s="3293" t="s">
        <v>4438</v>
      </c>
      <c r="B39" s="3293" t="s">
        <v>4321</v>
      </c>
      <c r="C39" s="3293" t="s">
        <v>1327</v>
      </c>
      <c r="D39" s="3293" t="s">
        <v>4439</v>
      </c>
      <c r="E39" s="3293" t="s">
        <v>4322</v>
      </c>
      <c r="F39" s="3293" t="s">
        <v>1373</v>
      </c>
      <c r="G39" s="3293" t="s">
        <v>4323</v>
      </c>
      <c r="H39" s="3293" t="s">
        <v>4440</v>
      </c>
      <c r="I39" s="3293" t="s">
        <v>4441</v>
      </c>
      <c r="J39" s="3293" t="s">
        <v>4442</v>
      </c>
    </row>
    <row r="40" spans="1:10">
      <c r="A40" s="3293" t="s">
        <v>4443</v>
      </c>
      <c r="B40" s="3293" t="s">
        <v>4325</v>
      </c>
      <c r="C40" s="3293" t="s">
        <v>1327</v>
      </c>
      <c r="D40" s="3293" t="s">
        <v>4405</v>
      </c>
      <c r="E40" s="3293" t="s">
        <v>4327</v>
      </c>
      <c r="F40" s="3293" t="s">
        <v>4332</v>
      </c>
      <c r="G40" s="3293" t="s">
        <v>4323</v>
      </c>
      <c r="H40" s="3293" t="s">
        <v>4348</v>
      </c>
      <c r="I40" s="3293" t="s">
        <v>4444</v>
      </c>
      <c r="J40" s="3293" t="s">
        <v>4445</v>
      </c>
    </row>
    <row r="41" spans="1:10">
      <c r="A41" s="3293" t="s">
        <v>4446</v>
      </c>
      <c r="B41" s="3293" t="s">
        <v>4325</v>
      </c>
      <c r="C41" s="3293" t="s">
        <v>1327</v>
      </c>
      <c r="D41" s="3293" t="s">
        <v>4447</v>
      </c>
      <c r="E41" s="3293" t="s">
        <v>4327</v>
      </c>
      <c r="F41" s="3293" t="s">
        <v>4332</v>
      </c>
      <c r="G41" s="3293" t="s">
        <v>4323</v>
      </c>
      <c r="H41" s="3293" t="s">
        <v>4333</v>
      </c>
      <c r="I41" s="3293" t="s">
        <v>4448</v>
      </c>
      <c r="J41" s="3293" t="s">
        <v>4449</v>
      </c>
    </row>
    <row r="42" spans="1:10">
      <c r="A42" s="3293" t="s">
        <v>4450</v>
      </c>
      <c r="B42" s="3293" t="s">
        <v>4325</v>
      </c>
      <c r="C42" s="3293" t="s">
        <v>1327</v>
      </c>
      <c r="D42" s="3293" t="s">
        <v>1327</v>
      </c>
      <c r="E42" s="3293" t="s">
        <v>4327</v>
      </c>
      <c r="F42" s="3293" t="s">
        <v>4332</v>
      </c>
      <c r="G42" s="3293" t="s">
        <v>4323</v>
      </c>
      <c r="H42" s="3293" t="s">
        <v>4451</v>
      </c>
      <c r="I42" s="3293" t="s">
        <v>4452</v>
      </c>
      <c r="J42" s="3293" t="s">
        <v>4453</v>
      </c>
    </row>
    <row r="43" spans="1:10">
      <c r="A43" s="3293" t="s">
        <v>4450</v>
      </c>
      <c r="B43" s="3293" t="s">
        <v>4325</v>
      </c>
      <c r="C43" s="3293" t="s">
        <v>1327</v>
      </c>
      <c r="D43" s="3293" t="s">
        <v>1327</v>
      </c>
      <c r="E43" s="3293" t="s">
        <v>4327</v>
      </c>
      <c r="F43" s="3293" t="s">
        <v>4332</v>
      </c>
      <c r="G43" s="3293" t="s">
        <v>4323</v>
      </c>
      <c r="H43" s="3293" t="s">
        <v>4451</v>
      </c>
      <c r="I43" s="3293" t="s">
        <v>4454</v>
      </c>
      <c r="J43" s="3293" t="s">
        <v>4455</v>
      </c>
    </row>
    <row r="44" spans="1:10">
      <c r="A44" s="3293" t="s">
        <v>4450</v>
      </c>
      <c r="B44" s="3293" t="s">
        <v>4325</v>
      </c>
      <c r="C44" s="3293" t="s">
        <v>1327</v>
      </c>
      <c r="D44" s="3293" t="s">
        <v>1327</v>
      </c>
      <c r="E44" s="3293" t="s">
        <v>4327</v>
      </c>
      <c r="F44" s="3293" t="s">
        <v>4332</v>
      </c>
      <c r="G44" s="3293" t="s">
        <v>4323</v>
      </c>
      <c r="H44" s="3293" t="s">
        <v>4456</v>
      </c>
      <c r="I44" s="3293" t="s">
        <v>4457</v>
      </c>
      <c r="J44" s="3293" t="s">
        <v>4458</v>
      </c>
    </row>
    <row r="45" spans="1:10">
      <c r="A45" s="3293" t="s">
        <v>4450</v>
      </c>
      <c r="B45" s="3293" t="s">
        <v>4325</v>
      </c>
      <c r="C45" s="3293" t="s">
        <v>1327</v>
      </c>
      <c r="D45" s="3293" t="s">
        <v>1327</v>
      </c>
      <c r="E45" s="3293" t="s">
        <v>4327</v>
      </c>
      <c r="F45" s="3293" t="s">
        <v>4332</v>
      </c>
      <c r="G45" s="3293" t="s">
        <v>4323</v>
      </c>
      <c r="H45" s="3293" t="s">
        <v>4456</v>
      </c>
      <c r="I45" s="3293" t="s">
        <v>4459</v>
      </c>
      <c r="J45" s="3293" t="s">
        <v>4460</v>
      </c>
    </row>
    <row r="46" spans="1:10">
      <c r="A46" s="3293" t="s">
        <v>4450</v>
      </c>
      <c r="B46" s="3293" t="s">
        <v>4325</v>
      </c>
      <c r="C46" s="3293" t="s">
        <v>1327</v>
      </c>
      <c r="D46" s="3293" t="s">
        <v>1327</v>
      </c>
      <c r="E46" s="3293" t="s">
        <v>4327</v>
      </c>
      <c r="F46" s="3293" t="s">
        <v>4332</v>
      </c>
      <c r="G46" s="3293" t="s">
        <v>4323</v>
      </c>
      <c r="H46" s="3293" t="s">
        <v>4456</v>
      </c>
      <c r="I46" s="3293" t="s">
        <v>4459</v>
      </c>
      <c r="J46" s="3293" t="s">
        <v>4460</v>
      </c>
    </row>
    <row r="47" spans="1:10">
      <c r="A47" s="3293" t="s">
        <v>4450</v>
      </c>
      <c r="B47" s="3293" t="s">
        <v>4325</v>
      </c>
      <c r="C47" s="3293" t="s">
        <v>1327</v>
      </c>
      <c r="D47" s="3293" t="s">
        <v>1327</v>
      </c>
      <c r="E47" s="3293" t="s">
        <v>4327</v>
      </c>
      <c r="F47" s="3293" t="s">
        <v>4332</v>
      </c>
      <c r="G47" s="3293" t="s">
        <v>4323</v>
      </c>
      <c r="H47" s="3293" t="s">
        <v>4456</v>
      </c>
      <c r="I47" s="3293" t="s">
        <v>4461</v>
      </c>
      <c r="J47" s="3293" t="s">
        <v>4462</v>
      </c>
    </row>
    <row r="48" spans="1:10">
      <c r="A48" s="3293" t="s">
        <v>4450</v>
      </c>
      <c r="B48" s="3293" t="s">
        <v>4325</v>
      </c>
      <c r="C48" s="3293" t="s">
        <v>1327</v>
      </c>
      <c r="D48" s="3293" t="s">
        <v>1327</v>
      </c>
      <c r="E48" s="3293" t="s">
        <v>4327</v>
      </c>
      <c r="F48" s="3293" t="s">
        <v>4332</v>
      </c>
      <c r="G48" s="3293" t="s">
        <v>4323</v>
      </c>
      <c r="H48" s="3293" t="s">
        <v>4456</v>
      </c>
      <c r="I48" s="3293" t="s">
        <v>4461</v>
      </c>
      <c r="J48" s="3293" t="s">
        <v>4462</v>
      </c>
    </row>
    <row r="49" spans="1:10">
      <c r="A49" s="3293" t="s">
        <v>4450</v>
      </c>
      <c r="B49" s="3293" t="s">
        <v>4325</v>
      </c>
      <c r="C49" s="3293" t="s">
        <v>1327</v>
      </c>
      <c r="D49" s="3293" t="s">
        <v>1327</v>
      </c>
      <c r="E49" s="3293" t="s">
        <v>4327</v>
      </c>
      <c r="F49" s="3293" t="s">
        <v>4332</v>
      </c>
      <c r="G49" s="3293" t="s">
        <v>4323</v>
      </c>
      <c r="H49" s="3293" t="s">
        <v>4456</v>
      </c>
      <c r="I49" s="3293" t="s">
        <v>4463</v>
      </c>
      <c r="J49" s="3293" t="s">
        <v>4464</v>
      </c>
    </row>
    <row r="50" spans="1:10">
      <c r="A50" s="3293" t="s">
        <v>4450</v>
      </c>
      <c r="B50" s="3293" t="s">
        <v>4325</v>
      </c>
      <c r="C50" s="3293" t="s">
        <v>1327</v>
      </c>
      <c r="D50" s="3293" t="s">
        <v>1327</v>
      </c>
      <c r="E50" s="3293" t="s">
        <v>4327</v>
      </c>
      <c r="F50" s="3293" t="s">
        <v>4332</v>
      </c>
      <c r="G50" s="3293" t="s">
        <v>4323</v>
      </c>
      <c r="H50" s="3293" t="s">
        <v>4456</v>
      </c>
      <c r="I50" s="3293" t="s">
        <v>4463</v>
      </c>
      <c r="J50" s="3293" t="s">
        <v>4464</v>
      </c>
    </row>
    <row r="51" spans="1:10">
      <c r="A51" s="3293" t="s">
        <v>4450</v>
      </c>
      <c r="B51" s="3293" t="s">
        <v>4325</v>
      </c>
      <c r="C51" s="3293" t="s">
        <v>1327</v>
      </c>
      <c r="D51" s="3293" t="s">
        <v>1327</v>
      </c>
      <c r="E51" s="3293" t="s">
        <v>4327</v>
      </c>
      <c r="F51" s="3293" t="s">
        <v>4332</v>
      </c>
      <c r="G51" s="3293" t="s">
        <v>4323</v>
      </c>
      <c r="H51" s="3293" t="s">
        <v>4456</v>
      </c>
      <c r="I51" s="3293" t="s">
        <v>4465</v>
      </c>
      <c r="J51" s="3293" t="s">
        <v>4466</v>
      </c>
    </row>
    <row r="52" spans="1:10">
      <c r="A52" s="3293" t="s">
        <v>4450</v>
      </c>
      <c r="B52" s="3293" t="s">
        <v>4325</v>
      </c>
      <c r="C52" s="3293" t="s">
        <v>1327</v>
      </c>
      <c r="D52" s="3293" t="s">
        <v>1327</v>
      </c>
      <c r="E52" s="3293" t="s">
        <v>4327</v>
      </c>
      <c r="F52" s="3293" t="s">
        <v>4332</v>
      </c>
      <c r="G52" s="3293" t="s">
        <v>4323</v>
      </c>
      <c r="H52" s="3293" t="s">
        <v>4456</v>
      </c>
      <c r="I52" s="3293" t="s">
        <v>4465</v>
      </c>
      <c r="J52" s="3293" t="s">
        <v>4466</v>
      </c>
    </row>
    <row r="53" spans="1:10">
      <c r="A53" s="3293" t="s">
        <v>4450</v>
      </c>
      <c r="B53" s="3293" t="s">
        <v>4325</v>
      </c>
      <c r="C53" s="3293" t="s">
        <v>1327</v>
      </c>
      <c r="D53" s="3293" t="s">
        <v>1327</v>
      </c>
      <c r="E53" s="3293" t="s">
        <v>4327</v>
      </c>
      <c r="F53" s="3293" t="s">
        <v>4332</v>
      </c>
      <c r="G53" s="3293" t="s">
        <v>4323</v>
      </c>
      <c r="H53" s="3293" t="s">
        <v>4456</v>
      </c>
      <c r="I53" s="3293" t="s">
        <v>4467</v>
      </c>
      <c r="J53" s="3293" t="s">
        <v>4468</v>
      </c>
    </row>
    <row r="54" spans="1:10">
      <c r="A54" s="3293" t="s">
        <v>4450</v>
      </c>
      <c r="B54" s="3293" t="s">
        <v>4325</v>
      </c>
      <c r="C54" s="3293" t="s">
        <v>1327</v>
      </c>
      <c r="D54" s="3293" t="s">
        <v>1327</v>
      </c>
      <c r="E54" s="3293" t="s">
        <v>4327</v>
      </c>
      <c r="F54" s="3293" t="s">
        <v>4332</v>
      </c>
      <c r="G54" s="3293" t="s">
        <v>4323</v>
      </c>
      <c r="H54" s="3293" t="s">
        <v>4456</v>
      </c>
      <c r="I54" s="3293" t="s">
        <v>4467</v>
      </c>
      <c r="J54" s="3293" t="s">
        <v>4468</v>
      </c>
    </row>
    <row r="55" spans="1:10">
      <c r="A55" s="3293" t="s">
        <v>4450</v>
      </c>
      <c r="B55" s="3293" t="s">
        <v>4325</v>
      </c>
      <c r="C55" s="3293" t="s">
        <v>1327</v>
      </c>
      <c r="D55" s="3293" t="s">
        <v>1327</v>
      </c>
      <c r="E55" s="3293" t="s">
        <v>4327</v>
      </c>
      <c r="F55" s="3293" t="s">
        <v>4332</v>
      </c>
      <c r="G55" s="3293" t="s">
        <v>4323</v>
      </c>
      <c r="H55" s="3293" t="s">
        <v>4456</v>
      </c>
      <c r="I55" s="3293" t="s">
        <v>4469</v>
      </c>
      <c r="J55" s="3293" t="s">
        <v>4470</v>
      </c>
    </row>
    <row r="56" spans="1:10">
      <c r="A56" s="3293" t="s">
        <v>4450</v>
      </c>
      <c r="B56" s="3293" t="s">
        <v>4325</v>
      </c>
      <c r="C56" s="3293" t="s">
        <v>1327</v>
      </c>
      <c r="D56" s="3293" t="s">
        <v>1327</v>
      </c>
      <c r="E56" s="3293" t="s">
        <v>4327</v>
      </c>
      <c r="F56" s="3293" t="s">
        <v>4332</v>
      </c>
      <c r="G56" s="3293" t="s">
        <v>4323</v>
      </c>
      <c r="H56" s="3293" t="s">
        <v>4456</v>
      </c>
      <c r="I56" s="3293" t="s">
        <v>4469</v>
      </c>
      <c r="J56" s="3293" t="s">
        <v>4470</v>
      </c>
    </row>
    <row r="57" spans="1:10">
      <c r="A57" s="3293" t="s">
        <v>4450</v>
      </c>
      <c r="B57" s="3293" t="s">
        <v>4325</v>
      </c>
      <c r="C57" s="3293" t="s">
        <v>1327</v>
      </c>
      <c r="D57" s="3293" t="s">
        <v>1327</v>
      </c>
      <c r="E57" s="3293" t="s">
        <v>4327</v>
      </c>
      <c r="F57" s="3293" t="s">
        <v>4332</v>
      </c>
      <c r="G57" s="3293" t="s">
        <v>4323</v>
      </c>
      <c r="H57" s="3293" t="s">
        <v>4456</v>
      </c>
      <c r="I57" s="3293" t="s">
        <v>4471</v>
      </c>
      <c r="J57" s="3293" t="s">
        <v>4472</v>
      </c>
    </row>
    <row r="58" spans="1:10">
      <c r="A58" s="3293" t="s">
        <v>4450</v>
      </c>
      <c r="B58" s="3293" t="s">
        <v>4325</v>
      </c>
      <c r="C58" s="3293" t="s">
        <v>1327</v>
      </c>
      <c r="D58" s="3293" t="s">
        <v>1327</v>
      </c>
      <c r="E58" s="3293" t="s">
        <v>4327</v>
      </c>
      <c r="F58" s="3293" t="s">
        <v>4332</v>
      </c>
      <c r="G58" s="3293" t="s">
        <v>4323</v>
      </c>
      <c r="H58" s="3293" t="s">
        <v>4456</v>
      </c>
      <c r="I58" s="3293" t="s">
        <v>4471</v>
      </c>
      <c r="J58" s="3293" t="s">
        <v>4472</v>
      </c>
    </row>
    <row r="59" spans="1:10">
      <c r="A59" s="3293" t="s">
        <v>4450</v>
      </c>
      <c r="B59" s="3293" t="s">
        <v>4325</v>
      </c>
      <c r="C59" s="3293" t="s">
        <v>1327</v>
      </c>
      <c r="D59" s="3293" t="s">
        <v>1327</v>
      </c>
      <c r="E59" s="3293" t="s">
        <v>4327</v>
      </c>
      <c r="F59" s="3293" t="s">
        <v>4332</v>
      </c>
      <c r="G59" s="3293" t="s">
        <v>4323</v>
      </c>
      <c r="H59" s="3293" t="s">
        <v>4456</v>
      </c>
      <c r="I59" s="3293" t="s">
        <v>4473</v>
      </c>
      <c r="J59" s="3293" t="s">
        <v>4474</v>
      </c>
    </row>
    <row r="60" spans="1:10">
      <c r="A60" s="3293" t="s">
        <v>4450</v>
      </c>
      <c r="B60" s="3293" t="s">
        <v>4325</v>
      </c>
      <c r="C60" s="3293" t="s">
        <v>1327</v>
      </c>
      <c r="D60" s="3293" t="s">
        <v>1327</v>
      </c>
      <c r="E60" s="3293" t="s">
        <v>4327</v>
      </c>
      <c r="F60" s="3293" t="s">
        <v>4332</v>
      </c>
      <c r="G60" s="3293" t="s">
        <v>4323</v>
      </c>
      <c r="H60" s="3293" t="s">
        <v>4456</v>
      </c>
      <c r="I60" s="3293" t="s">
        <v>4473</v>
      </c>
      <c r="J60" s="3293" t="s">
        <v>4474</v>
      </c>
    </row>
    <row r="61" spans="1:10">
      <c r="A61" s="3293" t="s">
        <v>4450</v>
      </c>
      <c r="B61" s="3293" t="s">
        <v>4325</v>
      </c>
      <c r="C61" s="3293" t="s">
        <v>1327</v>
      </c>
      <c r="D61" s="3293" t="s">
        <v>1327</v>
      </c>
      <c r="E61" s="3293" t="s">
        <v>4327</v>
      </c>
      <c r="F61" s="3293" t="s">
        <v>4332</v>
      </c>
      <c r="G61" s="3293" t="s">
        <v>4323</v>
      </c>
      <c r="H61" s="3293" t="s">
        <v>4456</v>
      </c>
      <c r="I61" s="3293" t="s">
        <v>4475</v>
      </c>
      <c r="J61" s="3293" t="s">
        <v>4476</v>
      </c>
    </row>
    <row r="62" spans="1:10">
      <c r="A62" s="3293" t="s">
        <v>4450</v>
      </c>
      <c r="B62" s="3293" t="s">
        <v>4325</v>
      </c>
      <c r="C62" s="3293" t="s">
        <v>1327</v>
      </c>
      <c r="D62" s="3293" t="s">
        <v>1327</v>
      </c>
      <c r="E62" s="3293" t="s">
        <v>4327</v>
      </c>
      <c r="F62" s="3293" t="s">
        <v>4332</v>
      </c>
      <c r="G62" s="3293" t="s">
        <v>4323</v>
      </c>
      <c r="H62" s="3293" t="s">
        <v>4456</v>
      </c>
      <c r="I62" s="3293" t="s">
        <v>4475</v>
      </c>
      <c r="J62" s="3293" t="s">
        <v>4476</v>
      </c>
    </row>
    <row r="63" spans="1:10">
      <c r="A63" s="3293" t="s">
        <v>4450</v>
      </c>
      <c r="B63" s="3293" t="s">
        <v>4325</v>
      </c>
      <c r="C63" s="3293" t="s">
        <v>1327</v>
      </c>
      <c r="D63" s="3293" t="s">
        <v>1327</v>
      </c>
      <c r="E63" s="3293" t="s">
        <v>4327</v>
      </c>
      <c r="F63" s="3293" t="s">
        <v>4332</v>
      </c>
      <c r="G63" s="3293" t="s">
        <v>4323</v>
      </c>
      <c r="H63" s="3293" t="s">
        <v>4456</v>
      </c>
      <c r="I63" s="3293" t="s">
        <v>4477</v>
      </c>
      <c r="J63" s="3293" t="s">
        <v>4478</v>
      </c>
    </row>
    <row r="64" spans="1:10">
      <c r="A64" s="3293" t="s">
        <v>4450</v>
      </c>
      <c r="B64" s="3293" t="s">
        <v>4325</v>
      </c>
      <c r="C64" s="3293" t="s">
        <v>1327</v>
      </c>
      <c r="D64" s="3293" t="s">
        <v>1327</v>
      </c>
      <c r="E64" s="3293" t="s">
        <v>4327</v>
      </c>
      <c r="F64" s="3293" t="s">
        <v>4332</v>
      </c>
      <c r="G64" s="3293" t="s">
        <v>4323</v>
      </c>
      <c r="H64" s="3293" t="s">
        <v>4456</v>
      </c>
      <c r="I64" s="3293" t="s">
        <v>4477</v>
      </c>
      <c r="J64" s="3293" t="s">
        <v>4478</v>
      </c>
    </row>
    <row r="65" spans="1:10">
      <c r="A65" s="3293" t="s">
        <v>4450</v>
      </c>
      <c r="B65" s="3293" t="s">
        <v>4325</v>
      </c>
      <c r="C65" s="3293" t="s">
        <v>1327</v>
      </c>
      <c r="D65" s="3293" t="s">
        <v>1327</v>
      </c>
      <c r="E65" s="3293" t="s">
        <v>4327</v>
      </c>
      <c r="F65" s="3293" t="s">
        <v>4332</v>
      </c>
      <c r="G65" s="3293" t="s">
        <v>4323</v>
      </c>
      <c r="H65" s="3293" t="s">
        <v>4456</v>
      </c>
      <c r="I65" s="3293" t="s">
        <v>4479</v>
      </c>
      <c r="J65" s="3293" t="s">
        <v>4480</v>
      </c>
    </row>
    <row r="66" spans="1:10">
      <c r="A66" s="3293" t="s">
        <v>4450</v>
      </c>
      <c r="B66" s="3293" t="s">
        <v>4325</v>
      </c>
      <c r="C66" s="3293" t="s">
        <v>1327</v>
      </c>
      <c r="D66" s="3293" t="s">
        <v>1327</v>
      </c>
      <c r="E66" s="3293" t="s">
        <v>4327</v>
      </c>
      <c r="F66" s="3293" t="s">
        <v>4332</v>
      </c>
      <c r="G66" s="3293" t="s">
        <v>4323</v>
      </c>
      <c r="H66" s="3293" t="s">
        <v>4456</v>
      </c>
      <c r="I66" s="3293" t="s">
        <v>4479</v>
      </c>
      <c r="J66" s="3293" t="s">
        <v>4480</v>
      </c>
    </row>
    <row r="67" spans="1:10">
      <c r="A67" s="3293" t="s">
        <v>4450</v>
      </c>
      <c r="B67" s="3293" t="s">
        <v>4325</v>
      </c>
      <c r="C67" s="3293" t="s">
        <v>1327</v>
      </c>
      <c r="D67" s="3293" t="s">
        <v>1327</v>
      </c>
      <c r="E67" s="3293" t="s">
        <v>4327</v>
      </c>
      <c r="F67" s="3293" t="s">
        <v>4332</v>
      </c>
      <c r="G67" s="3293" t="s">
        <v>4323</v>
      </c>
      <c r="H67" s="3293" t="s">
        <v>4456</v>
      </c>
      <c r="I67" s="3293" t="s">
        <v>4481</v>
      </c>
      <c r="J67" s="3293" t="s">
        <v>4482</v>
      </c>
    </row>
    <row r="68" spans="1:10">
      <c r="A68" s="3293" t="s">
        <v>4450</v>
      </c>
      <c r="B68" s="3293" t="s">
        <v>4325</v>
      </c>
      <c r="C68" s="3293" t="s">
        <v>1327</v>
      </c>
      <c r="D68" s="3293" t="s">
        <v>1327</v>
      </c>
      <c r="E68" s="3293" t="s">
        <v>4327</v>
      </c>
      <c r="F68" s="3293" t="s">
        <v>4332</v>
      </c>
      <c r="G68" s="3293" t="s">
        <v>4323</v>
      </c>
      <c r="H68" s="3293" t="s">
        <v>4456</v>
      </c>
      <c r="I68" s="3293" t="s">
        <v>4481</v>
      </c>
      <c r="J68" s="3293" t="s">
        <v>4482</v>
      </c>
    </row>
    <row r="69" spans="1:10">
      <c r="A69" s="3293" t="s">
        <v>4450</v>
      </c>
      <c r="B69" s="3293" t="s">
        <v>4325</v>
      </c>
      <c r="C69" s="3293" t="s">
        <v>1327</v>
      </c>
      <c r="D69" s="3293" t="s">
        <v>1327</v>
      </c>
      <c r="E69" s="3293" t="s">
        <v>4327</v>
      </c>
      <c r="F69" s="3293" t="s">
        <v>4332</v>
      </c>
      <c r="G69" s="3293" t="s">
        <v>4323</v>
      </c>
      <c r="H69" s="3293" t="s">
        <v>4456</v>
      </c>
      <c r="I69" s="3293" t="s">
        <v>4483</v>
      </c>
      <c r="J69" s="3293" t="s">
        <v>4484</v>
      </c>
    </row>
    <row r="70" spans="1:10">
      <c r="A70" s="3293" t="s">
        <v>4450</v>
      </c>
      <c r="B70" s="3293" t="s">
        <v>4325</v>
      </c>
      <c r="C70" s="3293" t="s">
        <v>1327</v>
      </c>
      <c r="D70" s="3293" t="s">
        <v>1327</v>
      </c>
      <c r="E70" s="3293" t="s">
        <v>4327</v>
      </c>
      <c r="F70" s="3293" t="s">
        <v>4332</v>
      </c>
      <c r="G70" s="3293" t="s">
        <v>4323</v>
      </c>
      <c r="H70" s="3293" t="s">
        <v>4456</v>
      </c>
      <c r="I70" s="3293" t="s">
        <v>4483</v>
      </c>
      <c r="J70" s="3293" t="s">
        <v>4484</v>
      </c>
    </row>
    <row r="71" spans="1:10">
      <c r="A71" s="3293" t="s">
        <v>4450</v>
      </c>
      <c r="B71" s="3293" t="s">
        <v>4325</v>
      </c>
      <c r="C71" s="3293" t="s">
        <v>1327</v>
      </c>
      <c r="D71" s="3293" t="s">
        <v>1327</v>
      </c>
      <c r="E71" s="3293" t="s">
        <v>4327</v>
      </c>
      <c r="F71" s="3293" t="s">
        <v>4332</v>
      </c>
      <c r="G71" s="3293" t="s">
        <v>4323</v>
      </c>
      <c r="H71" s="3293" t="s">
        <v>4456</v>
      </c>
      <c r="I71" s="3293" t="s">
        <v>4485</v>
      </c>
      <c r="J71" s="3293" t="s">
        <v>4486</v>
      </c>
    </row>
    <row r="72" spans="1:10">
      <c r="A72" s="3293" t="s">
        <v>4450</v>
      </c>
      <c r="B72" s="3293" t="s">
        <v>4325</v>
      </c>
      <c r="C72" s="3293" t="s">
        <v>1327</v>
      </c>
      <c r="D72" s="3293" t="s">
        <v>1327</v>
      </c>
      <c r="E72" s="3293" t="s">
        <v>4327</v>
      </c>
      <c r="F72" s="3293" t="s">
        <v>4332</v>
      </c>
      <c r="G72" s="3293" t="s">
        <v>4323</v>
      </c>
      <c r="H72" s="3293" t="s">
        <v>4456</v>
      </c>
      <c r="I72" s="3293" t="s">
        <v>4485</v>
      </c>
      <c r="J72" s="3293" t="s">
        <v>4486</v>
      </c>
    </row>
    <row r="73" spans="1:10">
      <c r="A73" s="3293" t="s">
        <v>4450</v>
      </c>
      <c r="B73" s="3293" t="s">
        <v>4325</v>
      </c>
      <c r="C73" s="3293" t="s">
        <v>1327</v>
      </c>
      <c r="D73" s="3293" t="s">
        <v>1327</v>
      </c>
      <c r="E73" s="3293" t="s">
        <v>4327</v>
      </c>
      <c r="F73" s="3293" t="s">
        <v>4332</v>
      </c>
      <c r="G73" s="3293" t="s">
        <v>4323</v>
      </c>
      <c r="H73" s="3293" t="s">
        <v>4456</v>
      </c>
      <c r="I73" s="3293" t="s">
        <v>4487</v>
      </c>
      <c r="J73" s="3293" t="s">
        <v>4488</v>
      </c>
    </row>
    <row r="74" spans="1:10">
      <c r="A74" s="3293" t="s">
        <v>4450</v>
      </c>
      <c r="B74" s="3293" t="s">
        <v>4325</v>
      </c>
      <c r="C74" s="3293" t="s">
        <v>1327</v>
      </c>
      <c r="D74" s="3293" t="s">
        <v>1327</v>
      </c>
      <c r="E74" s="3293" t="s">
        <v>4327</v>
      </c>
      <c r="F74" s="3293" t="s">
        <v>4332</v>
      </c>
      <c r="G74" s="3293" t="s">
        <v>4323</v>
      </c>
      <c r="H74" s="3293" t="s">
        <v>4456</v>
      </c>
      <c r="I74" s="3293" t="s">
        <v>4487</v>
      </c>
      <c r="J74" s="3293" t="s">
        <v>4488</v>
      </c>
    </row>
    <row r="75" spans="1:10">
      <c r="A75" s="3293" t="s">
        <v>4450</v>
      </c>
      <c r="B75" s="3293" t="s">
        <v>4325</v>
      </c>
      <c r="C75" s="3293" t="s">
        <v>1327</v>
      </c>
      <c r="D75" s="3293" t="s">
        <v>1327</v>
      </c>
      <c r="E75" s="3293" t="s">
        <v>4327</v>
      </c>
      <c r="F75" s="3293" t="s">
        <v>4332</v>
      </c>
      <c r="G75" s="3293" t="s">
        <v>4323</v>
      </c>
      <c r="H75" s="3293" t="s">
        <v>4456</v>
      </c>
      <c r="I75" s="3293" t="s">
        <v>4489</v>
      </c>
      <c r="J75" s="3293" t="s">
        <v>4490</v>
      </c>
    </row>
    <row r="76" spans="1:10">
      <c r="A76" s="3293" t="s">
        <v>4450</v>
      </c>
      <c r="B76" s="3293" t="s">
        <v>4325</v>
      </c>
      <c r="C76" s="3293" t="s">
        <v>1327</v>
      </c>
      <c r="D76" s="3293" t="s">
        <v>1327</v>
      </c>
      <c r="E76" s="3293" t="s">
        <v>4327</v>
      </c>
      <c r="F76" s="3293" t="s">
        <v>4332</v>
      </c>
      <c r="G76" s="3293" t="s">
        <v>4323</v>
      </c>
      <c r="H76" s="3293" t="s">
        <v>4456</v>
      </c>
      <c r="I76" s="3293" t="s">
        <v>4489</v>
      </c>
      <c r="J76" s="3293" t="s">
        <v>4490</v>
      </c>
    </row>
    <row r="77" spans="1:10">
      <c r="A77" s="3293" t="s">
        <v>4450</v>
      </c>
      <c r="B77" s="3293" t="s">
        <v>4325</v>
      </c>
      <c r="C77" s="3293" t="s">
        <v>1327</v>
      </c>
      <c r="D77" s="3293" t="s">
        <v>1327</v>
      </c>
      <c r="E77" s="3293" t="s">
        <v>4327</v>
      </c>
      <c r="F77" s="3293" t="s">
        <v>4332</v>
      </c>
      <c r="G77" s="3293" t="s">
        <v>4323</v>
      </c>
      <c r="H77" s="3293" t="s">
        <v>4456</v>
      </c>
      <c r="I77" s="3293" t="s">
        <v>4457</v>
      </c>
      <c r="J77" s="3293" t="s">
        <v>4458</v>
      </c>
    </row>
    <row r="78" spans="1:10">
      <c r="A78" s="3293" t="s">
        <v>4450</v>
      </c>
      <c r="B78" s="3293" t="s">
        <v>4325</v>
      </c>
      <c r="C78" s="3293" t="s">
        <v>1327</v>
      </c>
      <c r="D78" s="3293" t="s">
        <v>1327</v>
      </c>
      <c r="E78" s="3293" t="s">
        <v>4327</v>
      </c>
      <c r="F78" s="3293" t="s">
        <v>4332</v>
      </c>
      <c r="G78" s="3293" t="s">
        <v>4323</v>
      </c>
      <c r="H78" s="3293" t="s">
        <v>4451</v>
      </c>
      <c r="I78" s="3293" t="s">
        <v>4491</v>
      </c>
      <c r="J78" s="3293" t="s">
        <v>4492</v>
      </c>
    </row>
    <row r="79" spans="1:10">
      <c r="A79" s="3293" t="s">
        <v>4450</v>
      </c>
      <c r="B79" s="3293" t="s">
        <v>4325</v>
      </c>
      <c r="C79" s="3293" t="s">
        <v>1327</v>
      </c>
      <c r="D79" s="3293" t="s">
        <v>1327</v>
      </c>
      <c r="E79" s="3293" t="s">
        <v>4327</v>
      </c>
      <c r="F79" s="3293" t="s">
        <v>4332</v>
      </c>
      <c r="G79" s="3293" t="s">
        <v>4323</v>
      </c>
      <c r="H79" s="3293" t="s">
        <v>4451</v>
      </c>
      <c r="I79" s="3293" t="s">
        <v>4493</v>
      </c>
      <c r="J79" s="3293" t="s">
        <v>4492</v>
      </c>
    </row>
    <row r="80" spans="1:10">
      <c r="A80" s="3293" t="s">
        <v>4450</v>
      </c>
      <c r="B80" s="3293" t="s">
        <v>4325</v>
      </c>
      <c r="C80" s="3293" t="s">
        <v>1327</v>
      </c>
      <c r="D80" s="3293" t="s">
        <v>1327</v>
      </c>
      <c r="E80" s="3293" t="s">
        <v>4327</v>
      </c>
      <c r="F80" s="3293" t="s">
        <v>4332</v>
      </c>
      <c r="G80" s="3293" t="s">
        <v>4323</v>
      </c>
      <c r="H80" s="3293" t="s">
        <v>4451</v>
      </c>
      <c r="I80" s="3293" t="s">
        <v>4494</v>
      </c>
      <c r="J80" s="3293" t="s">
        <v>4495</v>
      </c>
    </row>
    <row r="81" spans="1:10">
      <c r="A81" s="3293" t="s">
        <v>4450</v>
      </c>
      <c r="B81" s="3293" t="s">
        <v>4325</v>
      </c>
      <c r="C81" s="3293" t="s">
        <v>1327</v>
      </c>
      <c r="D81" s="3293" t="s">
        <v>1327</v>
      </c>
      <c r="E81" s="3293" t="s">
        <v>4327</v>
      </c>
      <c r="F81" s="3293" t="s">
        <v>4332</v>
      </c>
      <c r="G81" s="3293" t="s">
        <v>4323</v>
      </c>
      <c r="H81" s="3293" t="s">
        <v>4451</v>
      </c>
      <c r="I81" s="3293" t="s">
        <v>4496</v>
      </c>
      <c r="J81" s="3293" t="s">
        <v>4497</v>
      </c>
    </row>
    <row r="82" spans="1:10">
      <c r="A82" s="3293" t="s">
        <v>4450</v>
      </c>
      <c r="B82" s="3293" t="s">
        <v>4325</v>
      </c>
      <c r="C82" s="3293" t="s">
        <v>1327</v>
      </c>
      <c r="D82" s="3293" t="s">
        <v>1327</v>
      </c>
      <c r="E82" s="3293" t="s">
        <v>4327</v>
      </c>
      <c r="F82" s="3293" t="s">
        <v>4332</v>
      </c>
      <c r="G82" s="3293" t="s">
        <v>4323</v>
      </c>
      <c r="H82" s="3293" t="s">
        <v>4456</v>
      </c>
      <c r="I82" s="3293" t="s">
        <v>4498</v>
      </c>
      <c r="J82" s="3293" t="s">
        <v>4499</v>
      </c>
    </row>
    <row r="83" spans="1:10">
      <c r="A83" s="3293" t="s">
        <v>4450</v>
      </c>
      <c r="B83" s="3293" t="s">
        <v>4325</v>
      </c>
      <c r="C83" s="3293" t="s">
        <v>1327</v>
      </c>
      <c r="D83" s="3293" t="s">
        <v>1327</v>
      </c>
      <c r="E83" s="3293" t="s">
        <v>4327</v>
      </c>
      <c r="F83" s="3293" t="s">
        <v>4332</v>
      </c>
      <c r="G83" s="3293" t="s">
        <v>4323</v>
      </c>
      <c r="H83" s="3293" t="s">
        <v>4451</v>
      </c>
      <c r="I83" s="3293" t="s">
        <v>4500</v>
      </c>
      <c r="J83" s="3293" t="s">
        <v>4501</v>
      </c>
    </row>
    <row r="84" spans="1:10">
      <c r="A84" s="3293" t="s">
        <v>4450</v>
      </c>
      <c r="B84" s="3293" t="s">
        <v>4325</v>
      </c>
      <c r="C84" s="3293" t="s">
        <v>1327</v>
      </c>
      <c r="D84" s="3293" t="s">
        <v>1327</v>
      </c>
      <c r="E84" s="3293" t="s">
        <v>4327</v>
      </c>
      <c r="F84" s="3293" t="s">
        <v>4332</v>
      </c>
      <c r="G84" s="3293" t="s">
        <v>4323</v>
      </c>
      <c r="H84" s="3293" t="s">
        <v>4451</v>
      </c>
      <c r="I84" s="3293" t="s">
        <v>4502</v>
      </c>
      <c r="J84" s="3293" t="s">
        <v>4501</v>
      </c>
    </row>
    <row r="85" spans="1:10">
      <c r="A85" s="3293" t="s">
        <v>4450</v>
      </c>
      <c r="B85" s="3293" t="s">
        <v>4325</v>
      </c>
      <c r="C85" s="3293" t="s">
        <v>1327</v>
      </c>
      <c r="D85" s="3293" t="s">
        <v>1327</v>
      </c>
      <c r="E85" s="3293" t="s">
        <v>4327</v>
      </c>
      <c r="F85" s="3293" t="s">
        <v>4332</v>
      </c>
      <c r="G85" s="3293" t="s">
        <v>4323</v>
      </c>
      <c r="H85" s="3293" t="s">
        <v>4451</v>
      </c>
      <c r="I85" s="3293" t="s">
        <v>4503</v>
      </c>
      <c r="J85" s="3293" t="s">
        <v>4504</v>
      </c>
    </row>
    <row r="86" spans="1:10">
      <c r="A86" s="3293" t="s">
        <v>4450</v>
      </c>
      <c r="B86" s="3293" t="s">
        <v>4325</v>
      </c>
      <c r="C86" s="3293" t="s">
        <v>1327</v>
      </c>
      <c r="D86" s="3293" t="s">
        <v>1327</v>
      </c>
      <c r="E86" s="3293" t="s">
        <v>4327</v>
      </c>
      <c r="F86" s="3293" t="s">
        <v>4332</v>
      </c>
      <c r="G86" s="3293" t="s">
        <v>4323</v>
      </c>
      <c r="H86" s="3293" t="s">
        <v>4451</v>
      </c>
      <c r="I86" s="3293" t="s">
        <v>4505</v>
      </c>
      <c r="J86" s="3293" t="s">
        <v>4504</v>
      </c>
    </row>
    <row r="87" spans="1:10">
      <c r="A87" s="3293" t="s">
        <v>4450</v>
      </c>
      <c r="B87" s="3293" t="s">
        <v>4325</v>
      </c>
      <c r="C87" s="3293" t="s">
        <v>1327</v>
      </c>
      <c r="D87" s="3293" t="s">
        <v>1327</v>
      </c>
      <c r="E87" s="3293" t="s">
        <v>4327</v>
      </c>
      <c r="F87" s="3293" t="s">
        <v>4332</v>
      </c>
      <c r="G87" s="3293" t="s">
        <v>4323</v>
      </c>
      <c r="H87" s="3293" t="s">
        <v>4451</v>
      </c>
      <c r="I87" s="3293" t="s">
        <v>4506</v>
      </c>
      <c r="J87" s="3293" t="s">
        <v>4507</v>
      </c>
    </row>
    <row r="88" spans="1:10">
      <c r="A88" s="3293" t="s">
        <v>4450</v>
      </c>
      <c r="B88" s="3293" t="s">
        <v>4325</v>
      </c>
      <c r="C88" s="3293" t="s">
        <v>1327</v>
      </c>
      <c r="D88" s="3293" t="s">
        <v>1327</v>
      </c>
      <c r="E88" s="3293" t="s">
        <v>4327</v>
      </c>
      <c r="F88" s="3293" t="s">
        <v>4332</v>
      </c>
      <c r="G88" s="3293" t="s">
        <v>4323</v>
      </c>
      <c r="H88" s="3293" t="s">
        <v>4451</v>
      </c>
      <c r="I88" s="3293" t="s">
        <v>4508</v>
      </c>
      <c r="J88" s="3293" t="s">
        <v>4509</v>
      </c>
    </row>
    <row r="89" spans="1:10">
      <c r="A89" s="3293" t="s">
        <v>4450</v>
      </c>
      <c r="B89" s="3293" t="s">
        <v>4325</v>
      </c>
      <c r="C89" s="3293" t="s">
        <v>1327</v>
      </c>
      <c r="D89" s="3293" t="s">
        <v>1327</v>
      </c>
      <c r="E89" s="3293" t="s">
        <v>4327</v>
      </c>
      <c r="F89" s="3293" t="s">
        <v>4332</v>
      </c>
      <c r="G89" s="3293" t="s">
        <v>4323</v>
      </c>
      <c r="H89" s="3293" t="s">
        <v>4451</v>
      </c>
      <c r="I89" s="3293" t="s">
        <v>4510</v>
      </c>
      <c r="J89" s="3293" t="s">
        <v>4511</v>
      </c>
    </row>
    <row r="90" spans="1:10">
      <c r="A90" s="3293" t="s">
        <v>4450</v>
      </c>
      <c r="B90" s="3293" t="s">
        <v>4325</v>
      </c>
      <c r="C90" s="3293" t="s">
        <v>1327</v>
      </c>
      <c r="D90" s="3293" t="s">
        <v>1327</v>
      </c>
      <c r="E90" s="3293" t="s">
        <v>4327</v>
      </c>
      <c r="F90" s="3293" t="s">
        <v>4332</v>
      </c>
      <c r="G90" s="3293" t="s">
        <v>4323</v>
      </c>
      <c r="H90" s="3293" t="s">
        <v>4451</v>
      </c>
      <c r="I90" s="3293" t="s">
        <v>4512</v>
      </c>
      <c r="J90" s="3293" t="s">
        <v>4511</v>
      </c>
    </row>
    <row r="91" spans="1:10">
      <c r="A91" s="3293" t="s">
        <v>4450</v>
      </c>
      <c r="B91" s="3293" t="s">
        <v>4325</v>
      </c>
      <c r="C91" s="3293" t="s">
        <v>1327</v>
      </c>
      <c r="D91" s="3293" t="s">
        <v>1327</v>
      </c>
      <c r="E91" s="3293" t="s">
        <v>4327</v>
      </c>
      <c r="F91" s="3293" t="s">
        <v>4332</v>
      </c>
      <c r="G91" s="3293" t="s">
        <v>4323</v>
      </c>
      <c r="H91" s="3293" t="s">
        <v>4451</v>
      </c>
      <c r="I91" s="3293" t="s">
        <v>4513</v>
      </c>
      <c r="J91" s="3293" t="s">
        <v>4514</v>
      </c>
    </row>
    <row r="92" spans="1:10">
      <c r="A92" s="3293" t="s">
        <v>4450</v>
      </c>
      <c r="B92" s="3293" t="s">
        <v>4325</v>
      </c>
      <c r="C92" s="3293" t="s">
        <v>1327</v>
      </c>
      <c r="D92" s="3293" t="s">
        <v>1327</v>
      </c>
      <c r="E92" s="3293" t="s">
        <v>4327</v>
      </c>
      <c r="F92" s="3293" t="s">
        <v>4332</v>
      </c>
      <c r="G92" s="3293" t="s">
        <v>4323</v>
      </c>
      <c r="H92" s="3293" t="s">
        <v>4451</v>
      </c>
      <c r="I92" s="3293" t="s">
        <v>4515</v>
      </c>
      <c r="J92" s="3293" t="s">
        <v>4516</v>
      </c>
    </row>
    <row r="93" spans="1:10">
      <c r="A93" s="3293" t="s">
        <v>4450</v>
      </c>
      <c r="B93" s="3293" t="s">
        <v>4325</v>
      </c>
      <c r="C93" s="3293" t="s">
        <v>1327</v>
      </c>
      <c r="D93" s="3293" t="s">
        <v>1327</v>
      </c>
      <c r="E93" s="3293" t="s">
        <v>4327</v>
      </c>
      <c r="F93" s="3293" t="s">
        <v>4332</v>
      </c>
      <c r="G93" s="3293" t="s">
        <v>4323</v>
      </c>
      <c r="H93" s="3293" t="s">
        <v>4451</v>
      </c>
      <c r="I93" s="3293" t="s">
        <v>4517</v>
      </c>
      <c r="J93" s="3293" t="s">
        <v>4518</v>
      </c>
    </row>
    <row r="94" spans="1:10">
      <c r="A94" s="3293" t="s">
        <v>4450</v>
      </c>
      <c r="B94" s="3293" t="s">
        <v>4325</v>
      </c>
      <c r="C94" s="3293" t="s">
        <v>1327</v>
      </c>
      <c r="D94" s="3293" t="s">
        <v>1327</v>
      </c>
      <c r="E94" s="3293" t="s">
        <v>4327</v>
      </c>
      <c r="F94" s="3293" t="s">
        <v>4332</v>
      </c>
      <c r="G94" s="3293" t="s">
        <v>4323</v>
      </c>
      <c r="H94" s="3293" t="s">
        <v>4451</v>
      </c>
      <c r="I94" s="3293" t="s">
        <v>4519</v>
      </c>
      <c r="J94" s="3293" t="s">
        <v>4520</v>
      </c>
    </row>
    <row r="95" spans="1:10">
      <c r="A95" s="3293" t="s">
        <v>4450</v>
      </c>
      <c r="B95" s="3293" t="s">
        <v>4325</v>
      </c>
      <c r="C95" s="3293" t="s">
        <v>1327</v>
      </c>
      <c r="D95" s="3293" t="s">
        <v>1327</v>
      </c>
      <c r="E95" s="3293" t="s">
        <v>4327</v>
      </c>
      <c r="F95" s="3293" t="s">
        <v>4332</v>
      </c>
      <c r="G95" s="3293" t="s">
        <v>4323</v>
      </c>
      <c r="H95" s="3293" t="s">
        <v>4451</v>
      </c>
      <c r="I95" s="3293" t="s">
        <v>4521</v>
      </c>
      <c r="J95" s="3293" t="s">
        <v>4520</v>
      </c>
    </row>
    <row r="96" spans="1:10">
      <c r="A96" s="3293" t="s">
        <v>4450</v>
      </c>
      <c r="B96" s="3293" t="s">
        <v>4325</v>
      </c>
      <c r="C96" s="3293" t="s">
        <v>1327</v>
      </c>
      <c r="D96" s="3293" t="s">
        <v>1327</v>
      </c>
      <c r="E96" s="3293" t="s">
        <v>4327</v>
      </c>
      <c r="F96" s="3293" t="s">
        <v>4332</v>
      </c>
      <c r="G96" s="3293" t="s">
        <v>4323</v>
      </c>
      <c r="H96" s="3293" t="s">
        <v>4451</v>
      </c>
      <c r="I96" s="3293" t="s">
        <v>4522</v>
      </c>
      <c r="J96" s="3293" t="s">
        <v>4523</v>
      </c>
    </row>
    <row r="97" spans="1:10">
      <c r="A97" s="3293" t="s">
        <v>4450</v>
      </c>
      <c r="B97" s="3293" t="s">
        <v>4325</v>
      </c>
      <c r="C97" s="3293" t="s">
        <v>1327</v>
      </c>
      <c r="D97" s="3293" t="s">
        <v>1327</v>
      </c>
      <c r="E97" s="3293" t="s">
        <v>4327</v>
      </c>
      <c r="F97" s="3293" t="s">
        <v>4332</v>
      </c>
      <c r="G97" s="3293" t="s">
        <v>4323</v>
      </c>
      <c r="H97" s="3293" t="s">
        <v>4451</v>
      </c>
      <c r="I97" s="3293" t="s">
        <v>4524</v>
      </c>
      <c r="J97" s="3293" t="s">
        <v>4525</v>
      </c>
    </row>
    <row r="98" spans="1:10">
      <c r="A98" s="3293" t="s">
        <v>4450</v>
      </c>
      <c r="B98" s="3293" t="s">
        <v>4325</v>
      </c>
      <c r="C98" s="3293" t="s">
        <v>1327</v>
      </c>
      <c r="D98" s="3293" t="s">
        <v>1327</v>
      </c>
      <c r="E98" s="3293" t="s">
        <v>4327</v>
      </c>
      <c r="F98" s="3293" t="s">
        <v>4332</v>
      </c>
      <c r="G98" s="3293" t="s">
        <v>4323</v>
      </c>
      <c r="H98" s="3293" t="s">
        <v>4451</v>
      </c>
      <c r="I98" s="3293" t="s">
        <v>4526</v>
      </c>
      <c r="J98" s="3293" t="s">
        <v>4527</v>
      </c>
    </row>
    <row r="99" spans="1:10">
      <c r="A99" s="3293" t="s">
        <v>4450</v>
      </c>
      <c r="B99" s="3293" t="s">
        <v>4325</v>
      </c>
      <c r="C99" s="3293" t="s">
        <v>1327</v>
      </c>
      <c r="D99" s="3293" t="s">
        <v>1327</v>
      </c>
      <c r="E99" s="3293" t="s">
        <v>4327</v>
      </c>
      <c r="F99" s="3293" t="s">
        <v>4332</v>
      </c>
      <c r="G99" s="3293" t="s">
        <v>4323</v>
      </c>
      <c r="H99" s="3293" t="s">
        <v>4451</v>
      </c>
      <c r="I99" s="3293" t="s">
        <v>4528</v>
      </c>
      <c r="J99" s="3293" t="s">
        <v>4527</v>
      </c>
    </row>
    <row r="100" spans="1:10">
      <c r="A100" s="3293" t="s">
        <v>4450</v>
      </c>
      <c r="B100" s="3293" t="s">
        <v>4325</v>
      </c>
      <c r="C100" s="3293" t="s">
        <v>1327</v>
      </c>
      <c r="D100" s="3293" t="s">
        <v>1327</v>
      </c>
      <c r="E100" s="3293" t="s">
        <v>4327</v>
      </c>
      <c r="F100" s="3293" t="s">
        <v>4332</v>
      </c>
      <c r="G100" s="3293" t="s">
        <v>4323</v>
      </c>
      <c r="H100" s="3293" t="s">
        <v>4451</v>
      </c>
      <c r="I100" s="3293" t="s">
        <v>4529</v>
      </c>
      <c r="J100" s="3293" t="s">
        <v>4530</v>
      </c>
    </row>
    <row r="101" spans="1:10">
      <c r="A101" s="3293" t="s">
        <v>4450</v>
      </c>
      <c r="B101" s="3293" t="s">
        <v>4325</v>
      </c>
      <c r="C101" s="3293" t="s">
        <v>1327</v>
      </c>
      <c r="D101" s="3293" t="s">
        <v>1327</v>
      </c>
      <c r="E101" s="3293" t="s">
        <v>4327</v>
      </c>
      <c r="F101" s="3293" t="s">
        <v>4332</v>
      </c>
      <c r="G101" s="3293" t="s">
        <v>4323</v>
      </c>
      <c r="H101" s="3293" t="s">
        <v>4451</v>
      </c>
      <c r="I101" s="3293" t="s">
        <v>4531</v>
      </c>
      <c r="J101" s="3293" t="s">
        <v>4532</v>
      </c>
    </row>
    <row r="102" spans="1:10">
      <c r="A102" s="3293" t="s">
        <v>4450</v>
      </c>
      <c r="B102" s="3293" t="s">
        <v>4325</v>
      </c>
      <c r="C102" s="3293" t="s">
        <v>1327</v>
      </c>
      <c r="D102" s="3293" t="s">
        <v>1327</v>
      </c>
      <c r="E102" s="3293" t="s">
        <v>4327</v>
      </c>
      <c r="F102" s="3293" t="s">
        <v>4332</v>
      </c>
      <c r="G102" s="3293" t="s">
        <v>4323</v>
      </c>
      <c r="H102" s="3293" t="s">
        <v>4456</v>
      </c>
      <c r="I102" s="3293" t="s">
        <v>4533</v>
      </c>
      <c r="J102" s="3293" t="s">
        <v>4534</v>
      </c>
    </row>
    <row r="103" spans="1:10">
      <c r="A103" s="3293" t="s">
        <v>4450</v>
      </c>
      <c r="B103" s="3293" t="s">
        <v>4325</v>
      </c>
      <c r="C103" s="3293" t="s">
        <v>1327</v>
      </c>
      <c r="D103" s="3293" t="s">
        <v>1327</v>
      </c>
      <c r="E103" s="3293" t="s">
        <v>4327</v>
      </c>
      <c r="F103" s="3293" t="s">
        <v>4332</v>
      </c>
      <c r="G103" s="3293" t="s">
        <v>4323</v>
      </c>
      <c r="H103" s="3293" t="s">
        <v>4456</v>
      </c>
      <c r="I103" s="3293" t="s">
        <v>4533</v>
      </c>
      <c r="J103" s="3293" t="s">
        <v>4534</v>
      </c>
    </row>
    <row r="104" spans="1:10">
      <c r="A104" s="3293" t="s">
        <v>4450</v>
      </c>
      <c r="B104" s="3293" t="s">
        <v>4325</v>
      </c>
      <c r="C104" s="3293" t="s">
        <v>1327</v>
      </c>
      <c r="D104" s="3293" t="s">
        <v>1327</v>
      </c>
      <c r="E104" s="3293" t="s">
        <v>4327</v>
      </c>
      <c r="F104" s="3293" t="s">
        <v>4332</v>
      </c>
      <c r="G104" s="3293" t="s">
        <v>4323</v>
      </c>
      <c r="H104" s="3293" t="s">
        <v>4456</v>
      </c>
      <c r="I104" s="3293" t="s">
        <v>4535</v>
      </c>
      <c r="J104" s="3293" t="s">
        <v>4536</v>
      </c>
    </row>
    <row r="105" spans="1:10">
      <c r="A105" s="3293" t="s">
        <v>4450</v>
      </c>
      <c r="B105" s="3293" t="s">
        <v>4325</v>
      </c>
      <c r="C105" s="3293" t="s">
        <v>1327</v>
      </c>
      <c r="D105" s="3293" t="s">
        <v>1327</v>
      </c>
      <c r="E105" s="3293" t="s">
        <v>4327</v>
      </c>
      <c r="F105" s="3293" t="s">
        <v>4332</v>
      </c>
      <c r="G105" s="3293" t="s">
        <v>4323</v>
      </c>
      <c r="H105" s="3293" t="s">
        <v>4456</v>
      </c>
      <c r="I105" s="3293" t="s">
        <v>4535</v>
      </c>
      <c r="J105" s="3293" t="s">
        <v>4536</v>
      </c>
    </row>
    <row r="106" spans="1:10">
      <c r="A106" s="3293" t="s">
        <v>4450</v>
      </c>
      <c r="B106" s="3293" t="s">
        <v>4325</v>
      </c>
      <c r="C106" s="3293" t="s">
        <v>1327</v>
      </c>
      <c r="D106" s="3293" t="s">
        <v>1327</v>
      </c>
      <c r="E106" s="3293" t="s">
        <v>4327</v>
      </c>
      <c r="F106" s="3293" t="s">
        <v>4332</v>
      </c>
      <c r="G106" s="3293" t="s">
        <v>4323</v>
      </c>
      <c r="H106" s="3293" t="s">
        <v>4456</v>
      </c>
      <c r="I106" s="3293" t="s">
        <v>4537</v>
      </c>
      <c r="J106" s="3293" t="s">
        <v>4538</v>
      </c>
    </row>
    <row r="107" spans="1:10">
      <c r="A107" s="3293" t="s">
        <v>4450</v>
      </c>
      <c r="B107" s="3293" t="s">
        <v>4325</v>
      </c>
      <c r="C107" s="3293" t="s">
        <v>1327</v>
      </c>
      <c r="D107" s="3293" t="s">
        <v>1327</v>
      </c>
      <c r="E107" s="3293" t="s">
        <v>4327</v>
      </c>
      <c r="F107" s="3293" t="s">
        <v>4332</v>
      </c>
      <c r="G107" s="3293" t="s">
        <v>4323</v>
      </c>
      <c r="H107" s="3293" t="s">
        <v>4456</v>
      </c>
      <c r="I107" s="3293" t="s">
        <v>4537</v>
      </c>
      <c r="J107" s="3293" t="s">
        <v>4538</v>
      </c>
    </row>
    <row r="108" spans="1:10">
      <c r="A108" s="3293" t="s">
        <v>4450</v>
      </c>
      <c r="B108" s="3293" t="s">
        <v>4325</v>
      </c>
      <c r="C108" s="3293" t="s">
        <v>1327</v>
      </c>
      <c r="D108" s="3293" t="s">
        <v>1327</v>
      </c>
      <c r="E108" s="3293" t="s">
        <v>4327</v>
      </c>
      <c r="F108" s="3293" t="s">
        <v>4332</v>
      </c>
      <c r="G108" s="3293" t="s">
        <v>4323</v>
      </c>
      <c r="H108" s="3293" t="s">
        <v>4456</v>
      </c>
      <c r="I108" s="3293" t="s">
        <v>4539</v>
      </c>
      <c r="J108" s="3293" t="s">
        <v>4540</v>
      </c>
    </row>
    <row r="109" spans="1:10">
      <c r="A109" s="3293" t="s">
        <v>4450</v>
      </c>
      <c r="B109" s="3293" t="s">
        <v>4325</v>
      </c>
      <c r="C109" s="3293" t="s">
        <v>1327</v>
      </c>
      <c r="D109" s="3293" t="s">
        <v>1327</v>
      </c>
      <c r="E109" s="3293" t="s">
        <v>4327</v>
      </c>
      <c r="F109" s="3293" t="s">
        <v>4332</v>
      </c>
      <c r="G109" s="3293" t="s">
        <v>4323</v>
      </c>
      <c r="H109" s="3293" t="s">
        <v>4456</v>
      </c>
      <c r="I109" s="3293" t="s">
        <v>4539</v>
      </c>
      <c r="J109" s="3293" t="s">
        <v>4540</v>
      </c>
    </row>
    <row r="110" spans="1:10">
      <c r="A110" s="3293" t="s">
        <v>4450</v>
      </c>
      <c r="B110" s="3293" t="s">
        <v>4325</v>
      </c>
      <c r="C110" s="3293" t="s">
        <v>1327</v>
      </c>
      <c r="D110" s="3293" t="s">
        <v>1327</v>
      </c>
      <c r="E110" s="3293" t="s">
        <v>4327</v>
      </c>
      <c r="F110" s="3293" t="s">
        <v>4332</v>
      </c>
      <c r="G110" s="3293" t="s">
        <v>4323</v>
      </c>
      <c r="H110" s="3293" t="s">
        <v>4456</v>
      </c>
      <c r="I110" s="3293" t="s">
        <v>4541</v>
      </c>
      <c r="J110" s="3293" t="s">
        <v>4542</v>
      </c>
    </row>
    <row r="111" spans="1:10">
      <c r="A111" s="3293" t="s">
        <v>4450</v>
      </c>
      <c r="B111" s="3293" t="s">
        <v>4325</v>
      </c>
      <c r="C111" s="3293" t="s">
        <v>1327</v>
      </c>
      <c r="D111" s="3293" t="s">
        <v>1327</v>
      </c>
      <c r="E111" s="3293" t="s">
        <v>4327</v>
      </c>
      <c r="F111" s="3293" t="s">
        <v>4332</v>
      </c>
      <c r="G111" s="3293" t="s">
        <v>4323</v>
      </c>
      <c r="H111" s="3293" t="s">
        <v>4456</v>
      </c>
      <c r="I111" s="3293" t="s">
        <v>4541</v>
      </c>
      <c r="J111" s="3293" t="s">
        <v>4542</v>
      </c>
    </row>
    <row r="112" spans="1:10">
      <c r="A112" s="3293" t="s">
        <v>4450</v>
      </c>
      <c r="B112" s="3293" t="s">
        <v>4325</v>
      </c>
      <c r="C112" s="3293" t="s">
        <v>1327</v>
      </c>
      <c r="D112" s="3293" t="s">
        <v>1327</v>
      </c>
      <c r="E112" s="3293" t="s">
        <v>4327</v>
      </c>
      <c r="F112" s="3293" t="s">
        <v>4332</v>
      </c>
      <c r="G112" s="3293" t="s">
        <v>4323</v>
      </c>
      <c r="H112" s="3293" t="s">
        <v>4456</v>
      </c>
      <c r="I112" s="3293" t="s">
        <v>4543</v>
      </c>
      <c r="J112" s="3293" t="s">
        <v>4544</v>
      </c>
    </row>
    <row r="113" spans="1:10">
      <c r="A113" s="3293" t="s">
        <v>4450</v>
      </c>
      <c r="B113" s="3293" t="s">
        <v>4325</v>
      </c>
      <c r="C113" s="3293" t="s">
        <v>1327</v>
      </c>
      <c r="D113" s="3293" t="s">
        <v>1327</v>
      </c>
      <c r="E113" s="3293" t="s">
        <v>4327</v>
      </c>
      <c r="F113" s="3293" t="s">
        <v>4332</v>
      </c>
      <c r="G113" s="3293" t="s">
        <v>4323</v>
      </c>
      <c r="H113" s="3293" t="s">
        <v>4456</v>
      </c>
      <c r="I113" s="3293" t="s">
        <v>4543</v>
      </c>
      <c r="J113" s="3293" t="s">
        <v>4544</v>
      </c>
    </row>
    <row r="114" spans="1:10">
      <c r="A114" s="3293" t="s">
        <v>4450</v>
      </c>
      <c r="B114" s="3293" t="s">
        <v>4325</v>
      </c>
      <c r="C114" s="3293" t="s">
        <v>1327</v>
      </c>
      <c r="D114" s="3293" t="s">
        <v>1327</v>
      </c>
      <c r="E114" s="3293" t="s">
        <v>4327</v>
      </c>
      <c r="F114" s="3293" t="s">
        <v>4332</v>
      </c>
      <c r="G114" s="3293" t="s">
        <v>4323</v>
      </c>
      <c r="H114" s="3293" t="s">
        <v>4451</v>
      </c>
      <c r="I114" s="3293" t="s">
        <v>4545</v>
      </c>
      <c r="J114" s="3293" t="s">
        <v>4546</v>
      </c>
    </row>
    <row r="115" spans="1:10">
      <c r="A115" s="3293" t="s">
        <v>4450</v>
      </c>
      <c r="B115" s="3293" t="s">
        <v>4325</v>
      </c>
      <c r="C115" s="3293" t="s">
        <v>1327</v>
      </c>
      <c r="D115" s="3293" t="s">
        <v>1327</v>
      </c>
      <c r="E115" s="3293" t="s">
        <v>4327</v>
      </c>
      <c r="F115" s="3293" t="s">
        <v>4332</v>
      </c>
      <c r="G115" s="3293" t="s">
        <v>4323</v>
      </c>
      <c r="H115" s="3293" t="s">
        <v>4451</v>
      </c>
      <c r="I115" s="3293" t="s">
        <v>4547</v>
      </c>
      <c r="J115" s="3293" t="s">
        <v>4546</v>
      </c>
    </row>
    <row r="116" spans="1:10">
      <c r="A116" s="3293" t="s">
        <v>4450</v>
      </c>
      <c r="B116" s="3293" t="s">
        <v>4325</v>
      </c>
      <c r="C116" s="3293" t="s">
        <v>1327</v>
      </c>
      <c r="D116" s="3293" t="s">
        <v>1327</v>
      </c>
      <c r="E116" s="3293" t="s">
        <v>4327</v>
      </c>
      <c r="F116" s="3293" t="s">
        <v>4332</v>
      </c>
      <c r="G116" s="3293" t="s">
        <v>4323</v>
      </c>
      <c r="H116" s="3293" t="s">
        <v>4451</v>
      </c>
      <c r="I116" s="3293" t="s">
        <v>4548</v>
      </c>
      <c r="J116" s="3293" t="s">
        <v>4549</v>
      </c>
    </row>
    <row r="117" spans="1:10">
      <c r="A117" s="3293" t="s">
        <v>4450</v>
      </c>
      <c r="B117" s="3293" t="s">
        <v>4325</v>
      </c>
      <c r="C117" s="3293" t="s">
        <v>1327</v>
      </c>
      <c r="D117" s="3293" t="s">
        <v>1327</v>
      </c>
      <c r="E117" s="3293" t="s">
        <v>4327</v>
      </c>
      <c r="F117" s="3293" t="s">
        <v>4332</v>
      </c>
      <c r="G117" s="3293" t="s">
        <v>4323</v>
      </c>
      <c r="H117" s="3293" t="s">
        <v>4451</v>
      </c>
      <c r="I117" s="3293" t="s">
        <v>4550</v>
      </c>
      <c r="J117" s="3293" t="s">
        <v>4551</v>
      </c>
    </row>
    <row r="118" spans="1:10">
      <c r="A118" s="3293" t="s">
        <v>4450</v>
      </c>
      <c r="B118" s="3293" t="s">
        <v>4325</v>
      </c>
      <c r="C118" s="3293" t="s">
        <v>1327</v>
      </c>
      <c r="D118" s="3293" t="s">
        <v>1327</v>
      </c>
      <c r="E118" s="3293" t="s">
        <v>4327</v>
      </c>
      <c r="F118" s="3293" t="s">
        <v>4332</v>
      </c>
      <c r="G118" s="3293" t="s">
        <v>4323</v>
      </c>
      <c r="H118" s="3293" t="s">
        <v>4451</v>
      </c>
      <c r="I118" s="3293" t="s">
        <v>4552</v>
      </c>
      <c r="J118" s="3293" t="s">
        <v>4553</v>
      </c>
    </row>
    <row r="119" spans="1:10">
      <c r="A119" s="3293" t="s">
        <v>4450</v>
      </c>
      <c r="B119" s="3293" t="s">
        <v>4325</v>
      </c>
      <c r="C119" s="3293" t="s">
        <v>1327</v>
      </c>
      <c r="D119" s="3293" t="s">
        <v>1327</v>
      </c>
      <c r="E119" s="3293" t="s">
        <v>4327</v>
      </c>
      <c r="F119" s="3293" t="s">
        <v>4332</v>
      </c>
      <c r="G119" s="3293" t="s">
        <v>4323</v>
      </c>
      <c r="H119" s="3293" t="s">
        <v>4451</v>
      </c>
      <c r="I119" s="3293" t="s">
        <v>4554</v>
      </c>
      <c r="J119" s="3293" t="s">
        <v>4553</v>
      </c>
    </row>
    <row r="120" spans="1:10">
      <c r="A120" s="3293" t="s">
        <v>4450</v>
      </c>
      <c r="B120" s="3293" t="s">
        <v>4325</v>
      </c>
      <c r="C120" s="3293" t="s">
        <v>1327</v>
      </c>
      <c r="D120" s="3293" t="s">
        <v>1327</v>
      </c>
      <c r="E120" s="3293" t="s">
        <v>4327</v>
      </c>
      <c r="F120" s="3293" t="s">
        <v>4332</v>
      </c>
      <c r="G120" s="3293" t="s">
        <v>4323</v>
      </c>
      <c r="H120" s="3293" t="s">
        <v>4456</v>
      </c>
      <c r="I120" s="3293" t="s">
        <v>4498</v>
      </c>
      <c r="J120" s="3293" t="s">
        <v>4499</v>
      </c>
    </row>
    <row r="121" spans="1:10">
      <c r="A121" s="3293" t="s">
        <v>4450</v>
      </c>
      <c r="B121" s="3293" t="s">
        <v>4325</v>
      </c>
      <c r="C121" s="3293" t="s">
        <v>1327</v>
      </c>
      <c r="D121" s="3293" t="s">
        <v>1327</v>
      </c>
      <c r="E121" s="3293" t="s">
        <v>4327</v>
      </c>
      <c r="F121" s="3293" t="s">
        <v>4332</v>
      </c>
      <c r="G121" s="3293" t="s">
        <v>4323</v>
      </c>
      <c r="H121" s="3293" t="s">
        <v>4451</v>
      </c>
      <c r="I121" s="3293" t="s">
        <v>4555</v>
      </c>
      <c r="J121" s="3293" t="s">
        <v>4514</v>
      </c>
    </row>
    <row r="122" spans="1:10">
      <c r="A122" s="3293" t="s">
        <v>4450</v>
      </c>
      <c r="B122" s="3293" t="s">
        <v>4325</v>
      </c>
      <c r="C122" s="3293" t="s">
        <v>1327</v>
      </c>
      <c r="D122" s="3293" t="s">
        <v>1327</v>
      </c>
      <c r="E122" s="3293" t="s">
        <v>4327</v>
      </c>
      <c r="F122" s="3293" t="s">
        <v>4332</v>
      </c>
      <c r="G122" s="3293" t="s">
        <v>4323</v>
      </c>
      <c r="H122" s="3293" t="s">
        <v>4451</v>
      </c>
      <c r="I122" s="3293" t="s">
        <v>4556</v>
      </c>
      <c r="J122" s="3293" t="s">
        <v>4557</v>
      </c>
    </row>
    <row r="123" spans="1:10">
      <c r="A123" s="3293" t="s">
        <v>4450</v>
      </c>
      <c r="B123" s="3293" t="s">
        <v>4325</v>
      </c>
      <c r="C123" s="3293" t="s">
        <v>1327</v>
      </c>
      <c r="D123" s="3293" t="s">
        <v>1327</v>
      </c>
      <c r="E123" s="3293" t="s">
        <v>4327</v>
      </c>
      <c r="F123" s="3293" t="s">
        <v>4332</v>
      </c>
      <c r="G123" s="3293" t="s">
        <v>4323</v>
      </c>
      <c r="H123" s="3293" t="s">
        <v>4451</v>
      </c>
      <c r="I123" s="3293" t="s">
        <v>4558</v>
      </c>
      <c r="J123" s="3293" t="s">
        <v>4559</v>
      </c>
    </row>
    <row r="124" spans="1:10">
      <c r="A124" s="3293" t="s">
        <v>4450</v>
      </c>
      <c r="B124" s="3293" t="s">
        <v>4325</v>
      </c>
      <c r="C124" s="3293" t="s">
        <v>1327</v>
      </c>
      <c r="D124" s="3293" t="s">
        <v>1327</v>
      </c>
      <c r="E124" s="3293" t="s">
        <v>4327</v>
      </c>
      <c r="F124" s="3293" t="s">
        <v>4332</v>
      </c>
      <c r="G124" s="3293" t="s">
        <v>4323</v>
      </c>
      <c r="H124" s="3293" t="s">
        <v>4451</v>
      </c>
      <c r="I124" s="3293" t="s">
        <v>4560</v>
      </c>
      <c r="J124" s="3293" t="s">
        <v>4561</v>
      </c>
    </row>
    <row r="125" spans="1:10">
      <c r="A125" s="3293" t="s">
        <v>4450</v>
      </c>
      <c r="B125" s="3293" t="s">
        <v>4325</v>
      </c>
      <c r="C125" s="3293" t="s">
        <v>1327</v>
      </c>
      <c r="D125" s="3293" t="s">
        <v>1327</v>
      </c>
      <c r="E125" s="3293" t="s">
        <v>4327</v>
      </c>
      <c r="F125" s="3293" t="s">
        <v>4332</v>
      </c>
      <c r="G125" s="3293" t="s">
        <v>4323</v>
      </c>
      <c r="H125" s="3293" t="s">
        <v>4451</v>
      </c>
      <c r="I125" s="3293" t="s">
        <v>4562</v>
      </c>
      <c r="J125" s="3293" t="s">
        <v>4561</v>
      </c>
    </row>
    <row r="126" spans="1:10">
      <c r="A126" s="3293" t="s">
        <v>4450</v>
      </c>
      <c r="B126" s="3293" t="s">
        <v>4325</v>
      </c>
      <c r="C126" s="3293" t="s">
        <v>1327</v>
      </c>
      <c r="D126" s="3293" t="s">
        <v>1327</v>
      </c>
      <c r="E126" s="3293" t="s">
        <v>4327</v>
      </c>
      <c r="F126" s="3293" t="s">
        <v>4332</v>
      </c>
      <c r="G126" s="3293" t="s">
        <v>4323</v>
      </c>
      <c r="H126" s="3293" t="s">
        <v>4451</v>
      </c>
      <c r="I126" s="3293" t="s">
        <v>4563</v>
      </c>
      <c r="J126" s="3293" t="s">
        <v>4564</v>
      </c>
    </row>
    <row r="127" spans="1:10">
      <c r="A127" s="3293" t="s">
        <v>4450</v>
      </c>
      <c r="B127" s="3293" t="s">
        <v>4325</v>
      </c>
      <c r="C127" s="3293" t="s">
        <v>1327</v>
      </c>
      <c r="D127" s="3293" t="s">
        <v>1327</v>
      </c>
      <c r="E127" s="3293" t="s">
        <v>4327</v>
      </c>
      <c r="F127" s="3293" t="s">
        <v>4332</v>
      </c>
      <c r="G127" s="3293" t="s">
        <v>4323</v>
      </c>
      <c r="H127" s="3293" t="s">
        <v>4451</v>
      </c>
      <c r="I127" s="3293" t="s">
        <v>4565</v>
      </c>
      <c r="J127" s="3293" t="s">
        <v>4566</v>
      </c>
    </row>
    <row r="128" spans="1:10">
      <c r="A128" s="3293" t="s">
        <v>4450</v>
      </c>
      <c r="B128" s="3293" t="s">
        <v>4325</v>
      </c>
      <c r="C128" s="3293" t="s">
        <v>1327</v>
      </c>
      <c r="D128" s="3293" t="s">
        <v>1327</v>
      </c>
      <c r="E128" s="3293" t="s">
        <v>4327</v>
      </c>
      <c r="F128" s="3293" t="s">
        <v>4332</v>
      </c>
      <c r="G128" s="3293" t="s">
        <v>4323</v>
      </c>
      <c r="H128" s="3293" t="s">
        <v>4451</v>
      </c>
      <c r="I128" s="3293" t="s">
        <v>4567</v>
      </c>
      <c r="J128" s="3293" t="s">
        <v>4568</v>
      </c>
    </row>
    <row r="129" spans="1:10">
      <c r="A129" s="3293" t="s">
        <v>4450</v>
      </c>
      <c r="B129" s="3293" t="s">
        <v>4325</v>
      </c>
      <c r="C129" s="3293" t="s">
        <v>1327</v>
      </c>
      <c r="D129" s="3293" t="s">
        <v>1327</v>
      </c>
      <c r="E129" s="3293" t="s">
        <v>4327</v>
      </c>
      <c r="F129" s="3293" t="s">
        <v>4332</v>
      </c>
      <c r="G129" s="3293" t="s">
        <v>4323</v>
      </c>
      <c r="H129" s="3293" t="s">
        <v>4451</v>
      </c>
      <c r="I129" s="3293" t="s">
        <v>4569</v>
      </c>
      <c r="J129" s="3293" t="s">
        <v>4568</v>
      </c>
    </row>
    <row r="130" spans="1:10">
      <c r="A130" s="3293" t="s">
        <v>4450</v>
      </c>
      <c r="B130" s="3293" t="s">
        <v>4325</v>
      </c>
      <c r="C130" s="3293" t="s">
        <v>1327</v>
      </c>
      <c r="D130" s="3293" t="s">
        <v>1327</v>
      </c>
      <c r="E130" s="3293" t="s">
        <v>4327</v>
      </c>
      <c r="F130" s="3293" t="s">
        <v>4332</v>
      </c>
      <c r="G130" s="3293" t="s">
        <v>4323</v>
      </c>
      <c r="H130" s="3293" t="s">
        <v>4451</v>
      </c>
      <c r="I130" s="3293" t="s">
        <v>4570</v>
      </c>
      <c r="J130" s="3293" t="s">
        <v>4571</v>
      </c>
    </row>
    <row r="131" spans="1:10">
      <c r="A131" s="3293" t="s">
        <v>4450</v>
      </c>
      <c r="B131" s="3293" t="s">
        <v>4325</v>
      </c>
      <c r="C131" s="3293" t="s">
        <v>1327</v>
      </c>
      <c r="D131" s="3293" t="s">
        <v>1327</v>
      </c>
      <c r="E131" s="3293" t="s">
        <v>4327</v>
      </c>
      <c r="F131" s="3293" t="s">
        <v>4332</v>
      </c>
      <c r="G131" s="3293" t="s">
        <v>4323</v>
      </c>
      <c r="H131" s="3293" t="s">
        <v>4451</v>
      </c>
      <c r="I131" s="3293" t="s">
        <v>4572</v>
      </c>
      <c r="J131" s="3293" t="s">
        <v>4571</v>
      </c>
    </row>
    <row r="132" spans="1:10">
      <c r="A132" s="3293" t="s">
        <v>4450</v>
      </c>
      <c r="B132" s="3293" t="s">
        <v>4325</v>
      </c>
      <c r="C132" s="3293" t="s">
        <v>1327</v>
      </c>
      <c r="D132" s="3293" t="s">
        <v>1327</v>
      </c>
      <c r="E132" s="3293" t="s">
        <v>4327</v>
      </c>
      <c r="F132" s="3293" t="s">
        <v>4332</v>
      </c>
      <c r="G132" s="3293" t="s">
        <v>4323</v>
      </c>
      <c r="H132" s="3293" t="s">
        <v>4456</v>
      </c>
      <c r="I132" s="3293" t="s">
        <v>4573</v>
      </c>
      <c r="J132" s="3293" t="s">
        <v>4574</v>
      </c>
    </row>
    <row r="133" spans="1:10">
      <c r="A133" s="3293" t="s">
        <v>4450</v>
      </c>
      <c r="B133" s="3293" t="s">
        <v>4325</v>
      </c>
      <c r="C133" s="3293" t="s">
        <v>1327</v>
      </c>
      <c r="D133" s="3293" t="s">
        <v>1327</v>
      </c>
      <c r="E133" s="3293" t="s">
        <v>4327</v>
      </c>
      <c r="F133" s="3293" t="s">
        <v>4332</v>
      </c>
      <c r="G133" s="3293" t="s">
        <v>4323</v>
      </c>
      <c r="H133" s="3293" t="s">
        <v>4456</v>
      </c>
      <c r="I133" s="3293" t="s">
        <v>4573</v>
      </c>
      <c r="J133" s="3293" t="s">
        <v>4574</v>
      </c>
    </row>
    <row r="134" spans="1:10">
      <c r="A134" s="3293" t="s">
        <v>4450</v>
      </c>
      <c r="B134" s="3293" t="s">
        <v>4325</v>
      </c>
      <c r="C134" s="3293" t="s">
        <v>1327</v>
      </c>
      <c r="D134" s="3293" t="s">
        <v>1327</v>
      </c>
      <c r="E134" s="3293" t="s">
        <v>4327</v>
      </c>
      <c r="F134" s="3293" t="s">
        <v>4332</v>
      </c>
      <c r="G134" s="3293" t="s">
        <v>4323</v>
      </c>
      <c r="H134" s="3293" t="s">
        <v>4456</v>
      </c>
      <c r="I134" s="3293" t="s">
        <v>4575</v>
      </c>
      <c r="J134" s="3293" t="s">
        <v>4576</v>
      </c>
    </row>
    <row r="135" spans="1:10">
      <c r="A135" s="3293" t="s">
        <v>4450</v>
      </c>
      <c r="B135" s="3293" t="s">
        <v>4325</v>
      </c>
      <c r="C135" s="3293" t="s">
        <v>1327</v>
      </c>
      <c r="D135" s="3293" t="s">
        <v>1327</v>
      </c>
      <c r="E135" s="3293" t="s">
        <v>4327</v>
      </c>
      <c r="F135" s="3293" t="s">
        <v>4332</v>
      </c>
      <c r="G135" s="3293" t="s">
        <v>4323</v>
      </c>
      <c r="H135" s="3293" t="s">
        <v>4456</v>
      </c>
      <c r="I135" s="3293" t="s">
        <v>4575</v>
      </c>
      <c r="J135" s="3293" t="s">
        <v>4576</v>
      </c>
    </row>
    <row r="136" spans="1:10">
      <c r="A136" s="3293" t="s">
        <v>4450</v>
      </c>
      <c r="B136" s="3293" t="s">
        <v>4325</v>
      </c>
      <c r="C136" s="3293" t="s">
        <v>1327</v>
      </c>
      <c r="D136" s="3293" t="s">
        <v>1327</v>
      </c>
      <c r="E136" s="3293" t="s">
        <v>4327</v>
      </c>
      <c r="F136" s="3293" t="s">
        <v>4332</v>
      </c>
      <c r="G136" s="3293" t="s">
        <v>4323</v>
      </c>
      <c r="H136" s="3293" t="s">
        <v>4451</v>
      </c>
      <c r="I136" s="3293" t="s">
        <v>4577</v>
      </c>
      <c r="J136" s="3293" t="s">
        <v>4578</v>
      </c>
    </row>
    <row r="137" spans="1:10">
      <c r="A137" s="3293" t="s">
        <v>4450</v>
      </c>
      <c r="B137" s="3293" t="s">
        <v>4325</v>
      </c>
      <c r="C137" s="3293" t="s">
        <v>1327</v>
      </c>
      <c r="D137" s="3293" t="s">
        <v>1327</v>
      </c>
      <c r="E137" s="3293" t="s">
        <v>4327</v>
      </c>
      <c r="F137" s="3293" t="s">
        <v>4332</v>
      </c>
      <c r="G137" s="3293" t="s">
        <v>4323</v>
      </c>
      <c r="H137" s="3293" t="s">
        <v>4451</v>
      </c>
      <c r="I137" s="3293" t="s">
        <v>4579</v>
      </c>
      <c r="J137" s="3293" t="s">
        <v>4578</v>
      </c>
    </row>
    <row r="138" spans="1:10">
      <c r="A138" s="3293" t="s">
        <v>4450</v>
      </c>
      <c r="B138" s="3293" t="s">
        <v>4325</v>
      </c>
      <c r="C138" s="3293" t="s">
        <v>1327</v>
      </c>
      <c r="D138" s="3293" t="s">
        <v>1327</v>
      </c>
      <c r="E138" s="3293" t="s">
        <v>4327</v>
      </c>
      <c r="F138" s="3293" t="s">
        <v>4332</v>
      </c>
      <c r="G138" s="3293" t="s">
        <v>4323</v>
      </c>
      <c r="H138" s="3293" t="s">
        <v>4451</v>
      </c>
      <c r="I138" s="3293" t="s">
        <v>4580</v>
      </c>
      <c r="J138" s="3293" t="s">
        <v>4581</v>
      </c>
    </row>
    <row r="139" spans="1:10">
      <c r="A139" s="3293" t="s">
        <v>4450</v>
      </c>
      <c r="B139" s="3293" t="s">
        <v>4325</v>
      </c>
      <c r="C139" s="3293" t="s">
        <v>1327</v>
      </c>
      <c r="D139" s="3293" t="s">
        <v>1327</v>
      </c>
      <c r="E139" s="3293" t="s">
        <v>4327</v>
      </c>
      <c r="F139" s="3293" t="s">
        <v>4332</v>
      </c>
      <c r="G139" s="3293" t="s">
        <v>4323</v>
      </c>
      <c r="H139" s="3293" t="s">
        <v>4451</v>
      </c>
      <c r="I139" s="3293" t="s">
        <v>4582</v>
      </c>
      <c r="J139" s="3293" t="s">
        <v>4581</v>
      </c>
    </row>
    <row r="140" spans="1:10">
      <c r="A140" s="3293" t="s">
        <v>4450</v>
      </c>
      <c r="B140" s="3293" t="s">
        <v>4325</v>
      </c>
      <c r="C140" s="3293" t="s">
        <v>1327</v>
      </c>
      <c r="D140" s="3293" t="s">
        <v>1327</v>
      </c>
      <c r="E140" s="3293" t="s">
        <v>4327</v>
      </c>
      <c r="F140" s="3293" t="s">
        <v>4332</v>
      </c>
      <c r="G140" s="3293" t="s">
        <v>4323</v>
      </c>
      <c r="H140" s="3293" t="s">
        <v>4451</v>
      </c>
      <c r="I140" s="3293" t="s">
        <v>4583</v>
      </c>
      <c r="J140" s="3293" t="s">
        <v>4584</v>
      </c>
    </row>
    <row r="141" spans="1:10">
      <c r="A141" s="3293" t="s">
        <v>4450</v>
      </c>
      <c r="B141" s="3293" t="s">
        <v>4325</v>
      </c>
      <c r="C141" s="3293" t="s">
        <v>1327</v>
      </c>
      <c r="D141" s="3293" t="s">
        <v>1327</v>
      </c>
      <c r="E141" s="3293" t="s">
        <v>4327</v>
      </c>
      <c r="F141" s="3293" t="s">
        <v>4332</v>
      </c>
      <c r="G141" s="3293" t="s">
        <v>4323</v>
      </c>
      <c r="H141" s="3293" t="s">
        <v>4451</v>
      </c>
      <c r="I141" s="3293" t="s">
        <v>4585</v>
      </c>
      <c r="J141" s="3293" t="s">
        <v>4584</v>
      </c>
    </row>
    <row r="142" spans="1:10">
      <c r="A142" s="3293" t="s">
        <v>4450</v>
      </c>
      <c r="B142" s="3293" t="s">
        <v>4325</v>
      </c>
      <c r="C142" s="3293" t="s">
        <v>1327</v>
      </c>
      <c r="D142" s="3293" t="s">
        <v>1327</v>
      </c>
      <c r="E142" s="3293" t="s">
        <v>4327</v>
      </c>
      <c r="F142" s="3293" t="s">
        <v>4332</v>
      </c>
      <c r="G142" s="3293" t="s">
        <v>4323</v>
      </c>
      <c r="H142" s="3293" t="s">
        <v>4451</v>
      </c>
      <c r="I142" s="3293" t="s">
        <v>4586</v>
      </c>
      <c r="J142" s="3293" t="s">
        <v>4587</v>
      </c>
    </row>
    <row r="143" spans="1:10">
      <c r="A143" s="3293" t="s">
        <v>4450</v>
      </c>
      <c r="B143" s="3293" t="s">
        <v>4325</v>
      </c>
      <c r="C143" s="3293" t="s">
        <v>1327</v>
      </c>
      <c r="D143" s="3293" t="s">
        <v>1327</v>
      </c>
      <c r="E143" s="3293" t="s">
        <v>4327</v>
      </c>
      <c r="F143" s="3293" t="s">
        <v>4332</v>
      </c>
      <c r="G143" s="3293" t="s">
        <v>4323</v>
      </c>
      <c r="H143" s="3293" t="s">
        <v>4451</v>
      </c>
      <c r="I143" s="3293" t="s">
        <v>4588</v>
      </c>
      <c r="J143" s="3293" t="s">
        <v>4587</v>
      </c>
    </row>
    <row r="144" spans="1:10">
      <c r="A144" s="3293" t="s">
        <v>4450</v>
      </c>
      <c r="B144" s="3293" t="s">
        <v>4325</v>
      </c>
      <c r="C144" s="3293" t="s">
        <v>1327</v>
      </c>
      <c r="D144" s="3293" t="s">
        <v>1327</v>
      </c>
      <c r="E144" s="3293" t="s">
        <v>4327</v>
      </c>
      <c r="F144" s="3293" t="s">
        <v>4332</v>
      </c>
      <c r="G144" s="3293" t="s">
        <v>4323</v>
      </c>
      <c r="H144" s="3293" t="s">
        <v>4451</v>
      </c>
      <c r="I144" s="3293" t="s">
        <v>4589</v>
      </c>
      <c r="J144" s="3293" t="s">
        <v>4590</v>
      </c>
    </row>
    <row r="145" spans="1:10">
      <c r="A145" s="3293" t="s">
        <v>4450</v>
      </c>
      <c r="B145" s="3293" t="s">
        <v>4325</v>
      </c>
      <c r="C145" s="3293" t="s">
        <v>1327</v>
      </c>
      <c r="D145" s="3293" t="s">
        <v>1327</v>
      </c>
      <c r="E145" s="3293" t="s">
        <v>4327</v>
      </c>
      <c r="F145" s="3293" t="s">
        <v>4332</v>
      </c>
      <c r="G145" s="3293" t="s">
        <v>4323</v>
      </c>
      <c r="H145" s="3293" t="s">
        <v>4451</v>
      </c>
      <c r="I145" s="3293" t="s">
        <v>4591</v>
      </c>
      <c r="J145" s="3293" t="s">
        <v>4590</v>
      </c>
    </row>
    <row r="146" spans="1:10">
      <c r="A146" s="3293" t="s">
        <v>4592</v>
      </c>
      <c r="B146" s="3293" t="s">
        <v>4325</v>
      </c>
      <c r="C146" s="3293" t="s">
        <v>1327</v>
      </c>
      <c r="D146" s="3293" t="s">
        <v>1327</v>
      </c>
      <c r="E146" s="3293" t="s">
        <v>4327</v>
      </c>
      <c r="F146" s="3293" t="s">
        <v>4332</v>
      </c>
      <c r="G146" s="3293" t="s">
        <v>4323</v>
      </c>
      <c r="H146" s="3293" t="s">
        <v>4333</v>
      </c>
      <c r="I146" s="3293" t="s">
        <v>4593</v>
      </c>
      <c r="J146" s="3293" t="s">
        <v>4594</v>
      </c>
    </row>
    <row r="147" spans="1:10">
      <c r="A147" s="3293" t="s">
        <v>4595</v>
      </c>
      <c r="B147" s="3293" t="s">
        <v>4325</v>
      </c>
      <c r="C147" s="3293" t="s">
        <v>1327</v>
      </c>
      <c r="D147" s="3293" t="s">
        <v>1327</v>
      </c>
      <c r="E147" s="3293" t="s">
        <v>4327</v>
      </c>
      <c r="F147" s="3293" t="s">
        <v>4332</v>
      </c>
      <c r="G147" s="3293" t="s">
        <v>4323</v>
      </c>
      <c r="H147" s="3293" t="s">
        <v>4348</v>
      </c>
      <c r="I147" s="3293" t="s">
        <v>4596</v>
      </c>
      <c r="J147" s="3293" t="s">
        <v>4597</v>
      </c>
    </row>
    <row r="148" spans="1:10">
      <c r="A148" s="3293" t="s">
        <v>4595</v>
      </c>
      <c r="B148" s="3293" t="s">
        <v>4325</v>
      </c>
      <c r="C148" s="3293" t="s">
        <v>1327</v>
      </c>
      <c r="D148" s="3293" t="s">
        <v>1327</v>
      </c>
      <c r="E148" s="3293" t="s">
        <v>4327</v>
      </c>
      <c r="F148" s="3293" t="s">
        <v>4332</v>
      </c>
      <c r="G148" s="3293" t="s">
        <v>4323</v>
      </c>
      <c r="H148" s="3293" t="s">
        <v>4348</v>
      </c>
      <c r="I148" s="3293" t="s">
        <v>4596</v>
      </c>
      <c r="J148" s="3293" t="s">
        <v>4597</v>
      </c>
    </row>
    <row r="149" spans="1:10">
      <c r="A149" s="3293" t="s">
        <v>4595</v>
      </c>
      <c r="B149" s="3293" t="s">
        <v>4325</v>
      </c>
      <c r="C149" s="3293" t="s">
        <v>1327</v>
      </c>
      <c r="D149" s="3293" t="s">
        <v>1327</v>
      </c>
      <c r="E149" s="3293" t="s">
        <v>4327</v>
      </c>
      <c r="F149" s="3293" t="s">
        <v>4332</v>
      </c>
      <c r="G149" s="3293" t="s">
        <v>4323</v>
      </c>
      <c r="H149" s="3293" t="s">
        <v>4333</v>
      </c>
      <c r="I149" s="3293" t="s">
        <v>4598</v>
      </c>
      <c r="J149" s="3293" t="s">
        <v>4599</v>
      </c>
    </row>
    <row r="150" spans="1:10">
      <c r="A150" s="3293" t="s">
        <v>4595</v>
      </c>
      <c r="B150" s="3293" t="s">
        <v>4325</v>
      </c>
      <c r="C150" s="3293" t="s">
        <v>1327</v>
      </c>
      <c r="D150" s="3293" t="s">
        <v>1327</v>
      </c>
      <c r="E150" s="3293" t="s">
        <v>4327</v>
      </c>
      <c r="F150" s="3293" t="s">
        <v>4332</v>
      </c>
      <c r="G150" s="3293" t="s">
        <v>4323</v>
      </c>
      <c r="H150" s="3293" t="s">
        <v>4333</v>
      </c>
      <c r="I150" s="3293" t="s">
        <v>4600</v>
      </c>
      <c r="J150" s="3293" t="s">
        <v>4601</v>
      </c>
    </row>
    <row r="151" spans="1:10">
      <c r="A151" s="3293" t="s">
        <v>4595</v>
      </c>
      <c r="B151" s="3293" t="s">
        <v>4325</v>
      </c>
      <c r="C151" s="3293" t="s">
        <v>1327</v>
      </c>
      <c r="D151" s="3293" t="s">
        <v>1327</v>
      </c>
      <c r="E151" s="3293" t="s">
        <v>4327</v>
      </c>
      <c r="F151" s="3293" t="s">
        <v>4332</v>
      </c>
      <c r="G151" s="3293" t="s">
        <v>4323</v>
      </c>
      <c r="H151" s="3293" t="s">
        <v>4333</v>
      </c>
      <c r="I151" s="3293" t="s">
        <v>4602</v>
      </c>
      <c r="J151" s="3293" t="s">
        <v>4603</v>
      </c>
    </row>
    <row r="152" spans="1:10">
      <c r="A152" s="3293" t="s">
        <v>4595</v>
      </c>
      <c r="B152" s="3293" t="s">
        <v>4325</v>
      </c>
      <c r="C152" s="3293" t="s">
        <v>1327</v>
      </c>
      <c r="D152" s="3293" t="s">
        <v>1327</v>
      </c>
      <c r="E152" s="3293" t="s">
        <v>4327</v>
      </c>
      <c r="F152" s="3293" t="s">
        <v>4332</v>
      </c>
      <c r="G152" s="3293" t="s">
        <v>4323</v>
      </c>
      <c r="H152" s="3293" t="s">
        <v>4333</v>
      </c>
      <c r="I152" s="3293" t="s">
        <v>4604</v>
      </c>
      <c r="J152" s="3293" t="s">
        <v>4605</v>
      </c>
    </row>
    <row r="153" spans="1:10">
      <c r="A153" s="3293" t="s">
        <v>4595</v>
      </c>
      <c r="B153" s="3293" t="s">
        <v>4325</v>
      </c>
      <c r="C153" s="3293" t="s">
        <v>1327</v>
      </c>
      <c r="D153" s="3293" t="s">
        <v>1327</v>
      </c>
      <c r="E153" s="3293" t="s">
        <v>4327</v>
      </c>
      <c r="F153" s="3293" t="s">
        <v>4332</v>
      </c>
      <c r="G153" s="3293" t="s">
        <v>4323</v>
      </c>
      <c r="H153" s="3293" t="s">
        <v>4348</v>
      </c>
      <c r="I153" s="3293" t="s">
        <v>4606</v>
      </c>
      <c r="J153" s="3293" t="s">
        <v>4607</v>
      </c>
    </row>
    <row r="154" spans="1:10">
      <c r="A154" s="3293" t="s">
        <v>4595</v>
      </c>
      <c r="B154" s="3293" t="s">
        <v>4325</v>
      </c>
      <c r="C154" s="3293" t="s">
        <v>1327</v>
      </c>
      <c r="D154" s="3293" t="s">
        <v>1327</v>
      </c>
      <c r="E154" s="3293" t="s">
        <v>4327</v>
      </c>
      <c r="F154" s="3293" t="s">
        <v>4332</v>
      </c>
      <c r="G154" s="3293" t="s">
        <v>4323</v>
      </c>
      <c r="H154" s="3293" t="s">
        <v>4348</v>
      </c>
      <c r="I154" s="3293" t="s">
        <v>4608</v>
      </c>
      <c r="J154" s="3293" t="s">
        <v>4534</v>
      </c>
    </row>
    <row r="155" spans="1:10">
      <c r="A155" s="3293" t="s">
        <v>4595</v>
      </c>
      <c r="B155" s="3293" t="s">
        <v>4325</v>
      </c>
      <c r="C155" s="3293" t="s">
        <v>1327</v>
      </c>
      <c r="D155" s="3293" t="s">
        <v>1327</v>
      </c>
      <c r="E155" s="3293" t="s">
        <v>4327</v>
      </c>
      <c r="F155" s="3293" t="s">
        <v>4332</v>
      </c>
      <c r="G155" s="3293" t="s">
        <v>4323</v>
      </c>
      <c r="H155" s="3293" t="s">
        <v>4348</v>
      </c>
      <c r="I155" s="3293" t="s">
        <v>4608</v>
      </c>
      <c r="J155" s="3293" t="s">
        <v>4534</v>
      </c>
    </row>
    <row r="156" spans="1:10">
      <c r="A156" s="3293" t="s">
        <v>4609</v>
      </c>
      <c r="B156" s="3293" t="s">
        <v>4325</v>
      </c>
      <c r="C156" s="3293" t="s">
        <v>1327</v>
      </c>
      <c r="D156" s="3293" t="s">
        <v>1327</v>
      </c>
      <c r="E156" s="3293" t="s">
        <v>4327</v>
      </c>
      <c r="F156" s="3293" t="s">
        <v>4332</v>
      </c>
      <c r="G156" s="3293" t="s">
        <v>4323</v>
      </c>
      <c r="H156" s="3293" t="s">
        <v>4333</v>
      </c>
      <c r="I156" s="3293" t="s">
        <v>4610</v>
      </c>
      <c r="J156" s="3293" t="s">
        <v>4611</v>
      </c>
    </row>
    <row r="157" spans="1:10">
      <c r="A157" s="3293" t="s">
        <v>4612</v>
      </c>
      <c r="B157" s="3293" t="s">
        <v>4325</v>
      </c>
      <c r="C157" s="3293" t="s">
        <v>1327</v>
      </c>
      <c r="D157" s="3293" t="s">
        <v>1327</v>
      </c>
      <c r="E157" s="3293" t="s">
        <v>4327</v>
      </c>
      <c r="F157" s="3293" t="s">
        <v>4332</v>
      </c>
      <c r="G157" s="3293" t="s">
        <v>4323</v>
      </c>
      <c r="H157" s="3293" t="s">
        <v>4348</v>
      </c>
      <c r="I157" s="3293" t="s">
        <v>4613</v>
      </c>
      <c r="J157" s="3293" t="s">
        <v>4614</v>
      </c>
    </row>
    <row r="158" spans="1:10">
      <c r="A158" s="3293" t="s">
        <v>4612</v>
      </c>
      <c r="B158" s="3293" t="s">
        <v>4325</v>
      </c>
      <c r="C158" s="3293" t="s">
        <v>1327</v>
      </c>
      <c r="D158" s="3293" t="s">
        <v>1327</v>
      </c>
      <c r="E158" s="3293" t="s">
        <v>4327</v>
      </c>
      <c r="F158" s="3293" t="s">
        <v>4332</v>
      </c>
      <c r="G158" s="3293" t="s">
        <v>4323</v>
      </c>
      <c r="H158" s="3293" t="s">
        <v>4333</v>
      </c>
      <c r="I158" s="3293" t="s">
        <v>4580</v>
      </c>
      <c r="J158" s="3293" t="s">
        <v>4615</v>
      </c>
    </row>
    <row r="159" spans="1:10">
      <c r="A159" s="3293" t="s">
        <v>4616</v>
      </c>
      <c r="B159" s="3293" t="s">
        <v>4325</v>
      </c>
      <c r="C159" s="3293" t="s">
        <v>1327</v>
      </c>
      <c r="D159" s="3293" t="s">
        <v>1327</v>
      </c>
      <c r="E159" s="3293" t="s">
        <v>4327</v>
      </c>
      <c r="F159" s="3293" t="s">
        <v>1373</v>
      </c>
      <c r="G159" s="3293" t="s">
        <v>4323</v>
      </c>
      <c r="H159" s="3293" t="s">
        <v>4348</v>
      </c>
      <c r="I159" s="3293" t="s">
        <v>4617</v>
      </c>
      <c r="J159" s="3293" t="s">
        <v>4618</v>
      </c>
    </row>
    <row r="160" spans="1:10">
      <c r="A160" s="3293" t="s">
        <v>4619</v>
      </c>
      <c r="B160" s="3293" t="s">
        <v>4325</v>
      </c>
      <c r="C160" s="3293" t="s">
        <v>1327</v>
      </c>
      <c r="D160" s="3293" t="s">
        <v>1327</v>
      </c>
      <c r="E160" s="3293" t="s">
        <v>4327</v>
      </c>
      <c r="F160" s="3293" t="s">
        <v>4332</v>
      </c>
      <c r="G160" s="3293" t="s">
        <v>4323</v>
      </c>
      <c r="H160" s="3293" t="s">
        <v>4348</v>
      </c>
      <c r="I160" s="3293" t="s">
        <v>4620</v>
      </c>
      <c r="J160" s="3293" t="s">
        <v>4621</v>
      </c>
    </row>
    <row r="161" spans="1:10">
      <c r="A161" s="3293" t="s">
        <v>4619</v>
      </c>
      <c r="B161" s="3293" t="s">
        <v>4325</v>
      </c>
      <c r="C161" s="3293" t="s">
        <v>1327</v>
      </c>
      <c r="D161" s="3293" t="s">
        <v>1327</v>
      </c>
      <c r="E161" s="3293" t="s">
        <v>4327</v>
      </c>
      <c r="F161" s="3293" t="s">
        <v>4332</v>
      </c>
      <c r="G161" s="3293" t="s">
        <v>4323</v>
      </c>
      <c r="H161" s="3293" t="s">
        <v>4348</v>
      </c>
      <c r="I161" s="3293" t="s">
        <v>4620</v>
      </c>
      <c r="J161" s="3293" t="s">
        <v>4621</v>
      </c>
    </row>
    <row r="162" spans="1:10">
      <c r="A162" s="3293" t="s">
        <v>4619</v>
      </c>
      <c r="B162" s="3293" t="s">
        <v>4325</v>
      </c>
      <c r="C162" s="3293" t="s">
        <v>1327</v>
      </c>
      <c r="D162" s="3293" t="s">
        <v>1327</v>
      </c>
      <c r="E162" s="3293" t="s">
        <v>4327</v>
      </c>
      <c r="F162" s="3293" t="s">
        <v>4332</v>
      </c>
      <c r="G162" s="3293" t="s">
        <v>4323</v>
      </c>
      <c r="H162" s="3293" t="s">
        <v>4333</v>
      </c>
      <c r="I162" s="3293" t="s">
        <v>4622</v>
      </c>
      <c r="J162" s="3293" t="s">
        <v>4623</v>
      </c>
    </row>
    <row r="163" spans="1:10">
      <c r="A163" s="3293" t="s">
        <v>4619</v>
      </c>
      <c r="B163" s="3293" t="s">
        <v>4325</v>
      </c>
      <c r="C163" s="3293" t="s">
        <v>1327</v>
      </c>
      <c r="D163" s="3293" t="s">
        <v>1327</v>
      </c>
      <c r="E163" s="3293" t="s">
        <v>4327</v>
      </c>
      <c r="F163" s="3293" t="s">
        <v>4332</v>
      </c>
      <c r="G163" s="3293" t="s">
        <v>4323</v>
      </c>
      <c r="H163" s="3293" t="s">
        <v>4333</v>
      </c>
      <c r="I163" s="3293" t="s">
        <v>4624</v>
      </c>
      <c r="J163" s="3293" t="s">
        <v>4625</v>
      </c>
    </row>
    <row r="164" spans="1:10">
      <c r="A164" s="3293" t="s">
        <v>4619</v>
      </c>
      <c r="B164" s="3293" t="s">
        <v>4325</v>
      </c>
      <c r="C164" s="3293" t="s">
        <v>1327</v>
      </c>
      <c r="D164" s="3293" t="s">
        <v>1327</v>
      </c>
      <c r="E164" s="3293" t="s">
        <v>4327</v>
      </c>
      <c r="F164" s="3293" t="s">
        <v>4332</v>
      </c>
      <c r="G164" s="3293" t="s">
        <v>4323</v>
      </c>
      <c r="H164" s="3293" t="s">
        <v>4348</v>
      </c>
      <c r="I164" s="3293" t="s">
        <v>4626</v>
      </c>
      <c r="J164" s="3293" t="s">
        <v>4627</v>
      </c>
    </row>
    <row r="165" spans="1:10">
      <c r="A165" s="3293" t="s">
        <v>4628</v>
      </c>
      <c r="B165" s="3293" t="s">
        <v>4325</v>
      </c>
      <c r="C165" s="3293" t="s">
        <v>1327</v>
      </c>
      <c r="D165" s="3293" t="s">
        <v>1327</v>
      </c>
      <c r="E165" s="3293" t="s">
        <v>4327</v>
      </c>
      <c r="F165" s="3293" t="s">
        <v>4332</v>
      </c>
      <c r="G165" s="3293" t="s">
        <v>4323</v>
      </c>
      <c r="H165" s="3293" t="s">
        <v>4333</v>
      </c>
      <c r="I165" s="3293" t="s">
        <v>4629</v>
      </c>
      <c r="J165" s="3293" t="s">
        <v>4630</v>
      </c>
    </row>
    <row r="166" spans="1:10">
      <c r="A166" s="3293" t="s">
        <v>4628</v>
      </c>
      <c r="B166" s="3293" t="s">
        <v>4325</v>
      </c>
      <c r="C166" s="3293" t="s">
        <v>1327</v>
      </c>
      <c r="D166" s="3293" t="s">
        <v>1327</v>
      </c>
      <c r="E166" s="3293" t="s">
        <v>4327</v>
      </c>
      <c r="F166" s="3293" t="s">
        <v>4332</v>
      </c>
      <c r="G166" s="3293" t="s">
        <v>4323</v>
      </c>
      <c r="H166" s="3293" t="s">
        <v>4348</v>
      </c>
      <c r="I166" s="3293" t="s">
        <v>4631</v>
      </c>
      <c r="J166" s="3293" t="s">
        <v>4632</v>
      </c>
    </row>
    <row r="167" spans="1:10">
      <c r="A167" s="3293" t="s">
        <v>4633</v>
      </c>
      <c r="B167" s="3293" t="s">
        <v>4325</v>
      </c>
      <c r="C167" s="3293" t="s">
        <v>1327</v>
      </c>
      <c r="D167" s="3293" t="s">
        <v>1327</v>
      </c>
      <c r="E167" s="3293" t="s">
        <v>4327</v>
      </c>
      <c r="F167" s="3293" t="s">
        <v>4332</v>
      </c>
      <c r="G167" s="3293" t="s">
        <v>4323</v>
      </c>
      <c r="H167" s="3293" t="s">
        <v>4333</v>
      </c>
      <c r="I167" s="3293" t="s">
        <v>4634</v>
      </c>
      <c r="J167" s="3293" t="s">
        <v>4635</v>
      </c>
    </row>
    <row r="168" spans="1:10">
      <c r="A168" s="3293" t="s">
        <v>4633</v>
      </c>
      <c r="B168" s="3293" t="s">
        <v>4325</v>
      </c>
      <c r="C168" s="3293" t="s">
        <v>1327</v>
      </c>
      <c r="D168" s="3293" t="s">
        <v>1327</v>
      </c>
      <c r="E168" s="3293" t="s">
        <v>4327</v>
      </c>
      <c r="F168" s="3293" t="s">
        <v>4332</v>
      </c>
      <c r="G168" s="3293" t="s">
        <v>4323</v>
      </c>
      <c r="H168" s="3293" t="s">
        <v>4348</v>
      </c>
      <c r="I168" s="3293" t="s">
        <v>4606</v>
      </c>
      <c r="J168" s="3293" t="s">
        <v>4607</v>
      </c>
    </row>
    <row r="169" spans="1:10">
      <c r="A169" s="3293" t="s">
        <v>4636</v>
      </c>
      <c r="B169" s="3293" t="s">
        <v>4325</v>
      </c>
      <c r="C169" s="3293" t="s">
        <v>1327</v>
      </c>
      <c r="D169" s="3293" t="s">
        <v>4637</v>
      </c>
      <c r="E169" s="3293" t="s">
        <v>4327</v>
      </c>
      <c r="F169" s="3293" t="s">
        <v>1373</v>
      </c>
      <c r="G169" s="3293" t="s">
        <v>4323</v>
      </c>
      <c r="H169" s="3293" t="s">
        <v>4638</v>
      </c>
      <c r="I169" s="3293" t="s">
        <v>4639</v>
      </c>
      <c r="J169" s="3293" t="s">
        <v>4640</v>
      </c>
    </row>
    <row r="170" spans="1:10">
      <c r="A170" s="3293" t="s">
        <v>4636</v>
      </c>
      <c r="B170" s="3293" t="s">
        <v>4325</v>
      </c>
      <c r="C170" s="3293" t="s">
        <v>1327</v>
      </c>
      <c r="D170" s="3293" t="s">
        <v>4641</v>
      </c>
      <c r="E170" s="3293" t="s">
        <v>4327</v>
      </c>
      <c r="F170" s="3293" t="s">
        <v>1373</v>
      </c>
      <c r="G170" s="3293" t="s">
        <v>4323</v>
      </c>
      <c r="H170" s="3293" t="s">
        <v>4642</v>
      </c>
      <c r="I170" s="3293" t="s">
        <v>4643</v>
      </c>
      <c r="J170" s="3293" t="s">
        <v>4644</v>
      </c>
    </row>
    <row r="171" spans="1:10">
      <c r="A171" s="3293" t="s">
        <v>4636</v>
      </c>
      <c r="B171" s="3293" t="s">
        <v>4325</v>
      </c>
      <c r="C171" s="3293" t="s">
        <v>1327</v>
      </c>
      <c r="D171" s="3293" t="s">
        <v>4645</v>
      </c>
      <c r="E171" s="3293" t="s">
        <v>4327</v>
      </c>
      <c r="F171" s="3293" t="s">
        <v>4332</v>
      </c>
      <c r="G171" s="3293" t="s">
        <v>4323</v>
      </c>
      <c r="H171" s="3293" t="s">
        <v>4348</v>
      </c>
      <c r="I171" s="3293" t="s">
        <v>4631</v>
      </c>
      <c r="J171" s="3293" t="s">
        <v>4632</v>
      </c>
    </row>
    <row r="172" spans="1:10">
      <c r="A172" s="3293" t="s">
        <v>4646</v>
      </c>
      <c r="B172" s="3293" t="s">
        <v>4325</v>
      </c>
      <c r="C172" s="3293" t="s">
        <v>1327</v>
      </c>
      <c r="D172" s="3293" t="s">
        <v>4647</v>
      </c>
      <c r="E172" s="3293" t="s">
        <v>4327</v>
      </c>
      <c r="F172" s="3293" t="s">
        <v>4332</v>
      </c>
      <c r="G172" s="3293" t="s">
        <v>4323</v>
      </c>
      <c r="H172" s="3293" t="s">
        <v>4348</v>
      </c>
      <c r="I172" s="3293" t="s">
        <v>4648</v>
      </c>
      <c r="J172" s="3293" t="s">
        <v>4649</v>
      </c>
    </row>
    <row r="173" spans="1:10">
      <c r="A173" s="3293" t="s">
        <v>4650</v>
      </c>
      <c r="B173" s="3293" t="s">
        <v>4325</v>
      </c>
      <c r="C173" s="3293" t="s">
        <v>1327</v>
      </c>
      <c r="D173" s="3293" t="s">
        <v>4651</v>
      </c>
      <c r="E173" s="3293" t="s">
        <v>4327</v>
      </c>
      <c r="F173" s="3293" t="s">
        <v>4332</v>
      </c>
      <c r="G173" s="3293" t="s">
        <v>4323</v>
      </c>
      <c r="H173" s="3293" t="s">
        <v>4333</v>
      </c>
      <c r="I173" s="3293" t="s">
        <v>4652</v>
      </c>
      <c r="J173" s="3293" t="s">
        <v>4653</v>
      </c>
    </row>
    <row r="174" spans="1:10">
      <c r="A174" s="3293" t="s">
        <v>4650</v>
      </c>
      <c r="B174" s="3293" t="s">
        <v>4325</v>
      </c>
      <c r="C174" s="3293" t="s">
        <v>1327</v>
      </c>
      <c r="D174" s="3293" t="s">
        <v>4654</v>
      </c>
      <c r="E174" s="3293" t="s">
        <v>4327</v>
      </c>
      <c r="F174" s="3293" t="s">
        <v>4332</v>
      </c>
      <c r="G174" s="3293" t="s">
        <v>4323</v>
      </c>
      <c r="H174" s="3293" t="s">
        <v>4333</v>
      </c>
      <c r="I174" s="3293" t="s">
        <v>4655</v>
      </c>
      <c r="J174" s="3293" t="s">
        <v>4656</v>
      </c>
    </row>
    <row r="175" spans="1:10">
      <c r="A175" s="3293" t="s">
        <v>4650</v>
      </c>
      <c r="B175" s="3293" t="s">
        <v>4325</v>
      </c>
      <c r="C175" s="3293" t="s">
        <v>1327</v>
      </c>
      <c r="D175" s="3293" t="s">
        <v>4657</v>
      </c>
      <c r="E175" s="3293" t="s">
        <v>4327</v>
      </c>
      <c r="F175" s="3293" t="s">
        <v>4332</v>
      </c>
      <c r="G175" s="3293" t="s">
        <v>4323</v>
      </c>
      <c r="H175" s="3293" t="s">
        <v>4348</v>
      </c>
      <c r="I175" s="3293" t="s">
        <v>4658</v>
      </c>
      <c r="J175" s="3293" t="s">
        <v>4659</v>
      </c>
    </row>
    <row r="176" spans="1:10">
      <c r="A176" s="3293" t="s">
        <v>4650</v>
      </c>
      <c r="B176" s="3293" t="s">
        <v>4325</v>
      </c>
      <c r="C176" s="3293" t="s">
        <v>1327</v>
      </c>
      <c r="D176" s="3293" t="s">
        <v>4660</v>
      </c>
      <c r="E176" s="3293" t="s">
        <v>4327</v>
      </c>
      <c r="F176" s="3293" t="s">
        <v>4332</v>
      </c>
      <c r="G176" s="3293" t="s">
        <v>4323</v>
      </c>
      <c r="H176" s="3293" t="s">
        <v>4348</v>
      </c>
      <c r="I176" s="3293" t="s">
        <v>4658</v>
      </c>
      <c r="J176" s="3293" t="s">
        <v>4659</v>
      </c>
    </row>
    <row r="177" spans="1:10">
      <c r="A177" s="3293" t="s">
        <v>4661</v>
      </c>
      <c r="B177" s="3293" t="s">
        <v>4325</v>
      </c>
      <c r="C177" s="3293" t="s">
        <v>1327</v>
      </c>
      <c r="D177" s="3293" t="s">
        <v>4662</v>
      </c>
      <c r="E177" s="3293" t="s">
        <v>4327</v>
      </c>
      <c r="F177" s="3293" t="s">
        <v>4332</v>
      </c>
      <c r="G177" s="3293" t="s">
        <v>4323</v>
      </c>
      <c r="H177" s="3293" t="s">
        <v>4333</v>
      </c>
      <c r="I177" s="3293" t="s">
        <v>4663</v>
      </c>
      <c r="J177" s="3293" t="s">
        <v>4664</v>
      </c>
    </row>
    <row r="178" spans="1:10">
      <c r="A178" s="3293" t="s">
        <v>4665</v>
      </c>
      <c r="B178" s="3293" t="s">
        <v>4325</v>
      </c>
      <c r="C178" s="3293" t="s">
        <v>1327</v>
      </c>
      <c r="D178" s="3293" t="s">
        <v>4666</v>
      </c>
      <c r="E178" s="3293" t="s">
        <v>4327</v>
      </c>
      <c r="F178" s="3293" t="s">
        <v>1373</v>
      </c>
      <c r="G178" s="3293" t="s">
        <v>4323</v>
      </c>
      <c r="H178" s="3293" t="s">
        <v>4667</v>
      </c>
      <c r="I178" s="3293" t="s">
        <v>4668</v>
      </c>
      <c r="J178" s="3293" t="s">
        <v>4669</v>
      </c>
    </row>
    <row r="179" spans="1:10">
      <c r="A179" s="3293" t="s">
        <v>4665</v>
      </c>
      <c r="B179" s="3293" t="s">
        <v>4325</v>
      </c>
      <c r="C179" s="3293" t="s">
        <v>1327</v>
      </c>
      <c r="D179" s="3293" t="s">
        <v>4670</v>
      </c>
      <c r="E179" s="3293" t="s">
        <v>4327</v>
      </c>
      <c r="F179" s="3293" t="s">
        <v>1373</v>
      </c>
      <c r="G179" s="3293" t="s">
        <v>4323</v>
      </c>
      <c r="H179" s="3293" t="s">
        <v>4671</v>
      </c>
      <c r="I179" s="3293" t="s">
        <v>4672</v>
      </c>
      <c r="J179" s="3293" t="s">
        <v>4673</v>
      </c>
    </row>
    <row r="180" spans="1:10">
      <c r="A180" s="3293" t="s">
        <v>4674</v>
      </c>
      <c r="B180" s="3293" t="s">
        <v>4325</v>
      </c>
      <c r="C180" s="3293" t="s">
        <v>1327</v>
      </c>
      <c r="D180" s="3293" t="s">
        <v>4675</v>
      </c>
      <c r="E180" s="3293" t="s">
        <v>4327</v>
      </c>
      <c r="F180" s="3293" t="s">
        <v>1373</v>
      </c>
      <c r="G180" s="3293" t="s">
        <v>4323</v>
      </c>
      <c r="H180" s="3293" t="s">
        <v>4676</v>
      </c>
      <c r="I180" s="3293" t="s">
        <v>4677</v>
      </c>
      <c r="J180" s="3293" t="s">
        <v>4678</v>
      </c>
    </row>
    <row r="181" spans="1:10">
      <c r="A181" s="3293" t="s">
        <v>4679</v>
      </c>
      <c r="B181" s="3293" t="s">
        <v>4325</v>
      </c>
      <c r="C181" s="3293" t="s">
        <v>1327</v>
      </c>
      <c r="D181" s="3293" t="s">
        <v>4680</v>
      </c>
      <c r="E181" s="3293" t="s">
        <v>4327</v>
      </c>
      <c r="F181" s="3293" t="s">
        <v>1373</v>
      </c>
      <c r="G181" s="3293" t="s">
        <v>4323</v>
      </c>
      <c r="H181" s="3293" t="s">
        <v>4681</v>
      </c>
      <c r="I181" s="3293" t="s">
        <v>4682</v>
      </c>
      <c r="J181" s="3293" t="s">
        <v>4683</v>
      </c>
    </row>
    <row r="182" spans="1:10">
      <c r="A182" s="3293" t="s">
        <v>4684</v>
      </c>
      <c r="B182" s="3293" t="s">
        <v>4325</v>
      </c>
      <c r="C182" s="3293" t="s">
        <v>1327</v>
      </c>
      <c r="D182" s="3293" t="s">
        <v>4685</v>
      </c>
      <c r="E182" s="3293" t="s">
        <v>4327</v>
      </c>
      <c r="F182" s="3293" t="s">
        <v>1373</v>
      </c>
      <c r="G182" s="3293" t="s">
        <v>4323</v>
      </c>
      <c r="H182" s="3293" t="s">
        <v>4686</v>
      </c>
      <c r="I182" s="3293" t="s">
        <v>4687</v>
      </c>
      <c r="J182" s="3293" t="s">
        <v>4688</v>
      </c>
    </row>
    <row r="183" spans="1:10">
      <c r="A183" s="3293" t="s">
        <v>4684</v>
      </c>
      <c r="B183" s="3293" t="s">
        <v>4325</v>
      </c>
      <c r="C183" s="3293" t="s">
        <v>1327</v>
      </c>
      <c r="D183" s="3293" t="s">
        <v>4689</v>
      </c>
      <c r="E183" s="3293" t="s">
        <v>4327</v>
      </c>
      <c r="F183" s="3293" t="s">
        <v>1373</v>
      </c>
      <c r="G183" s="3293" t="s">
        <v>4323</v>
      </c>
      <c r="H183" s="3293" t="s">
        <v>4690</v>
      </c>
      <c r="I183" s="3293" t="s">
        <v>4691</v>
      </c>
      <c r="J183" s="3293" t="s">
        <v>4692</v>
      </c>
    </row>
    <row r="184" spans="1:10">
      <c r="A184" s="3293" t="s">
        <v>4684</v>
      </c>
      <c r="B184" s="3293" t="s">
        <v>4325</v>
      </c>
      <c r="C184" s="3293" t="s">
        <v>1327</v>
      </c>
      <c r="D184" s="3293" t="s">
        <v>4693</v>
      </c>
      <c r="E184" s="3293" t="s">
        <v>4327</v>
      </c>
      <c r="F184" s="3293" t="s">
        <v>1373</v>
      </c>
      <c r="G184" s="3293" t="s">
        <v>4323</v>
      </c>
      <c r="H184" s="3293" t="s">
        <v>4694</v>
      </c>
      <c r="I184" s="3293" t="s">
        <v>4695</v>
      </c>
      <c r="J184" s="3293" t="s">
        <v>4696</v>
      </c>
    </row>
    <row r="185" spans="1:10">
      <c r="A185" s="3293" t="s">
        <v>4684</v>
      </c>
      <c r="B185" s="3293" t="s">
        <v>4325</v>
      </c>
      <c r="C185" s="3293" t="s">
        <v>1327</v>
      </c>
      <c r="D185" s="3293" t="s">
        <v>4697</v>
      </c>
      <c r="E185" s="3293" t="s">
        <v>4327</v>
      </c>
      <c r="F185" s="3293" t="s">
        <v>1373</v>
      </c>
      <c r="G185" s="3293" t="s">
        <v>4323</v>
      </c>
      <c r="H185" s="3293" t="s">
        <v>4698</v>
      </c>
      <c r="I185" s="3293" t="s">
        <v>4699</v>
      </c>
      <c r="J185" s="3293" t="s">
        <v>4700</v>
      </c>
    </row>
    <row r="186" spans="1:10">
      <c r="A186" s="3293" t="s">
        <v>4684</v>
      </c>
      <c r="B186" s="3293" t="s">
        <v>4325</v>
      </c>
      <c r="C186" s="3293" t="s">
        <v>1327</v>
      </c>
      <c r="D186" s="3293" t="s">
        <v>4701</v>
      </c>
      <c r="E186" s="3293" t="s">
        <v>4327</v>
      </c>
      <c r="F186" s="3293" t="s">
        <v>4332</v>
      </c>
      <c r="G186" s="3293" t="s">
        <v>4323</v>
      </c>
      <c r="H186" s="3293" t="s">
        <v>4333</v>
      </c>
      <c r="I186" s="3293" t="s">
        <v>4702</v>
      </c>
      <c r="J186" s="3293" t="s">
        <v>4703</v>
      </c>
    </row>
    <row r="187" spans="1:10">
      <c r="A187" s="3293" t="s">
        <v>4704</v>
      </c>
      <c r="B187" s="3293" t="s">
        <v>4325</v>
      </c>
      <c r="C187" s="3293" t="s">
        <v>1327</v>
      </c>
      <c r="D187" s="3293" t="s">
        <v>4705</v>
      </c>
      <c r="E187" s="3293" t="s">
        <v>4327</v>
      </c>
      <c r="F187" s="3293" t="s">
        <v>1373</v>
      </c>
      <c r="G187" s="3293" t="s">
        <v>4323</v>
      </c>
      <c r="H187" s="3293" t="s">
        <v>4706</v>
      </c>
      <c r="I187" s="3293" t="s">
        <v>4707</v>
      </c>
      <c r="J187" s="3293" t="s">
        <v>4708</v>
      </c>
    </row>
    <row r="188" spans="1:10">
      <c r="A188" s="3293" t="s">
        <v>4709</v>
      </c>
      <c r="B188" s="3293" t="s">
        <v>4325</v>
      </c>
      <c r="C188" s="3293" t="s">
        <v>1327</v>
      </c>
      <c r="D188" s="3293" t="s">
        <v>4710</v>
      </c>
      <c r="E188" s="3293" t="s">
        <v>4327</v>
      </c>
      <c r="F188" s="3293" t="s">
        <v>4332</v>
      </c>
      <c r="G188" s="3293" t="s">
        <v>4323</v>
      </c>
      <c r="H188" s="3293" t="s">
        <v>4333</v>
      </c>
      <c r="I188" s="3293" t="s">
        <v>4711</v>
      </c>
      <c r="J188" s="3293" t="s">
        <v>4712</v>
      </c>
    </row>
    <row r="189" spans="1:10">
      <c r="A189" s="3293" t="s">
        <v>4709</v>
      </c>
      <c r="B189" s="3293" t="s">
        <v>4325</v>
      </c>
      <c r="C189" s="3293" t="s">
        <v>1327</v>
      </c>
      <c r="D189" s="3293" t="s">
        <v>4713</v>
      </c>
      <c r="E189" s="3293" t="s">
        <v>4327</v>
      </c>
      <c r="F189" s="3293" t="s">
        <v>4332</v>
      </c>
      <c r="G189" s="3293" t="s">
        <v>4323</v>
      </c>
      <c r="H189" s="3293" t="s">
        <v>4348</v>
      </c>
      <c r="I189" s="3293" t="s">
        <v>4714</v>
      </c>
      <c r="J189" s="3293" t="s">
        <v>4715</v>
      </c>
    </row>
    <row r="190" spans="1:10">
      <c r="A190" s="3293" t="s">
        <v>4709</v>
      </c>
      <c r="B190" s="3293" t="s">
        <v>4325</v>
      </c>
      <c r="C190" s="3293" t="s">
        <v>1327</v>
      </c>
      <c r="D190" s="3293" t="s">
        <v>4716</v>
      </c>
      <c r="E190" s="3293" t="s">
        <v>4327</v>
      </c>
      <c r="F190" s="3293" t="s">
        <v>4332</v>
      </c>
      <c r="G190" s="3293" t="s">
        <v>4323</v>
      </c>
      <c r="H190" s="3293" t="s">
        <v>4348</v>
      </c>
      <c r="I190" s="3293" t="s">
        <v>4714</v>
      </c>
      <c r="J190" s="3293" t="s">
        <v>4715</v>
      </c>
    </row>
    <row r="191" spans="1:10">
      <c r="A191" s="3293" t="s">
        <v>4709</v>
      </c>
      <c r="B191" s="3293" t="s">
        <v>4325</v>
      </c>
      <c r="C191" s="3293" t="s">
        <v>1327</v>
      </c>
      <c r="D191" s="3293" t="s">
        <v>4717</v>
      </c>
      <c r="E191" s="3293" t="s">
        <v>4327</v>
      </c>
      <c r="F191" s="3293" t="s">
        <v>1373</v>
      </c>
      <c r="G191" s="3293" t="s">
        <v>4323</v>
      </c>
      <c r="H191" s="3293" t="s">
        <v>4718</v>
      </c>
      <c r="I191" s="3293" t="s">
        <v>4719</v>
      </c>
      <c r="J191" s="3293" t="s">
        <v>4720</v>
      </c>
    </row>
    <row r="192" spans="1:10">
      <c r="A192" s="3293" t="s">
        <v>4721</v>
      </c>
      <c r="B192" s="3293" t="s">
        <v>4325</v>
      </c>
      <c r="C192" s="3293" t="s">
        <v>1327</v>
      </c>
      <c r="D192" s="3293" t="s">
        <v>4722</v>
      </c>
      <c r="E192" s="3293" t="s">
        <v>4327</v>
      </c>
      <c r="F192" s="3293" t="s">
        <v>4332</v>
      </c>
      <c r="G192" s="3293" t="s">
        <v>4323</v>
      </c>
      <c r="H192" s="3293" t="s">
        <v>4333</v>
      </c>
      <c r="I192" s="3293" t="s">
        <v>4723</v>
      </c>
      <c r="J192" s="3293" t="s">
        <v>4724</v>
      </c>
    </row>
    <row r="193" spans="1:10">
      <c r="A193" s="3293" t="s">
        <v>4721</v>
      </c>
      <c r="B193" s="3293" t="s">
        <v>4325</v>
      </c>
      <c r="C193" s="3293" t="s">
        <v>1327</v>
      </c>
      <c r="D193" s="3293" t="s">
        <v>4725</v>
      </c>
      <c r="E193" s="3293" t="s">
        <v>4327</v>
      </c>
      <c r="F193" s="3293" t="s">
        <v>4332</v>
      </c>
      <c r="G193" s="3293" t="s">
        <v>4323</v>
      </c>
      <c r="H193" s="3293" t="s">
        <v>4348</v>
      </c>
      <c r="I193" s="3293" t="s">
        <v>4726</v>
      </c>
      <c r="J193" s="3293" t="s">
        <v>4727</v>
      </c>
    </row>
    <row r="194" spans="1:10">
      <c r="A194" s="3293" t="s">
        <v>4728</v>
      </c>
      <c r="B194" s="3293" t="s">
        <v>4325</v>
      </c>
      <c r="C194" s="3293" t="s">
        <v>1327</v>
      </c>
      <c r="D194" s="3293" t="s">
        <v>4729</v>
      </c>
      <c r="E194" s="3293" t="s">
        <v>4327</v>
      </c>
      <c r="F194" s="3293" t="s">
        <v>4332</v>
      </c>
      <c r="G194" s="3293" t="s">
        <v>4323</v>
      </c>
      <c r="H194" s="3293" t="s">
        <v>4348</v>
      </c>
      <c r="I194" s="3293" t="s">
        <v>4730</v>
      </c>
      <c r="J194" s="3293" t="s">
        <v>4731</v>
      </c>
    </row>
    <row r="195" spans="1:10">
      <c r="A195" s="3293" t="s">
        <v>4728</v>
      </c>
      <c r="B195" s="3293" t="s">
        <v>4325</v>
      </c>
      <c r="C195" s="3293" t="s">
        <v>1327</v>
      </c>
      <c r="D195" s="3293" t="s">
        <v>4732</v>
      </c>
      <c r="E195" s="3293" t="s">
        <v>4327</v>
      </c>
      <c r="F195" s="3293" t="s">
        <v>4332</v>
      </c>
      <c r="G195" s="3293" t="s">
        <v>4323</v>
      </c>
      <c r="H195" s="3293" t="s">
        <v>4348</v>
      </c>
      <c r="I195" s="3293" t="s">
        <v>4733</v>
      </c>
      <c r="J195" s="3293" t="s">
        <v>4734</v>
      </c>
    </row>
    <row r="196" spans="1:10">
      <c r="A196" s="3293" t="s">
        <v>4735</v>
      </c>
      <c r="B196" s="3293" t="s">
        <v>4325</v>
      </c>
      <c r="C196" s="3293" t="s">
        <v>1327</v>
      </c>
      <c r="D196" s="3293" t="s">
        <v>4736</v>
      </c>
      <c r="E196" s="3293" t="s">
        <v>4327</v>
      </c>
      <c r="F196" s="3293" t="s">
        <v>1373</v>
      </c>
      <c r="G196" s="3293" t="s">
        <v>4323</v>
      </c>
      <c r="H196" s="3293" t="s">
        <v>4737</v>
      </c>
      <c r="I196" s="3293" t="s">
        <v>4738</v>
      </c>
      <c r="J196" s="3293" t="s">
        <v>4739</v>
      </c>
    </row>
    <row r="197" spans="1:10">
      <c r="A197" s="3293" t="s">
        <v>4735</v>
      </c>
      <c r="B197" s="3293" t="s">
        <v>4325</v>
      </c>
      <c r="C197" s="3293" t="s">
        <v>1327</v>
      </c>
      <c r="D197" s="3293" t="s">
        <v>4740</v>
      </c>
      <c r="E197" s="3293" t="s">
        <v>4327</v>
      </c>
      <c r="F197" s="3293" t="s">
        <v>4332</v>
      </c>
      <c r="G197" s="3293" t="s">
        <v>4323</v>
      </c>
      <c r="H197" s="3293" t="s">
        <v>4333</v>
      </c>
      <c r="I197" s="3293" t="s">
        <v>4741</v>
      </c>
      <c r="J197" s="3293" t="s">
        <v>4742</v>
      </c>
    </row>
    <row r="198" spans="1:10">
      <c r="A198" s="3293" t="s">
        <v>4743</v>
      </c>
      <c r="B198" s="3293" t="s">
        <v>4325</v>
      </c>
      <c r="C198" s="3293" t="s">
        <v>1327</v>
      </c>
      <c r="D198" s="3293" t="s">
        <v>4744</v>
      </c>
      <c r="E198" s="3293" t="s">
        <v>4327</v>
      </c>
      <c r="F198" s="3293" t="s">
        <v>4332</v>
      </c>
      <c r="G198" s="3293" t="s">
        <v>4323</v>
      </c>
      <c r="H198" s="3293" t="s">
        <v>4348</v>
      </c>
      <c r="I198" s="3293" t="s">
        <v>4745</v>
      </c>
      <c r="J198" s="3293" t="s">
        <v>4746</v>
      </c>
    </row>
    <row r="199" spans="1:10">
      <c r="A199" s="3293" t="s">
        <v>4743</v>
      </c>
      <c r="B199" s="3293" t="s">
        <v>4325</v>
      </c>
      <c r="C199" s="3293" t="s">
        <v>1327</v>
      </c>
      <c r="D199" s="3293" t="s">
        <v>4747</v>
      </c>
      <c r="E199" s="3293" t="s">
        <v>4327</v>
      </c>
      <c r="F199" s="3293" t="s">
        <v>4332</v>
      </c>
      <c r="G199" s="3293" t="s">
        <v>4323</v>
      </c>
      <c r="H199" s="3293" t="s">
        <v>4348</v>
      </c>
      <c r="I199" s="3293" t="s">
        <v>4745</v>
      </c>
      <c r="J199" s="3293" t="s">
        <v>4746</v>
      </c>
    </row>
    <row r="200" spans="1:10">
      <c r="A200" s="3293" t="s">
        <v>4743</v>
      </c>
      <c r="B200" s="3293" t="s">
        <v>4325</v>
      </c>
      <c r="C200" s="3293" t="s">
        <v>1327</v>
      </c>
      <c r="D200" s="3293" t="s">
        <v>4748</v>
      </c>
      <c r="E200" s="3293" t="s">
        <v>4327</v>
      </c>
      <c r="F200" s="3293" t="s">
        <v>4332</v>
      </c>
      <c r="G200" s="3293" t="s">
        <v>4323</v>
      </c>
      <c r="H200" s="3293" t="s">
        <v>4333</v>
      </c>
      <c r="I200" s="3293" t="s">
        <v>4749</v>
      </c>
      <c r="J200" s="3293" t="s">
        <v>4750</v>
      </c>
    </row>
    <row r="201" spans="1:10">
      <c r="A201" s="3293" t="s">
        <v>4743</v>
      </c>
      <c r="B201" s="3293" t="s">
        <v>4325</v>
      </c>
      <c r="C201" s="3293" t="s">
        <v>1327</v>
      </c>
      <c r="D201" s="3293" t="s">
        <v>4751</v>
      </c>
      <c r="E201" s="3293" t="s">
        <v>4327</v>
      </c>
      <c r="F201" s="3293" t="s">
        <v>4332</v>
      </c>
      <c r="G201" s="3293" t="s">
        <v>4323</v>
      </c>
      <c r="H201" s="3293" t="s">
        <v>4333</v>
      </c>
      <c r="I201" s="3293" t="s">
        <v>4752</v>
      </c>
      <c r="J201" s="3293" t="s">
        <v>4753</v>
      </c>
    </row>
    <row r="202" spans="1:10">
      <c r="A202" s="3293" t="s">
        <v>4754</v>
      </c>
      <c r="B202" s="3293" t="s">
        <v>4325</v>
      </c>
      <c r="C202" s="3293" t="s">
        <v>1327</v>
      </c>
      <c r="D202" s="3293" t="s">
        <v>4755</v>
      </c>
      <c r="E202" s="3293" t="s">
        <v>4327</v>
      </c>
      <c r="F202" s="3293" t="s">
        <v>1373</v>
      </c>
      <c r="G202" s="3293" t="s">
        <v>4323</v>
      </c>
      <c r="H202" s="3293" t="s">
        <v>4756</v>
      </c>
      <c r="I202" s="3293" t="s">
        <v>4757</v>
      </c>
      <c r="J202" s="3293" t="s">
        <v>4758</v>
      </c>
    </row>
    <row r="203" spans="1:10">
      <c r="A203" s="3293" t="s">
        <v>4754</v>
      </c>
      <c r="B203" s="3293" t="s">
        <v>4325</v>
      </c>
      <c r="C203" s="3293" t="s">
        <v>1327</v>
      </c>
      <c r="D203" s="3293" t="s">
        <v>4759</v>
      </c>
      <c r="E203" s="3293" t="s">
        <v>4327</v>
      </c>
      <c r="F203" s="3293" t="s">
        <v>1373</v>
      </c>
      <c r="G203" s="3293" t="s">
        <v>4323</v>
      </c>
      <c r="H203" s="3293" t="s">
        <v>4737</v>
      </c>
      <c r="I203" s="3293" t="s">
        <v>4760</v>
      </c>
      <c r="J203" s="3293" t="s">
        <v>4761</v>
      </c>
    </row>
    <row r="204" spans="1:10">
      <c r="A204" s="3293" t="s">
        <v>4762</v>
      </c>
      <c r="B204" s="3293" t="s">
        <v>4325</v>
      </c>
      <c r="C204" s="3293" t="s">
        <v>1327</v>
      </c>
      <c r="D204" s="3293" t="s">
        <v>4763</v>
      </c>
      <c r="E204" s="3293" t="s">
        <v>4327</v>
      </c>
      <c r="F204" s="3293" t="s">
        <v>1373</v>
      </c>
      <c r="G204" s="3293" t="s">
        <v>4323</v>
      </c>
      <c r="H204" s="3293" t="s">
        <v>4764</v>
      </c>
      <c r="I204" s="3293" t="s">
        <v>4765</v>
      </c>
      <c r="J204" s="3293" t="s">
        <v>4766</v>
      </c>
    </row>
    <row r="205" spans="1:10">
      <c r="A205" s="3293" t="s">
        <v>4762</v>
      </c>
      <c r="B205" s="3293" t="s">
        <v>4325</v>
      </c>
      <c r="C205" s="3293" t="s">
        <v>1327</v>
      </c>
      <c r="D205" s="3293" t="s">
        <v>4767</v>
      </c>
      <c r="E205" s="3293" t="s">
        <v>4327</v>
      </c>
      <c r="F205" s="3293" t="s">
        <v>1373</v>
      </c>
      <c r="G205" s="3293" t="s">
        <v>4323</v>
      </c>
      <c r="H205" s="3293" t="s">
        <v>4768</v>
      </c>
      <c r="I205" s="3293" t="s">
        <v>4769</v>
      </c>
      <c r="J205" s="3293" t="s">
        <v>4770</v>
      </c>
    </row>
    <row r="206" spans="1:10">
      <c r="A206" s="3293" t="s">
        <v>4771</v>
      </c>
      <c r="B206" s="3293" t="s">
        <v>4325</v>
      </c>
      <c r="C206" s="3293" t="s">
        <v>1327</v>
      </c>
      <c r="D206" s="3293" t="s">
        <v>4772</v>
      </c>
      <c r="E206" s="3293" t="s">
        <v>4327</v>
      </c>
      <c r="F206" s="3293" t="s">
        <v>1373</v>
      </c>
      <c r="G206" s="3293" t="s">
        <v>4323</v>
      </c>
      <c r="H206" s="3293" t="s">
        <v>4667</v>
      </c>
      <c r="I206" s="3293" t="s">
        <v>4773</v>
      </c>
      <c r="J206" s="3293" t="s">
        <v>4774</v>
      </c>
    </row>
    <row r="207" spans="1:10">
      <c r="A207" s="3293" t="s">
        <v>4775</v>
      </c>
      <c r="B207" s="3293" t="s">
        <v>4325</v>
      </c>
      <c r="C207" s="3293" t="s">
        <v>1327</v>
      </c>
      <c r="D207" s="3293" t="s">
        <v>4776</v>
      </c>
      <c r="E207" s="3293" t="s">
        <v>4327</v>
      </c>
      <c r="F207" s="3293" t="s">
        <v>1373</v>
      </c>
      <c r="G207" s="3293" t="s">
        <v>4323</v>
      </c>
      <c r="H207" s="3293" t="s">
        <v>4777</v>
      </c>
      <c r="I207" s="3293" t="s">
        <v>4778</v>
      </c>
      <c r="J207" s="3293" t="s">
        <v>4779</v>
      </c>
    </row>
    <row r="208" spans="1:10">
      <c r="A208" s="3293" t="s">
        <v>4020</v>
      </c>
      <c r="B208" s="3293" t="s">
        <v>4325</v>
      </c>
      <c r="C208" s="3293" t="s">
        <v>1327</v>
      </c>
      <c r="D208" s="3293" t="s">
        <v>4780</v>
      </c>
      <c r="E208" s="3293" t="s">
        <v>4327</v>
      </c>
      <c r="F208" s="3293" t="s">
        <v>1373</v>
      </c>
      <c r="G208" s="3293" t="s">
        <v>4323</v>
      </c>
      <c r="H208" s="3293" t="s">
        <v>4781</v>
      </c>
      <c r="I208" s="3293" t="s">
        <v>4782</v>
      </c>
      <c r="J208" s="3293" t="s">
        <v>4783</v>
      </c>
    </row>
    <row r="209" spans="1:10">
      <c r="A209" s="3293" t="s">
        <v>4020</v>
      </c>
      <c r="B209" s="3293" t="s">
        <v>4325</v>
      </c>
      <c r="C209" s="3293" t="s">
        <v>1327</v>
      </c>
      <c r="D209" s="3293" t="s">
        <v>4784</v>
      </c>
      <c r="E209" s="3293" t="s">
        <v>4327</v>
      </c>
      <c r="F209" s="3293" t="s">
        <v>1373</v>
      </c>
      <c r="G209" s="3293" t="s">
        <v>4323</v>
      </c>
      <c r="H209" s="3293" t="s">
        <v>4785</v>
      </c>
      <c r="I209" s="3293" t="s">
        <v>4786</v>
      </c>
      <c r="J209" s="3293" t="s">
        <v>4787</v>
      </c>
    </row>
    <row r="210" spans="1:10">
      <c r="A210" s="3293" t="s">
        <v>4020</v>
      </c>
      <c r="B210" s="3293" t="s">
        <v>4325</v>
      </c>
      <c r="C210" s="3293" t="s">
        <v>1327</v>
      </c>
      <c r="D210" s="3293" t="s">
        <v>4788</v>
      </c>
      <c r="E210" s="3293" t="s">
        <v>4327</v>
      </c>
      <c r="F210" s="3293" t="s">
        <v>1373</v>
      </c>
      <c r="G210" s="3293" t="s">
        <v>4323</v>
      </c>
      <c r="H210" s="3293" t="s">
        <v>4789</v>
      </c>
      <c r="I210" s="3293" t="s">
        <v>4790</v>
      </c>
      <c r="J210" s="3293" t="s">
        <v>4791</v>
      </c>
    </row>
    <row r="211" spans="1:10">
      <c r="A211" s="3293" t="s">
        <v>4020</v>
      </c>
      <c r="B211" s="3293" t="s">
        <v>4325</v>
      </c>
      <c r="C211" s="3293" t="s">
        <v>1327</v>
      </c>
      <c r="D211" s="3293" t="s">
        <v>4792</v>
      </c>
      <c r="E211" s="3293" t="s">
        <v>4327</v>
      </c>
      <c r="F211" s="3293" t="s">
        <v>1373</v>
      </c>
      <c r="G211" s="3293" t="s">
        <v>4323</v>
      </c>
      <c r="H211" s="3293" t="s">
        <v>4777</v>
      </c>
      <c r="I211" s="3293" t="s">
        <v>4793</v>
      </c>
      <c r="J211" s="3293" t="s">
        <v>4794</v>
      </c>
    </row>
    <row r="212" spans="1:10">
      <c r="A212" s="3293" t="s">
        <v>4020</v>
      </c>
      <c r="B212" s="3293" t="s">
        <v>4325</v>
      </c>
      <c r="C212" s="3293" t="s">
        <v>1327</v>
      </c>
      <c r="D212" s="3293" t="s">
        <v>4795</v>
      </c>
      <c r="E212" s="3293" t="s">
        <v>4327</v>
      </c>
      <c r="F212" s="3293" t="s">
        <v>1373</v>
      </c>
      <c r="G212" s="3293" t="s">
        <v>4323</v>
      </c>
      <c r="H212" s="3293" t="s">
        <v>4764</v>
      </c>
      <c r="I212" s="3293" t="s">
        <v>4796</v>
      </c>
      <c r="J212" s="3293" t="s">
        <v>4797</v>
      </c>
    </row>
    <row r="213" spans="1:10">
      <c r="A213" s="3293" t="s">
        <v>4020</v>
      </c>
      <c r="B213" s="3293" t="s">
        <v>4325</v>
      </c>
      <c r="C213" s="3293" t="s">
        <v>1327</v>
      </c>
      <c r="D213" s="3293" t="s">
        <v>4798</v>
      </c>
      <c r="E213" s="3293" t="s">
        <v>4327</v>
      </c>
      <c r="F213" s="3293" t="s">
        <v>1373</v>
      </c>
      <c r="G213" s="3293" t="s">
        <v>4323</v>
      </c>
      <c r="H213" s="3293" t="s">
        <v>4756</v>
      </c>
      <c r="I213" s="3293" t="s">
        <v>4799</v>
      </c>
      <c r="J213" s="3293" t="s">
        <v>4800</v>
      </c>
    </row>
    <row r="214" spans="1:10">
      <c r="A214" s="3293" t="s">
        <v>4801</v>
      </c>
      <c r="B214" s="3293" t="s">
        <v>4325</v>
      </c>
      <c r="C214" s="3293" t="s">
        <v>1327</v>
      </c>
      <c r="D214" s="3293" t="s">
        <v>4802</v>
      </c>
      <c r="E214" s="3293" t="s">
        <v>4327</v>
      </c>
      <c r="F214" s="3293" t="s">
        <v>1373</v>
      </c>
      <c r="G214" s="3293" t="s">
        <v>4323</v>
      </c>
      <c r="H214" s="3293" t="s">
        <v>4803</v>
      </c>
      <c r="I214" s="3293" t="s">
        <v>4804</v>
      </c>
      <c r="J214" s="3293" t="s">
        <v>4805</v>
      </c>
    </row>
    <row r="215" spans="1:10">
      <c r="A215" s="3293" t="s">
        <v>4801</v>
      </c>
      <c r="B215" s="3293" t="s">
        <v>4325</v>
      </c>
      <c r="C215" s="3293" t="s">
        <v>1327</v>
      </c>
      <c r="D215" s="3293" t="s">
        <v>4806</v>
      </c>
      <c r="E215" s="3293" t="s">
        <v>4327</v>
      </c>
      <c r="F215" s="3293" t="s">
        <v>1373</v>
      </c>
      <c r="G215" s="3293" t="s">
        <v>4323</v>
      </c>
      <c r="H215" s="3293" t="s">
        <v>4807</v>
      </c>
      <c r="I215" s="3293" t="s">
        <v>4808</v>
      </c>
      <c r="J215" s="3293" t="s">
        <v>4809</v>
      </c>
    </row>
    <row r="216" spans="1:10">
      <c r="A216" s="3293" t="s">
        <v>4801</v>
      </c>
      <c r="B216" s="3293" t="s">
        <v>4325</v>
      </c>
      <c r="C216" s="3293" t="s">
        <v>1327</v>
      </c>
      <c r="D216" s="3293" t="s">
        <v>4810</v>
      </c>
      <c r="E216" s="3293" t="s">
        <v>4327</v>
      </c>
      <c r="F216" s="3293" t="s">
        <v>1373</v>
      </c>
      <c r="G216" s="3293" t="s">
        <v>4323</v>
      </c>
      <c r="H216" s="3293" t="s">
        <v>4811</v>
      </c>
      <c r="I216" s="3293" t="s">
        <v>4812</v>
      </c>
      <c r="J216" s="3293" t="s">
        <v>4813</v>
      </c>
    </row>
    <row r="217" spans="1:10">
      <c r="A217" s="3293" t="s">
        <v>4814</v>
      </c>
      <c r="B217" s="3293" t="s">
        <v>4325</v>
      </c>
      <c r="C217" s="3293" t="s">
        <v>1327</v>
      </c>
      <c r="D217" s="3293" t="s">
        <v>4815</v>
      </c>
      <c r="E217" s="3293" t="s">
        <v>4327</v>
      </c>
      <c r="F217" s="3293" t="s">
        <v>1373</v>
      </c>
      <c r="G217" s="3293" t="s">
        <v>4323</v>
      </c>
      <c r="H217" s="3293" t="s">
        <v>4816</v>
      </c>
      <c r="I217" s="3293" t="s">
        <v>4817</v>
      </c>
      <c r="J217" s="3293" t="s">
        <v>4818</v>
      </c>
    </row>
    <row r="218" spans="1:10">
      <c r="A218" s="3293" t="s">
        <v>4819</v>
      </c>
      <c r="B218" s="3293" t="s">
        <v>4325</v>
      </c>
      <c r="C218" s="3293" t="s">
        <v>1327</v>
      </c>
      <c r="D218" s="3293" t="s">
        <v>4820</v>
      </c>
      <c r="E218" s="3293" t="s">
        <v>4327</v>
      </c>
      <c r="F218" s="3293" t="s">
        <v>1373</v>
      </c>
      <c r="G218" s="3293" t="s">
        <v>4323</v>
      </c>
      <c r="H218" s="3293" t="s">
        <v>4821</v>
      </c>
      <c r="I218" s="3293" t="s">
        <v>4822</v>
      </c>
      <c r="J218" s="3293" t="s">
        <v>4823</v>
      </c>
    </row>
    <row r="219" spans="1:10">
      <c r="A219" s="3293" t="s">
        <v>4824</v>
      </c>
      <c r="B219" s="3293" t="s">
        <v>4325</v>
      </c>
      <c r="C219" s="3293" t="s">
        <v>1327</v>
      </c>
      <c r="D219" s="3293" t="s">
        <v>4405</v>
      </c>
      <c r="E219" s="3293" t="s">
        <v>4327</v>
      </c>
      <c r="F219" s="3293" t="s">
        <v>1373</v>
      </c>
      <c r="G219" s="3293" t="s">
        <v>4323</v>
      </c>
      <c r="H219" s="3293" t="s">
        <v>4825</v>
      </c>
      <c r="I219" s="3293" t="s">
        <v>4826</v>
      </c>
      <c r="J219" s="3293" t="s">
        <v>4827</v>
      </c>
    </row>
    <row r="220" spans="1:10">
      <c r="A220" s="3293" t="s">
        <v>4828</v>
      </c>
      <c r="B220" s="3293" t="s">
        <v>4325</v>
      </c>
      <c r="C220" s="3293" t="s">
        <v>1327</v>
      </c>
      <c r="D220" s="3293" t="s">
        <v>4405</v>
      </c>
      <c r="E220" s="3293" t="s">
        <v>4327</v>
      </c>
      <c r="F220" s="3293" t="s">
        <v>1373</v>
      </c>
      <c r="G220" s="3293" t="s">
        <v>4323</v>
      </c>
      <c r="H220" s="3293" t="s">
        <v>4829</v>
      </c>
      <c r="I220" s="3293" t="s">
        <v>4830</v>
      </c>
      <c r="J220" s="3293" t="s">
        <v>4831</v>
      </c>
    </row>
    <row r="221" spans="1:10">
      <c r="A221" s="3293" t="s">
        <v>4828</v>
      </c>
      <c r="B221" s="3293" t="s">
        <v>4325</v>
      </c>
      <c r="C221" s="3293" t="s">
        <v>1327</v>
      </c>
      <c r="D221" s="3293" t="s">
        <v>4405</v>
      </c>
      <c r="E221" s="3293" t="s">
        <v>4327</v>
      </c>
      <c r="F221" s="3293" t="s">
        <v>1373</v>
      </c>
      <c r="G221" s="3293" t="s">
        <v>4323</v>
      </c>
      <c r="H221" s="3293" t="s">
        <v>4832</v>
      </c>
      <c r="I221" s="3293" t="s">
        <v>4833</v>
      </c>
      <c r="J221" s="3293" t="s">
        <v>4834</v>
      </c>
    </row>
    <row r="222" spans="1:10">
      <c r="A222" s="3293" t="s">
        <v>4835</v>
      </c>
      <c r="B222" s="3293" t="s">
        <v>4325</v>
      </c>
      <c r="C222" s="3293" t="s">
        <v>1327</v>
      </c>
      <c r="D222" s="3293" t="s">
        <v>4836</v>
      </c>
      <c r="E222" s="3293" t="s">
        <v>4327</v>
      </c>
      <c r="F222" s="3293" t="s">
        <v>1373</v>
      </c>
      <c r="G222" s="3293" t="s">
        <v>4323</v>
      </c>
      <c r="H222" s="3293" t="s">
        <v>4837</v>
      </c>
      <c r="I222" s="3293" t="s">
        <v>4838</v>
      </c>
      <c r="J222" s="3293" t="s">
        <v>4839</v>
      </c>
    </row>
    <row r="223" spans="1:10">
      <c r="A223" s="3293" t="s">
        <v>4840</v>
      </c>
      <c r="B223" s="3293" t="s">
        <v>4325</v>
      </c>
      <c r="C223" s="3293" t="s">
        <v>1327</v>
      </c>
      <c r="D223" s="3293" t="s">
        <v>4841</v>
      </c>
      <c r="E223" s="3293" t="s">
        <v>4327</v>
      </c>
      <c r="F223" s="3293" t="s">
        <v>1373</v>
      </c>
      <c r="G223" s="3293" t="s">
        <v>4323</v>
      </c>
      <c r="H223" s="3293" t="s">
        <v>4842</v>
      </c>
      <c r="I223" s="3293" t="s">
        <v>4843</v>
      </c>
      <c r="J223" s="3293" t="s">
        <v>4844</v>
      </c>
    </row>
    <row r="224" spans="1:10">
      <c r="A224" s="3293" t="s">
        <v>4845</v>
      </c>
      <c r="B224" s="3293" t="s">
        <v>4325</v>
      </c>
      <c r="C224" s="3293" t="s">
        <v>1327</v>
      </c>
      <c r="D224" s="3293" t="s">
        <v>4846</v>
      </c>
      <c r="E224" s="3293" t="s">
        <v>4327</v>
      </c>
      <c r="F224" s="3293" t="s">
        <v>1373</v>
      </c>
      <c r="G224" s="3293" t="s">
        <v>4323</v>
      </c>
      <c r="H224" s="3293" t="s">
        <v>4847</v>
      </c>
      <c r="I224" s="3293" t="s">
        <v>4848</v>
      </c>
      <c r="J224" s="3293" t="s">
        <v>4849</v>
      </c>
    </row>
    <row r="225" spans="1:10">
      <c r="A225" s="3293" t="s">
        <v>4845</v>
      </c>
      <c r="B225" s="3293" t="s">
        <v>4325</v>
      </c>
      <c r="C225" s="3293" t="s">
        <v>1327</v>
      </c>
      <c r="D225" s="3293" t="s">
        <v>4850</v>
      </c>
      <c r="E225" s="3293" t="s">
        <v>4327</v>
      </c>
      <c r="F225" s="3293" t="s">
        <v>1373</v>
      </c>
      <c r="G225" s="3293" t="s">
        <v>4323</v>
      </c>
      <c r="H225" s="3293" t="s">
        <v>4851</v>
      </c>
      <c r="I225" s="3293" t="s">
        <v>4852</v>
      </c>
      <c r="J225" s="3293" t="s">
        <v>4853</v>
      </c>
    </row>
    <row r="226" spans="1:10">
      <c r="A226" s="3293" t="s">
        <v>4845</v>
      </c>
      <c r="B226" s="3293" t="s">
        <v>4325</v>
      </c>
      <c r="C226" s="3293" t="s">
        <v>1327</v>
      </c>
      <c r="D226" s="3293" t="s">
        <v>4854</v>
      </c>
      <c r="E226" s="3293" t="s">
        <v>4327</v>
      </c>
      <c r="F226" s="3293" t="s">
        <v>1373</v>
      </c>
      <c r="G226" s="3293" t="s">
        <v>4323</v>
      </c>
      <c r="H226" s="3293" t="s">
        <v>4855</v>
      </c>
      <c r="I226" s="3293" t="s">
        <v>4856</v>
      </c>
      <c r="J226" s="3293" t="s">
        <v>4857</v>
      </c>
    </row>
    <row r="227" spans="1:10">
      <c r="A227" s="3293" t="s">
        <v>4845</v>
      </c>
      <c r="B227" s="3293" t="s">
        <v>4325</v>
      </c>
      <c r="C227" s="3293" t="s">
        <v>1327</v>
      </c>
      <c r="D227" s="3293" t="s">
        <v>4858</v>
      </c>
      <c r="E227" s="3293" t="s">
        <v>4327</v>
      </c>
      <c r="F227" s="3293" t="s">
        <v>1373</v>
      </c>
      <c r="G227" s="3293" t="s">
        <v>4323</v>
      </c>
      <c r="H227" s="3293" t="s">
        <v>4859</v>
      </c>
      <c r="I227" s="3293" t="s">
        <v>4860</v>
      </c>
      <c r="J227" s="3293" t="s">
        <v>4861</v>
      </c>
    </row>
    <row r="228" spans="1:10">
      <c r="A228" s="3293" t="s">
        <v>4845</v>
      </c>
      <c r="B228" s="3293" t="s">
        <v>4325</v>
      </c>
      <c r="C228" s="3293" t="s">
        <v>1327</v>
      </c>
      <c r="D228" s="3293" t="s">
        <v>4862</v>
      </c>
      <c r="E228" s="3293" t="s">
        <v>4327</v>
      </c>
      <c r="F228" s="3293" t="s">
        <v>1373</v>
      </c>
      <c r="G228" s="3293" t="s">
        <v>4323</v>
      </c>
      <c r="H228" s="3293" t="s">
        <v>4863</v>
      </c>
      <c r="I228" s="3293" t="s">
        <v>4864</v>
      </c>
      <c r="J228" s="3293" t="s">
        <v>4865</v>
      </c>
    </row>
    <row r="229" spans="1:10">
      <c r="A229" s="3293" t="s">
        <v>4866</v>
      </c>
      <c r="B229" s="3293" t="s">
        <v>4325</v>
      </c>
      <c r="C229" s="3293" t="s">
        <v>1327</v>
      </c>
      <c r="D229" s="3293" t="s">
        <v>4867</v>
      </c>
      <c r="E229" s="3293" t="s">
        <v>4327</v>
      </c>
      <c r="F229" s="3293" t="s">
        <v>1373</v>
      </c>
      <c r="G229" s="3293" t="s">
        <v>4323</v>
      </c>
      <c r="H229" s="3293" t="s">
        <v>4868</v>
      </c>
      <c r="I229" s="3293" t="s">
        <v>4869</v>
      </c>
      <c r="J229" s="3293" t="s">
        <v>4870</v>
      </c>
    </row>
    <row r="230" spans="1:10">
      <c r="A230" s="3293" t="s">
        <v>4866</v>
      </c>
      <c r="B230" s="3293" t="s">
        <v>4325</v>
      </c>
      <c r="C230" s="3293" t="s">
        <v>1327</v>
      </c>
      <c r="D230" s="3293" t="s">
        <v>4871</v>
      </c>
      <c r="E230" s="3293" t="s">
        <v>4327</v>
      </c>
      <c r="F230" s="3293" t="s">
        <v>1373</v>
      </c>
      <c r="G230" s="3293" t="s">
        <v>4323</v>
      </c>
      <c r="H230" s="3293" t="s">
        <v>4348</v>
      </c>
      <c r="I230" s="3293" t="s">
        <v>4872</v>
      </c>
      <c r="J230" s="3293" t="s">
        <v>4873</v>
      </c>
    </row>
    <row r="231" spans="1:10">
      <c r="A231" s="3293" t="s">
        <v>4866</v>
      </c>
      <c r="B231" s="3293" t="s">
        <v>4325</v>
      </c>
      <c r="C231" s="3293" t="s">
        <v>1327</v>
      </c>
      <c r="D231" s="3293" t="s">
        <v>4874</v>
      </c>
      <c r="E231" s="3293" t="s">
        <v>4327</v>
      </c>
      <c r="F231" s="3293" t="s">
        <v>1373</v>
      </c>
      <c r="G231" s="3293" t="s">
        <v>4323</v>
      </c>
      <c r="H231" s="3293" t="s">
        <v>4694</v>
      </c>
      <c r="I231" s="3293" t="s">
        <v>4875</v>
      </c>
      <c r="J231" s="3293" t="s">
        <v>4876</v>
      </c>
    </row>
    <row r="232" spans="1:10">
      <c r="A232" s="3293" t="s">
        <v>4866</v>
      </c>
      <c r="B232" s="3293" t="s">
        <v>4325</v>
      </c>
      <c r="C232" s="3293" t="s">
        <v>1327</v>
      </c>
      <c r="D232" s="3293" t="s">
        <v>4877</v>
      </c>
      <c r="E232" s="3293" t="s">
        <v>4327</v>
      </c>
      <c r="F232" s="3293" t="s">
        <v>1373</v>
      </c>
      <c r="G232" s="3293" t="s">
        <v>4323</v>
      </c>
      <c r="H232" s="3293" t="s">
        <v>4878</v>
      </c>
      <c r="I232" s="3293" t="s">
        <v>4879</v>
      </c>
      <c r="J232" s="3293" t="s">
        <v>4880</v>
      </c>
    </row>
    <row r="233" spans="1:10">
      <c r="A233" s="3293" t="s">
        <v>4866</v>
      </c>
      <c r="B233" s="3293" t="s">
        <v>4325</v>
      </c>
      <c r="C233" s="3293" t="s">
        <v>1327</v>
      </c>
      <c r="D233" s="3293" t="s">
        <v>4881</v>
      </c>
      <c r="E233" s="3293" t="s">
        <v>4327</v>
      </c>
      <c r="F233" s="3293" t="s">
        <v>1373</v>
      </c>
      <c r="G233" s="3293" t="s">
        <v>4323</v>
      </c>
      <c r="H233" s="3293" t="s">
        <v>4882</v>
      </c>
      <c r="I233" s="3293" t="s">
        <v>4883</v>
      </c>
      <c r="J233" s="3293" t="s">
        <v>4884</v>
      </c>
    </row>
    <row r="234" spans="1:10">
      <c r="A234" s="3293" t="s">
        <v>4866</v>
      </c>
      <c r="B234" s="3293" t="s">
        <v>4325</v>
      </c>
      <c r="C234" s="3293" t="s">
        <v>1327</v>
      </c>
      <c r="D234" s="3293" t="s">
        <v>4885</v>
      </c>
      <c r="E234" s="3293" t="s">
        <v>4327</v>
      </c>
      <c r="F234" s="3293" t="s">
        <v>1373</v>
      </c>
      <c r="G234" s="3293" t="s">
        <v>4323</v>
      </c>
      <c r="H234" s="3293" t="s">
        <v>4886</v>
      </c>
      <c r="I234" s="3293" t="s">
        <v>4887</v>
      </c>
      <c r="J234" s="3293" t="s">
        <v>4888</v>
      </c>
    </row>
    <row r="235" spans="1:10">
      <c r="A235" s="3293" t="s">
        <v>4866</v>
      </c>
      <c r="B235" s="3293" t="s">
        <v>4325</v>
      </c>
      <c r="C235" s="3293" t="s">
        <v>1327</v>
      </c>
      <c r="D235" s="3293" t="s">
        <v>4889</v>
      </c>
      <c r="E235" s="3293" t="s">
        <v>4327</v>
      </c>
      <c r="F235" s="3293" t="s">
        <v>1373</v>
      </c>
      <c r="G235" s="3293" t="s">
        <v>4323</v>
      </c>
      <c r="H235" s="3293" t="s">
        <v>4890</v>
      </c>
      <c r="I235" s="3293" t="s">
        <v>4891</v>
      </c>
      <c r="J235" s="3293" t="s">
        <v>4892</v>
      </c>
    </row>
    <row r="236" spans="1:10">
      <c r="A236" s="3293" t="s">
        <v>4866</v>
      </c>
      <c r="B236" s="3293" t="s">
        <v>4325</v>
      </c>
      <c r="C236" s="3293" t="s">
        <v>1327</v>
      </c>
      <c r="D236" s="3293" t="s">
        <v>4893</v>
      </c>
      <c r="E236" s="3293" t="s">
        <v>4327</v>
      </c>
      <c r="F236" s="3293" t="s">
        <v>1373</v>
      </c>
      <c r="G236" s="3293" t="s">
        <v>4323</v>
      </c>
      <c r="H236" s="3293" t="s">
        <v>4882</v>
      </c>
      <c r="I236" s="3293" t="s">
        <v>4894</v>
      </c>
      <c r="J236" s="3293" t="s">
        <v>4895</v>
      </c>
    </row>
    <row r="237" spans="1:10">
      <c r="A237" s="3293" t="s">
        <v>4896</v>
      </c>
      <c r="B237" s="3293" t="s">
        <v>4325</v>
      </c>
      <c r="C237" s="3293" t="s">
        <v>1327</v>
      </c>
      <c r="D237" s="3293" t="s">
        <v>4897</v>
      </c>
      <c r="E237" s="3293" t="s">
        <v>4327</v>
      </c>
      <c r="F237" s="3293" t="s">
        <v>1373</v>
      </c>
      <c r="G237" s="3293" t="s">
        <v>4323</v>
      </c>
      <c r="H237" s="3293" t="s">
        <v>4898</v>
      </c>
      <c r="I237" s="3293" t="s">
        <v>4899</v>
      </c>
      <c r="J237" s="3293" t="s">
        <v>4900</v>
      </c>
    </row>
    <row r="238" spans="1:10">
      <c r="A238" s="3293" t="s">
        <v>4896</v>
      </c>
      <c r="B238" s="3293" t="s">
        <v>4325</v>
      </c>
      <c r="C238" s="3293" t="s">
        <v>1327</v>
      </c>
      <c r="D238" s="3293" t="s">
        <v>4901</v>
      </c>
      <c r="E238" s="3293" t="s">
        <v>4327</v>
      </c>
      <c r="F238" s="3293" t="s">
        <v>1373</v>
      </c>
      <c r="G238" s="3293" t="s">
        <v>4323</v>
      </c>
      <c r="H238" s="3293" t="s">
        <v>4756</v>
      </c>
      <c r="I238" s="3293" t="s">
        <v>4902</v>
      </c>
      <c r="J238" s="3293" t="s">
        <v>4903</v>
      </c>
    </row>
    <row r="239" spans="1:10">
      <c r="A239" s="3293" t="s">
        <v>4896</v>
      </c>
      <c r="B239" s="3293" t="s">
        <v>4325</v>
      </c>
      <c r="C239" s="3293" t="s">
        <v>1327</v>
      </c>
      <c r="D239" s="3293" t="s">
        <v>4904</v>
      </c>
      <c r="E239" s="3293" t="s">
        <v>4327</v>
      </c>
      <c r="F239" s="3293" t="s">
        <v>1373</v>
      </c>
      <c r="G239" s="3293" t="s">
        <v>4323</v>
      </c>
      <c r="H239" s="3293" t="s">
        <v>4905</v>
      </c>
      <c r="I239" s="3293" t="s">
        <v>4906</v>
      </c>
      <c r="J239" s="3293" t="s">
        <v>4907</v>
      </c>
    </row>
    <row r="240" spans="1:10">
      <c r="A240" s="3293" t="s">
        <v>4896</v>
      </c>
      <c r="B240" s="3293" t="s">
        <v>4325</v>
      </c>
      <c r="C240" s="3293" t="s">
        <v>1327</v>
      </c>
      <c r="D240" s="3293" t="s">
        <v>4908</v>
      </c>
      <c r="E240" s="3293" t="s">
        <v>4327</v>
      </c>
      <c r="F240" s="3293" t="s">
        <v>1373</v>
      </c>
      <c r="G240" s="3293" t="s">
        <v>4323</v>
      </c>
      <c r="H240" s="3293" t="s">
        <v>4764</v>
      </c>
      <c r="I240" s="3293" t="s">
        <v>4909</v>
      </c>
      <c r="J240" s="3293" t="s">
        <v>4910</v>
      </c>
    </row>
    <row r="241" spans="1:10">
      <c r="A241" s="3293" t="s">
        <v>4911</v>
      </c>
      <c r="B241" s="3293" t="s">
        <v>4325</v>
      </c>
      <c r="C241" s="3293" t="s">
        <v>1327</v>
      </c>
      <c r="D241" s="3293" t="s">
        <v>4912</v>
      </c>
      <c r="E241" s="3293" t="s">
        <v>4327</v>
      </c>
      <c r="F241" s="3293" t="s">
        <v>1373</v>
      </c>
      <c r="G241" s="3293" t="s">
        <v>4323</v>
      </c>
      <c r="H241" s="3293" t="s">
        <v>4868</v>
      </c>
      <c r="I241" s="3293" t="s">
        <v>4913</v>
      </c>
      <c r="J241" s="3293" t="s">
        <v>4914</v>
      </c>
    </row>
    <row r="242" spans="1:10">
      <c r="A242" s="3293" t="s">
        <v>4915</v>
      </c>
      <c r="B242" s="3293" t="s">
        <v>4325</v>
      </c>
      <c r="C242" s="3293" t="s">
        <v>1327</v>
      </c>
      <c r="D242" s="3293" t="s">
        <v>4916</v>
      </c>
      <c r="E242" s="3293" t="s">
        <v>4327</v>
      </c>
      <c r="F242" s="3293" t="s">
        <v>1373</v>
      </c>
      <c r="G242" s="3293" t="s">
        <v>4323</v>
      </c>
      <c r="H242" s="3293" t="s">
        <v>4868</v>
      </c>
      <c r="I242" s="3293" t="s">
        <v>4917</v>
      </c>
      <c r="J242" s="3293" t="s">
        <v>4918</v>
      </c>
    </row>
    <row r="243" spans="1:10">
      <c r="A243" s="3293" t="s">
        <v>4915</v>
      </c>
      <c r="B243" s="3293" t="s">
        <v>4325</v>
      </c>
      <c r="C243" s="3293" t="s">
        <v>1327</v>
      </c>
      <c r="D243" s="3293" t="s">
        <v>4919</v>
      </c>
      <c r="E243" s="3293" t="s">
        <v>4327</v>
      </c>
      <c r="F243" s="3293" t="s">
        <v>1373</v>
      </c>
      <c r="G243" s="3293" t="s">
        <v>4323</v>
      </c>
      <c r="H243" s="3293" t="s">
        <v>4920</v>
      </c>
      <c r="I243" s="3293" t="s">
        <v>4921</v>
      </c>
      <c r="J243" s="3293" t="s">
        <v>4922</v>
      </c>
    </row>
    <row r="244" spans="1:10">
      <c r="A244" s="3293" t="s">
        <v>4915</v>
      </c>
      <c r="B244" s="3293" t="s">
        <v>4325</v>
      </c>
      <c r="C244" s="3293" t="s">
        <v>1327</v>
      </c>
      <c r="D244" s="3293" t="s">
        <v>4923</v>
      </c>
      <c r="E244" s="3293" t="s">
        <v>4327</v>
      </c>
      <c r="F244" s="3293" t="s">
        <v>1373</v>
      </c>
      <c r="G244" s="3293" t="s">
        <v>4323</v>
      </c>
      <c r="H244" s="3293" t="s">
        <v>4924</v>
      </c>
      <c r="I244" s="3293" t="s">
        <v>4925</v>
      </c>
      <c r="J244" s="3293" t="s">
        <v>4926</v>
      </c>
    </row>
    <row r="245" spans="1:10">
      <c r="A245" s="3293" t="s">
        <v>4915</v>
      </c>
      <c r="B245" s="3293" t="s">
        <v>4325</v>
      </c>
      <c r="C245" s="3293" t="s">
        <v>1327</v>
      </c>
      <c r="D245" s="3293" t="s">
        <v>4927</v>
      </c>
      <c r="E245" s="3293" t="s">
        <v>4327</v>
      </c>
      <c r="F245" s="3293" t="s">
        <v>1373</v>
      </c>
      <c r="G245" s="3293" t="s">
        <v>4323</v>
      </c>
      <c r="H245" s="3293" t="s">
        <v>4928</v>
      </c>
      <c r="I245" s="3293" t="s">
        <v>4929</v>
      </c>
      <c r="J245" s="3293" t="s">
        <v>4930</v>
      </c>
    </row>
    <row r="246" spans="1:10">
      <c r="A246" s="3293" t="s">
        <v>4915</v>
      </c>
      <c r="B246" s="3293" t="s">
        <v>4325</v>
      </c>
      <c r="C246" s="3293" t="s">
        <v>1327</v>
      </c>
      <c r="D246" s="3293" t="s">
        <v>4931</v>
      </c>
      <c r="E246" s="3293" t="s">
        <v>4327</v>
      </c>
      <c r="F246" s="3293" t="s">
        <v>1373</v>
      </c>
      <c r="G246" s="3293" t="s">
        <v>4323</v>
      </c>
      <c r="H246" s="3293" t="s">
        <v>4694</v>
      </c>
      <c r="I246" s="3293" t="s">
        <v>4932</v>
      </c>
      <c r="J246" s="3293" t="s">
        <v>4933</v>
      </c>
    </row>
    <row r="247" spans="1:10">
      <c r="A247" s="3293" t="s">
        <v>4915</v>
      </c>
      <c r="B247" s="3293" t="s">
        <v>4325</v>
      </c>
      <c r="C247" s="3293" t="s">
        <v>1327</v>
      </c>
      <c r="D247" s="3293" t="s">
        <v>4934</v>
      </c>
      <c r="E247" s="3293" t="s">
        <v>4327</v>
      </c>
      <c r="F247" s="3293" t="s">
        <v>1373</v>
      </c>
      <c r="G247" s="3293" t="s">
        <v>4323</v>
      </c>
      <c r="H247" s="3293" t="s">
        <v>4935</v>
      </c>
      <c r="I247" s="3293" t="s">
        <v>4936</v>
      </c>
      <c r="J247" s="3293" t="s">
        <v>4937</v>
      </c>
    </row>
    <row r="248" spans="1:10">
      <c r="A248" s="3293" t="s">
        <v>4915</v>
      </c>
      <c r="B248" s="3293" t="s">
        <v>4325</v>
      </c>
      <c r="C248" s="3293" t="s">
        <v>1327</v>
      </c>
      <c r="D248" s="3293" t="s">
        <v>4938</v>
      </c>
      <c r="E248" s="3293" t="s">
        <v>4327</v>
      </c>
      <c r="F248" s="3293" t="s">
        <v>1373</v>
      </c>
      <c r="G248" s="3293" t="s">
        <v>4323</v>
      </c>
      <c r="H248" s="3293" t="s">
        <v>4676</v>
      </c>
      <c r="I248" s="3293" t="s">
        <v>4939</v>
      </c>
      <c r="J248" s="3293" t="s">
        <v>4940</v>
      </c>
    </row>
    <row r="249" spans="1:10">
      <c r="A249" s="3293" t="s">
        <v>4915</v>
      </c>
      <c r="B249" s="3293" t="s">
        <v>4325</v>
      </c>
      <c r="C249" s="3293" t="s">
        <v>1327</v>
      </c>
      <c r="D249" s="3293" t="s">
        <v>4941</v>
      </c>
      <c r="E249" s="3293" t="s">
        <v>4327</v>
      </c>
      <c r="F249" s="3293" t="s">
        <v>1373</v>
      </c>
      <c r="G249" s="3293" t="s">
        <v>4323</v>
      </c>
      <c r="H249" s="3293" t="s">
        <v>4942</v>
      </c>
      <c r="I249" s="3293" t="s">
        <v>4943</v>
      </c>
      <c r="J249" s="3293" t="s">
        <v>4944</v>
      </c>
    </row>
    <row r="250" spans="1:10">
      <c r="A250" s="3293" t="s">
        <v>4915</v>
      </c>
      <c r="B250" s="3293" t="s">
        <v>4325</v>
      </c>
      <c r="C250" s="3293" t="s">
        <v>1327</v>
      </c>
      <c r="D250" s="3293" t="s">
        <v>4945</v>
      </c>
      <c r="E250" s="3293" t="s">
        <v>4327</v>
      </c>
      <c r="F250" s="3293" t="s">
        <v>1373</v>
      </c>
      <c r="G250" s="3293" t="s">
        <v>4323</v>
      </c>
      <c r="H250" s="3293" t="s">
        <v>4946</v>
      </c>
      <c r="I250" s="3293" t="s">
        <v>4947</v>
      </c>
      <c r="J250" s="3293" t="s">
        <v>4948</v>
      </c>
    </row>
    <row r="251" spans="1:10">
      <c r="A251" s="3293" t="s">
        <v>4915</v>
      </c>
      <c r="B251" s="3293" t="s">
        <v>4325</v>
      </c>
      <c r="C251" s="3293" t="s">
        <v>1327</v>
      </c>
      <c r="D251" s="3293" t="s">
        <v>4949</v>
      </c>
      <c r="E251" s="3293" t="s">
        <v>4327</v>
      </c>
      <c r="F251" s="3293" t="s">
        <v>1373</v>
      </c>
      <c r="G251" s="3293" t="s">
        <v>4323</v>
      </c>
      <c r="H251" s="3293" t="s">
        <v>4676</v>
      </c>
      <c r="I251" s="3293" t="s">
        <v>4950</v>
      </c>
      <c r="J251" s="3293" t="s">
        <v>4951</v>
      </c>
    </row>
    <row r="252" spans="1:10">
      <c r="A252" s="3293" t="s">
        <v>4915</v>
      </c>
      <c r="B252" s="3293" t="s">
        <v>4325</v>
      </c>
      <c r="C252" s="3293" t="s">
        <v>1327</v>
      </c>
      <c r="D252" s="3293" t="s">
        <v>4952</v>
      </c>
      <c r="E252" s="3293" t="s">
        <v>4327</v>
      </c>
      <c r="F252" s="3293" t="s">
        <v>1373</v>
      </c>
      <c r="G252" s="3293" t="s">
        <v>4323</v>
      </c>
      <c r="H252" s="3293" t="s">
        <v>4953</v>
      </c>
      <c r="I252" s="3293" t="s">
        <v>4954</v>
      </c>
      <c r="J252" s="3293" t="s">
        <v>4955</v>
      </c>
    </row>
    <row r="253" spans="1:10">
      <c r="A253" s="3293" t="s">
        <v>4915</v>
      </c>
      <c r="B253" s="3293" t="s">
        <v>4325</v>
      </c>
      <c r="C253" s="3293" t="s">
        <v>1327</v>
      </c>
      <c r="D253" s="3293" t="s">
        <v>4956</v>
      </c>
      <c r="E253" s="3293" t="s">
        <v>4327</v>
      </c>
      <c r="F253" s="3293" t="s">
        <v>1373</v>
      </c>
      <c r="G253" s="3293" t="s">
        <v>4323</v>
      </c>
      <c r="H253" s="3293" t="s">
        <v>4821</v>
      </c>
      <c r="I253" s="3293" t="s">
        <v>4957</v>
      </c>
      <c r="J253" s="3293" t="s">
        <v>4958</v>
      </c>
    </row>
    <row r="254" spans="1:10">
      <c r="A254" s="3293" t="s">
        <v>4959</v>
      </c>
      <c r="B254" s="3293" t="s">
        <v>4325</v>
      </c>
      <c r="C254" s="3293" t="s">
        <v>1327</v>
      </c>
      <c r="D254" s="3293" t="s">
        <v>4960</v>
      </c>
      <c r="E254" s="3293" t="s">
        <v>4327</v>
      </c>
      <c r="F254" s="3293" t="s">
        <v>1373</v>
      </c>
      <c r="G254" s="3293" t="s">
        <v>4323</v>
      </c>
      <c r="H254" s="3293" t="s">
        <v>4886</v>
      </c>
      <c r="I254" s="3293" t="s">
        <v>4961</v>
      </c>
      <c r="J254" s="3293" t="s">
        <v>4962</v>
      </c>
    </row>
    <row r="255" spans="1:10">
      <c r="A255" s="3293" t="s">
        <v>4959</v>
      </c>
      <c r="B255" s="3293" t="s">
        <v>4325</v>
      </c>
      <c r="C255" s="3293" t="s">
        <v>1327</v>
      </c>
      <c r="D255" s="3293" t="s">
        <v>4963</v>
      </c>
      <c r="E255" s="3293" t="s">
        <v>4327</v>
      </c>
      <c r="F255" s="3293" t="s">
        <v>1373</v>
      </c>
      <c r="G255" s="3293" t="s">
        <v>4323</v>
      </c>
      <c r="H255" s="3293" t="s">
        <v>4686</v>
      </c>
      <c r="I255" s="3293" t="s">
        <v>4964</v>
      </c>
      <c r="J255" s="3293" t="s">
        <v>4965</v>
      </c>
    </row>
    <row r="256" spans="1:10">
      <c r="A256" s="3293" t="s">
        <v>4959</v>
      </c>
      <c r="B256" s="3293" t="s">
        <v>4325</v>
      </c>
      <c r="C256" s="3293" t="s">
        <v>1327</v>
      </c>
      <c r="D256" s="3293" t="s">
        <v>4966</v>
      </c>
      <c r="E256" s="3293" t="s">
        <v>4327</v>
      </c>
      <c r="F256" s="3293" t="s">
        <v>1373</v>
      </c>
      <c r="G256" s="3293" t="s">
        <v>4323</v>
      </c>
      <c r="H256" s="3293" t="s">
        <v>4337</v>
      </c>
      <c r="I256" s="3293" t="s">
        <v>4967</v>
      </c>
      <c r="J256" s="3293" t="s">
        <v>4968</v>
      </c>
    </row>
    <row r="257" spans="1:10">
      <c r="A257" s="3293" t="s">
        <v>4969</v>
      </c>
      <c r="B257" s="3293" t="s">
        <v>4325</v>
      </c>
      <c r="C257" s="3293" t="s">
        <v>1327</v>
      </c>
      <c r="D257" s="3293" t="s">
        <v>4970</v>
      </c>
      <c r="E257" s="3293" t="s">
        <v>4327</v>
      </c>
      <c r="F257" s="3293" t="s">
        <v>1373</v>
      </c>
      <c r="G257" s="3293" t="s">
        <v>4323</v>
      </c>
      <c r="H257" s="3293" t="s">
        <v>4764</v>
      </c>
      <c r="I257" s="3293" t="s">
        <v>4971</v>
      </c>
      <c r="J257" s="3293" t="s">
        <v>4972</v>
      </c>
    </row>
  </sheetData>
  <phoneticPr fontId="143" type="noConversion"/>
  <pageMargins left="0.75" right="0.75" top="1" bottom="1" header="0.5" footer="0.5"/>
  <pageSetup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53"/>
  <sheetViews>
    <sheetView topLeftCell="A19" workbookViewId="0">
      <selection activeCell="H60" sqref="H60"/>
    </sheetView>
  </sheetViews>
  <sheetFormatPr defaultRowHeight="12.75"/>
  <cols>
    <col min="1" max="1" width="9" style="3293"/>
    <col min="2" max="2" width="15.75" style="3293" customWidth="1"/>
    <col min="3" max="4" width="9" style="3293"/>
    <col min="5" max="5" width="31" style="3293" customWidth="1"/>
    <col min="6" max="16384" width="9" style="3293"/>
  </cols>
  <sheetData>
    <row r="1" spans="1:10">
      <c r="A1" s="3293" t="s">
        <v>4310</v>
      </c>
      <c r="B1" s="3293" t="s">
        <v>4311</v>
      </c>
      <c r="C1" s="3293" t="s">
        <v>4312</v>
      </c>
      <c r="D1" s="3293" t="s">
        <v>4313</v>
      </c>
      <c r="E1" s="3293" t="s">
        <v>4314</v>
      </c>
      <c r="F1" s="3293" t="s">
        <v>4315</v>
      </c>
      <c r="G1" s="3293" t="s">
        <v>4316</v>
      </c>
      <c r="H1" s="3293" t="s">
        <v>4317</v>
      </c>
      <c r="I1" s="3293" t="s">
        <v>4318</v>
      </c>
      <c r="J1" s="3293" t="s">
        <v>4319</v>
      </c>
    </row>
    <row r="2" spans="1:10">
      <c r="A2" s="3293" t="s">
        <v>4973</v>
      </c>
      <c r="B2" s="3293" t="s">
        <v>4974</v>
      </c>
      <c r="C2" s="3293" t="s">
        <v>1327</v>
      </c>
      <c r="D2" s="3293" t="s">
        <v>4975</v>
      </c>
      <c r="E2" s="3293" t="s">
        <v>4976</v>
      </c>
      <c r="F2" s="3293" t="s">
        <v>4332</v>
      </c>
      <c r="G2" s="3293" t="s">
        <v>4323</v>
      </c>
      <c r="H2" s="3293" t="s">
        <v>4977</v>
      </c>
      <c r="I2" s="3293" t="s">
        <v>4978</v>
      </c>
      <c r="J2" s="3293" t="s">
        <v>4979</v>
      </c>
    </row>
    <row r="3" spans="1:10">
      <c r="A3" s="3293" t="s">
        <v>4980</v>
      </c>
      <c r="B3" s="3293" t="s">
        <v>4974</v>
      </c>
      <c r="C3" s="3293" t="s">
        <v>1327</v>
      </c>
      <c r="D3" s="3293" t="s">
        <v>4981</v>
      </c>
      <c r="E3" s="3293" t="s">
        <v>4976</v>
      </c>
      <c r="F3" s="3293" t="s">
        <v>4332</v>
      </c>
      <c r="G3" s="3293" t="s">
        <v>4323</v>
      </c>
      <c r="H3" s="3293" t="s">
        <v>4863</v>
      </c>
      <c r="I3" s="3293" t="s">
        <v>4982</v>
      </c>
      <c r="J3" s="3293" t="s">
        <v>4983</v>
      </c>
    </row>
    <row r="4" spans="1:10">
      <c r="A4" s="3293" t="s">
        <v>4324</v>
      </c>
      <c r="B4" s="3293" t="s">
        <v>4974</v>
      </c>
      <c r="C4" s="3293" t="s">
        <v>1327</v>
      </c>
      <c r="D4" s="3293" t="s">
        <v>4984</v>
      </c>
      <c r="E4" s="3293" t="s">
        <v>4976</v>
      </c>
      <c r="F4" s="3293" t="s">
        <v>4332</v>
      </c>
      <c r="G4" s="3293" t="s">
        <v>4323</v>
      </c>
      <c r="H4" s="3293" t="s">
        <v>4985</v>
      </c>
      <c r="I4" s="3293" t="s">
        <v>4986</v>
      </c>
      <c r="J4" s="3293" t="s">
        <v>4987</v>
      </c>
    </row>
    <row r="5" spans="1:10">
      <c r="A5" s="3293" t="s">
        <v>4989</v>
      </c>
      <c r="B5" s="3293" t="s">
        <v>4974</v>
      </c>
      <c r="C5" s="3293" t="s">
        <v>1327</v>
      </c>
      <c r="D5" s="3293" t="s">
        <v>4990</v>
      </c>
      <c r="E5" s="3293" t="s">
        <v>4976</v>
      </c>
      <c r="F5" s="3293" t="s">
        <v>4332</v>
      </c>
      <c r="G5" s="3293" t="s">
        <v>4323</v>
      </c>
      <c r="H5" s="3293" t="s">
        <v>4991</v>
      </c>
      <c r="I5" s="3293" t="s">
        <v>4992</v>
      </c>
      <c r="J5" s="3293" t="s">
        <v>4993</v>
      </c>
    </row>
    <row r="6" spans="1:10">
      <c r="A6" s="3293" t="s">
        <v>4989</v>
      </c>
      <c r="B6" s="3293" t="s">
        <v>4974</v>
      </c>
      <c r="C6" s="3293" t="s">
        <v>1327</v>
      </c>
      <c r="D6" s="3293" t="s">
        <v>4994</v>
      </c>
      <c r="E6" s="3293" t="s">
        <v>4976</v>
      </c>
      <c r="F6" s="3293" t="s">
        <v>4332</v>
      </c>
      <c r="G6" s="3293" t="s">
        <v>4323</v>
      </c>
      <c r="H6" s="3293" t="s">
        <v>4995</v>
      </c>
      <c r="I6" s="3293" t="s">
        <v>4996</v>
      </c>
      <c r="J6" s="3293" t="s">
        <v>4997</v>
      </c>
    </row>
    <row r="7" spans="1:10">
      <c r="A7" s="3293" t="s">
        <v>4998</v>
      </c>
      <c r="B7" s="3293" t="s">
        <v>4974</v>
      </c>
      <c r="C7" s="3293" t="s">
        <v>1327</v>
      </c>
      <c r="D7" s="3293" t="s">
        <v>4999</v>
      </c>
      <c r="E7" s="3293" t="s">
        <v>5000</v>
      </c>
      <c r="F7" s="3293" t="s">
        <v>4332</v>
      </c>
      <c r="G7" s="3293" t="s">
        <v>4323</v>
      </c>
      <c r="H7" s="3293" t="s">
        <v>4842</v>
      </c>
      <c r="I7" s="3293" t="s">
        <v>5001</v>
      </c>
      <c r="J7" s="3293" t="s">
        <v>5002</v>
      </c>
    </row>
    <row r="8" spans="1:10">
      <c r="A8" s="3293" t="s">
        <v>4356</v>
      </c>
      <c r="B8" s="3293" t="s">
        <v>5003</v>
      </c>
      <c r="C8" s="3293" t="s">
        <v>1327</v>
      </c>
      <c r="D8" s="3293" t="s">
        <v>4785</v>
      </c>
      <c r="E8" s="3293" t="s">
        <v>5004</v>
      </c>
      <c r="F8" s="3293" t="s">
        <v>1373</v>
      </c>
      <c r="G8" s="3293" t="s">
        <v>4323</v>
      </c>
      <c r="H8" s="3293" t="s">
        <v>4988</v>
      </c>
      <c r="I8" s="3293" t="s">
        <v>5005</v>
      </c>
      <c r="J8" s="3293" t="s">
        <v>5006</v>
      </c>
    </row>
    <row r="9" spans="1:10">
      <c r="A9" s="3293" t="s">
        <v>5007</v>
      </c>
      <c r="B9" s="3293" t="s">
        <v>4974</v>
      </c>
      <c r="C9" s="3293" t="s">
        <v>1327</v>
      </c>
      <c r="D9" s="3293" t="s">
        <v>5008</v>
      </c>
      <c r="E9" s="3293" t="s">
        <v>4976</v>
      </c>
      <c r="F9" s="3293" t="s">
        <v>4332</v>
      </c>
      <c r="G9" s="3293" t="s">
        <v>4323</v>
      </c>
      <c r="H9" s="3293" t="s">
        <v>4977</v>
      </c>
      <c r="I9" s="3293" t="s">
        <v>5009</v>
      </c>
      <c r="J9" s="3293" t="s">
        <v>5010</v>
      </c>
    </row>
    <row r="10" spans="1:10">
      <c r="A10" s="3293" t="s">
        <v>4367</v>
      </c>
      <c r="B10" s="3293" t="s">
        <v>4974</v>
      </c>
      <c r="C10" s="3293" t="s">
        <v>1327</v>
      </c>
      <c r="D10" s="3293" t="s">
        <v>5012</v>
      </c>
      <c r="E10" s="3293" t="s">
        <v>4976</v>
      </c>
      <c r="F10" s="3293" t="s">
        <v>4332</v>
      </c>
      <c r="G10" s="3293" t="s">
        <v>4323</v>
      </c>
      <c r="H10" s="3293" t="s">
        <v>5013</v>
      </c>
      <c r="I10" s="3293" t="s">
        <v>5014</v>
      </c>
      <c r="J10" s="3293" t="s">
        <v>5015</v>
      </c>
    </row>
    <row r="11" spans="1:10">
      <c r="A11" s="3293" t="s">
        <v>5016</v>
      </c>
      <c r="B11" s="3293" t="s">
        <v>4974</v>
      </c>
      <c r="C11" s="3293" t="s">
        <v>1327</v>
      </c>
      <c r="D11" s="3293" t="s">
        <v>5017</v>
      </c>
      <c r="E11" s="3293" t="s">
        <v>4976</v>
      </c>
      <c r="F11" s="3293" t="s">
        <v>4332</v>
      </c>
      <c r="G11" s="3293" t="s">
        <v>4323</v>
      </c>
      <c r="H11" s="3293" t="s">
        <v>4995</v>
      </c>
      <c r="I11" s="3293" t="s">
        <v>5018</v>
      </c>
      <c r="J11" s="3293" t="s">
        <v>5019</v>
      </c>
    </row>
    <row r="12" spans="1:10">
      <c r="A12" s="3293" t="s">
        <v>4370</v>
      </c>
      <c r="B12" s="3293" t="s">
        <v>5003</v>
      </c>
      <c r="C12" s="3293" t="s">
        <v>1327</v>
      </c>
      <c r="D12" s="3293" t="s">
        <v>5020</v>
      </c>
      <c r="E12" s="3293" t="s">
        <v>5021</v>
      </c>
      <c r="F12" s="3293" t="s">
        <v>4332</v>
      </c>
      <c r="G12" s="3293" t="s">
        <v>4323</v>
      </c>
      <c r="H12" s="3293" t="s">
        <v>5022</v>
      </c>
      <c r="I12" s="3293" t="s">
        <v>5023</v>
      </c>
      <c r="J12" s="3293" t="s">
        <v>5024</v>
      </c>
    </row>
    <row r="13" spans="1:10">
      <c r="A13" s="3293" t="s">
        <v>5025</v>
      </c>
      <c r="B13" s="3293" t="s">
        <v>5003</v>
      </c>
      <c r="C13" s="3293" t="s">
        <v>1327</v>
      </c>
      <c r="D13" s="3293" t="s">
        <v>5026</v>
      </c>
      <c r="E13" s="3293" t="s">
        <v>5021</v>
      </c>
      <c r="F13" s="3293" t="s">
        <v>4332</v>
      </c>
      <c r="G13" s="3293" t="s">
        <v>4323</v>
      </c>
      <c r="H13" s="3293" t="s">
        <v>4842</v>
      </c>
      <c r="I13" s="3293" t="s">
        <v>4768</v>
      </c>
      <c r="J13" s="3293" t="s">
        <v>5027</v>
      </c>
    </row>
    <row r="14" spans="1:10">
      <c r="A14" s="3293" t="s">
        <v>5028</v>
      </c>
      <c r="B14" s="3293" t="s">
        <v>4974</v>
      </c>
      <c r="C14" s="3293" t="s">
        <v>1327</v>
      </c>
      <c r="D14" s="3293" t="s">
        <v>5029</v>
      </c>
      <c r="E14" s="3293" t="s">
        <v>4976</v>
      </c>
      <c r="F14" s="3293" t="s">
        <v>4332</v>
      </c>
      <c r="G14" s="3293" t="s">
        <v>4323</v>
      </c>
      <c r="H14" s="3293" t="s">
        <v>4352</v>
      </c>
      <c r="I14" s="3293" t="s">
        <v>5030</v>
      </c>
      <c r="J14" s="3293" t="s">
        <v>5031</v>
      </c>
    </row>
    <row r="15" spans="1:10">
      <c r="A15" s="3293" t="s">
        <v>5032</v>
      </c>
      <c r="B15" s="3293" t="s">
        <v>4974</v>
      </c>
      <c r="C15" s="3293" t="s">
        <v>1327</v>
      </c>
      <c r="D15" s="3293" t="s">
        <v>5033</v>
      </c>
      <c r="E15" s="3293" t="s">
        <v>4976</v>
      </c>
      <c r="F15" s="3293" t="s">
        <v>4332</v>
      </c>
      <c r="G15" s="3293" t="s">
        <v>4323</v>
      </c>
      <c r="H15" s="3293" t="s">
        <v>4991</v>
      </c>
      <c r="I15" s="3293" t="s">
        <v>5034</v>
      </c>
      <c r="J15" s="3293" t="s">
        <v>5035</v>
      </c>
    </row>
    <row r="16" spans="1:10">
      <c r="A16" s="3293" t="s">
        <v>5036</v>
      </c>
      <c r="B16" s="3293" t="s">
        <v>4974</v>
      </c>
      <c r="C16" s="3293" t="s">
        <v>1327</v>
      </c>
      <c r="D16" s="3293" t="s">
        <v>5037</v>
      </c>
      <c r="E16" s="3293" t="s">
        <v>4976</v>
      </c>
      <c r="F16" s="3293" t="s">
        <v>4332</v>
      </c>
      <c r="G16" s="3293" t="s">
        <v>4323</v>
      </c>
      <c r="H16" s="3293" t="s">
        <v>4863</v>
      </c>
      <c r="I16" s="3293" t="s">
        <v>5038</v>
      </c>
      <c r="J16" s="3293" t="s">
        <v>5039</v>
      </c>
    </row>
    <row r="17" spans="1:10">
      <c r="A17" s="3293" t="s">
        <v>5040</v>
      </c>
      <c r="B17" s="3293" t="s">
        <v>4974</v>
      </c>
      <c r="C17" s="3293" t="s">
        <v>1327</v>
      </c>
      <c r="D17" s="3293" t="s">
        <v>5041</v>
      </c>
      <c r="E17" s="3293" t="s">
        <v>4976</v>
      </c>
      <c r="F17" s="3293" t="s">
        <v>4332</v>
      </c>
      <c r="G17" s="3293" t="s">
        <v>4323</v>
      </c>
      <c r="H17" s="3293" t="s">
        <v>4991</v>
      </c>
      <c r="I17" s="3293" t="s">
        <v>5042</v>
      </c>
      <c r="J17" s="3293" t="s">
        <v>5043</v>
      </c>
    </row>
    <row r="18" spans="1:10">
      <c r="A18" s="3293" t="s">
        <v>5044</v>
      </c>
      <c r="B18" s="3293" t="s">
        <v>4974</v>
      </c>
      <c r="C18" s="3293" t="s">
        <v>1327</v>
      </c>
      <c r="D18" s="3293" t="s">
        <v>5045</v>
      </c>
      <c r="E18" s="3293" t="s">
        <v>4976</v>
      </c>
      <c r="F18" s="3293" t="s">
        <v>4332</v>
      </c>
      <c r="G18" s="3293" t="s">
        <v>4323</v>
      </c>
      <c r="H18" s="3293" t="s">
        <v>4991</v>
      </c>
      <c r="I18" s="3293" t="s">
        <v>5046</v>
      </c>
      <c r="J18" s="3293" t="s">
        <v>5047</v>
      </c>
    </row>
    <row r="19" spans="1:10">
      <c r="A19" s="3293" t="s">
        <v>5048</v>
      </c>
      <c r="B19" s="3293" t="s">
        <v>4974</v>
      </c>
      <c r="C19" s="3293" t="s">
        <v>1327</v>
      </c>
      <c r="D19" s="3293" t="s">
        <v>5049</v>
      </c>
      <c r="E19" s="3293" t="s">
        <v>4976</v>
      </c>
      <c r="F19" s="3293" t="s">
        <v>4332</v>
      </c>
      <c r="G19" s="3293" t="s">
        <v>4323</v>
      </c>
      <c r="H19" s="3293" t="s">
        <v>4991</v>
      </c>
      <c r="I19" s="3293" t="s">
        <v>5046</v>
      </c>
      <c r="J19" s="3293" t="s">
        <v>5050</v>
      </c>
    </row>
    <row r="20" spans="1:10">
      <c r="A20" s="3293" t="s">
        <v>5051</v>
      </c>
      <c r="B20" s="3293" t="s">
        <v>4974</v>
      </c>
      <c r="C20" s="3293" t="s">
        <v>1327</v>
      </c>
      <c r="D20" s="3293" t="s">
        <v>5052</v>
      </c>
      <c r="E20" s="3293" t="s">
        <v>4976</v>
      </c>
      <c r="F20" s="3293" t="s">
        <v>4332</v>
      </c>
      <c r="G20" s="3293" t="s">
        <v>4323</v>
      </c>
      <c r="H20" s="3293" t="s">
        <v>4995</v>
      </c>
      <c r="I20" s="3293" t="s">
        <v>5053</v>
      </c>
      <c r="J20" s="3293" t="s">
        <v>5054</v>
      </c>
    </row>
    <row r="21" spans="1:10">
      <c r="A21" s="3293" t="s">
        <v>5051</v>
      </c>
      <c r="B21" s="3293" t="s">
        <v>4974</v>
      </c>
      <c r="C21" s="3293" t="s">
        <v>1327</v>
      </c>
      <c r="D21" s="3293" t="s">
        <v>5055</v>
      </c>
      <c r="E21" s="3293" t="s">
        <v>4976</v>
      </c>
      <c r="F21" s="3293" t="s">
        <v>4332</v>
      </c>
      <c r="G21" s="3293" t="s">
        <v>4323</v>
      </c>
      <c r="H21" s="3293" t="s">
        <v>4985</v>
      </c>
      <c r="I21" s="3293" t="s">
        <v>5056</v>
      </c>
      <c r="J21" s="3293" t="s">
        <v>5057</v>
      </c>
    </row>
    <row r="22" spans="1:10">
      <c r="A22" s="3293" t="s">
        <v>5051</v>
      </c>
      <c r="B22" s="3293" t="s">
        <v>4974</v>
      </c>
      <c r="C22" s="3293" t="s">
        <v>1327</v>
      </c>
      <c r="D22" s="3293" t="s">
        <v>5058</v>
      </c>
      <c r="E22" s="3293" t="s">
        <v>4976</v>
      </c>
      <c r="F22" s="3293" t="s">
        <v>4332</v>
      </c>
      <c r="G22" s="3293" t="s">
        <v>4323</v>
      </c>
      <c r="H22" s="3293" t="s">
        <v>4352</v>
      </c>
      <c r="I22" s="3293" t="s">
        <v>5059</v>
      </c>
      <c r="J22" s="3293" t="s">
        <v>5060</v>
      </c>
    </row>
    <row r="23" spans="1:10">
      <c r="A23" s="3293" t="s">
        <v>5061</v>
      </c>
      <c r="B23" s="3293" t="s">
        <v>4974</v>
      </c>
      <c r="C23" s="3293" t="s">
        <v>1327</v>
      </c>
      <c r="D23" s="3293" t="s">
        <v>5062</v>
      </c>
      <c r="E23" s="3293" t="s">
        <v>4976</v>
      </c>
      <c r="F23" s="3293" t="s">
        <v>4332</v>
      </c>
      <c r="G23" s="3293" t="s">
        <v>4323</v>
      </c>
      <c r="H23" s="3293" t="s">
        <v>4352</v>
      </c>
      <c r="I23" s="3293" t="s">
        <v>5063</v>
      </c>
      <c r="J23" s="3293" t="s">
        <v>5064</v>
      </c>
    </row>
    <row r="24" spans="1:10">
      <c r="A24" s="3293" t="s">
        <v>5061</v>
      </c>
      <c r="B24" s="3293" t="s">
        <v>4974</v>
      </c>
      <c r="C24" s="3293" t="s">
        <v>1327</v>
      </c>
      <c r="D24" s="3293" t="s">
        <v>5065</v>
      </c>
      <c r="E24" s="3293" t="s">
        <v>4976</v>
      </c>
      <c r="F24" s="3293" t="s">
        <v>4332</v>
      </c>
      <c r="G24" s="3293" t="s">
        <v>4323</v>
      </c>
      <c r="H24" s="3293" t="s">
        <v>4995</v>
      </c>
      <c r="I24" s="3293" t="s">
        <v>5066</v>
      </c>
      <c r="J24" s="3293" t="s">
        <v>5067</v>
      </c>
    </row>
    <row r="25" spans="1:10">
      <c r="A25" s="3293" t="s">
        <v>5068</v>
      </c>
      <c r="B25" s="3293" t="s">
        <v>4974</v>
      </c>
      <c r="C25" s="3293" t="s">
        <v>1327</v>
      </c>
      <c r="D25" s="3293" t="s">
        <v>5069</v>
      </c>
      <c r="E25" s="3293" t="s">
        <v>4976</v>
      </c>
      <c r="F25" s="3293" t="s">
        <v>4332</v>
      </c>
      <c r="G25" s="3293" t="s">
        <v>4323</v>
      </c>
      <c r="H25" s="3293" t="s">
        <v>5013</v>
      </c>
      <c r="I25" s="3293" t="s">
        <v>5070</v>
      </c>
      <c r="J25" s="3293" t="s">
        <v>5071</v>
      </c>
    </row>
    <row r="26" spans="1:10">
      <c r="A26" s="3293" t="s">
        <v>4443</v>
      </c>
      <c r="B26" s="3293" t="s">
        <v>5003</v>
      </c>
      <c r="C26" s="3293" t="s">
        <v>1327</v>
      </c>
      <c r="D26" s="3293" t="s">
        <v>5072</v>
      </c>
      <c r="E26" s="3293" t="s">
        <v>5004</v>
      </c>
      <c r="F26" s="3293" t="s">
        <v>4332</v>
      </c>
      <c r="G26" s="3293" t="s">
        <v>4323</v>
      </c>
      <c r="H26" s="3293" t="s">
        <v>5073</v>
      </c>
      <c r="I26" s="3293" t="s">
        <v>5074</v>
      </c>
      <c r="J26" s="3293" t="s">
        <v>5075</v>
      </c>
    </row>
    <row r="27" spans="1:10">
      <c r="A27" s="3293" t="s">
        <v>5076</v>
      </c>
      <c r="B27" s="3293" t="s">
        <v>4974</v>
      </c>
      <c r="C27" s="3293" t="s">
        <v>1327</v>
      </c>
      <c r="D27" s="3293" t="s">
        <v>5077</v>
      </c>
      <c r="E27" s="3293" t="s">
        <v>4976</v>
      </c>
      <c r="F27" s="3293" t="s">
        <v>4332</v>
      </c>
      <c r="G27" s="3293" t="s">
        <v>4323</v>
      </c>
      <c r="H27" s="3293" t="s">
        <v>4352</v>
      </c>
      <c r="I27" s="3293" t="s">
        <v>5078</v>
      </c>
      <c r="J27" s="3293" t="s">
        <v>5079</v>
      </c>
    </row>
    <row r="28" spans="1:10">
      <c r="A28" s="3293" t="s">
        <v>5080</v>
      </c>
      <c r="B28" s="3293" t="s">
        <v>4974</v>
      </c>
      <c r="C28" s="3293" t="s">
        <v>1327</v>
      </c>
      <c r="D28" s="3293" t="s">
        <v>5081</v>
      </c>
      <c r="E28" s="3293" t="s">
        <v>4976</v>
      </c>
      <c r="F28" s="3293" t="s">
        <v>4332</v>
      </c>
      <c r="G28" s="3293" t="s">
        <v>4323</v>
      </c>
      <c r="H28" s="3293" t="s">
        <v>4977</v>
      </c>
      <c r="I28" s="3293" t="s">
        <v>5082</v>
      </c>
      <c r="J28" s="3293" t="s">
        <v>5083</v>
      </c>
    </row>
    <row r="29" spans="1:10">
      <c r="A29" s="3293" t="s">
        <v>5084</v>
      </c>
      <c r="B29" s="3293" t="s">
        <v>4974</v>
      </c>
      <c r="C29" s="3293" t="s">
        <v>1327</v>
      </c>
      <c r="D29" s="3293" t="s">
        <v>5085</v>
      </c>
      <c r="E29" s="3293" t="s">
        <v>4976</v>
      </c>
      <c r="F29" s="3293" t="s">
        <v>4332</v>
      </c>
      <c r="G29" s="3293" t="s">
        <v>4323</v>
      </c>
      <c r="H29" s="3293" t="s">
        <v>5013</v>
      </c>
      <c r="I29" s="3293" t="s">
        <v>5086</v>
      </c>
      <c r="J29" s="3293" t="s">
        <v>5087</v>
      </c>
    </row>
    <row r="30" spans="1:10">
      <c r="A30" s="3293" t="s">
        <v>5088</v>
      </c>
      <c r="B30" s="3293" t="s">
        <v>5003</v>
      </c>
      <c r="C30" s="3293" t="s">
        <v>1327</v>
      </c>
      <c r="D30" s="3293" t="s">
        <v>5089</v>
      </c>
      <c r="E30" s="3293" t="s">
        <v>5004</v>
      </c>
      <c r="F30" s="3293" t="s">
        <v>4332</v>
      </c>
      <c r="G30" s="3293" t="s">
        <v>4323</v>
      </c>
      <c r="H30" s="3293" t="s">
        <v>4676</v>
      </c>
      <c r="I30" s="3293" t="s">
        <v>5090</v>
      </c>
      <c r="J30" s="3293" t="s">
        <v>5091</v>
      </c>
    </row>
    <row r="31" spans="1:10">
      <c r="A31" s="3293" t="s">
        <v>5088</v>
      </c>
      <c r="B31" s="3293" t="s">
        <v>4974</v>
      </c>
      <c r="C31" s="3293" t="s">
        <v>1327</v>
      </c>
      <c r="D31" s="3293" t="s">
        <v>5092</v>
      </c>
      <c r="E31" s="3293" t="s">
        <v>4976</v>
      </c>
      <c r="F31" s="3293" t="s">
        <v>4332</v>
      </c>
      <c r="G31" s="3293" t="s">
        <v>4323</v>
      </c>
      <c r="H31" s="3293" t="s">
        <v>4352</v>
      </c>
      <c r="I31" s="3293" t="s">
        <v>5093</v>
      </c>
      <c r="J31" s="3293" t="s">
        <v>5094</v>
      </c>
    </row>
    <row r="32" spans="1:10">
      <c r="A32" s="3293" t="s">
        <v>5095</v>
      </c>
      <c r="B32" s="3293" t="s">
        <v>5096</v>
      </c>
      <c r="C32" s="3293" t="s">
        <v>1327</v>
      </c>
      <c r="D32" s="3293" t="s">
        <v>5097</v>
      </c>
      <c r="E32" s="3293" t="s">
        <v>5098</v>
      </c>
      <c r="F32" s="3293" t="s">
        <v>4332</v>
      </c>
      <c r="G32" s="3293" t="s">
        <v>4323</v>
      </c>
      <c r="H32" s="3293" t="s">
        <v>5099</v>
      </c>
      <c r="I32" s="3293" t="s">
        <v>5100</v>
      </c>
      <c r="J32" s="3293" t="s">
        <v>5101</v>
      </c>
    </row>
    <row r="33" spans="1:10">
      <c r="A33" s="3293" t="s">
        <v>5095</v>
      </c>
      <c r="B33" s="3293" t="s">
        <v>5102</v>
      </c>
      <c r="C33" s="3293" t="s">
        <v>1327</v>
      </c>
      <c r="D33" s="3293" t="s">
        <v>5097</v>
      </c>
      <c r="E33" s="3293" t="s">
        <v>5011</v>
      </c>
      <c r="F33" s="3293" t="s">
        <v>4332</v>
      </c>
      <c r="G33" s="3293" t="s">
        <v>4323</v>
      </c>
      <c r="H33" s="3293" t="s">
        <v>5099</v>
      </c>
      <c r="I33" s="3293" t="s">
        <v>5100</v>
      </c>
      <c r="J33" s="3293" t="s">
        <v>5103</v>
      </c>
    </row>
    <row r="34" spans="1:10">
      <c r="A34" s="3293" t="s">
        <v>5104</v>
      </c>
      <c r="B34" s="3293" t="s">
        <v>5105</v>
      </c>
      <c r="C34" s="3293" t="s">
        <v>1327</v>
      </c>
      <c r="D34" s="3293" t="s">
        <v>5106</v>
      </c>
      <c r="E34" s="3293" t="s">
        <v>5107</v>
      </c>
      <c r="F34" s="3293" t="s">
        <v>4332</v>
      </c>
      <c r="G34" s="3293" t="s">
        <v>4323</v>
      </c>
      <c r="H34" s="3293" t="s">
        <v>5073</v>
      </c>
      <c r="I34" s="3293" t="s">
        <v>5108</v>
      </c>
      <c r="J34" s="3293" t="s">
        <v>5109</v>
      </c>
    </row>
    <row r="35" spans="1:10">
      <c r="A35" s="3293" t="s">
        <v>5110</v>
      </c>
      <c r="B35" s="3293" t="s">
        <v>4974</v>
      </c>
      <c r="C35" s="3293" t="s">
        <v>1327</v>
      </c>
      <c r="D35" s="3293" t="s">
        <v>5111</v>
      </c>
      <c r="E35" s="3293" t="s">
        <v>4976</v>
      </c>
      <c r="F35" s="3293" t="s">
        <v>4332</v>
      </c>
      <c r="G35" s="3293" t="s">
        <v>4323</v>
      </c>
      <c r="H35" s="3293" t="s">
        <v>4991</v>
      </c>
      <c r="I35" s="3293" t="s">
        <v>5042</v>
      </c>
      <c r="J35" s="3293" t="s">
        <v>5112</v>
      </c>
    </row>
    <row r="36" spans="1:10">
      <c r="A36" s="3293" t="s">
        <v>4595</v>
      </c>
      <c r="B36" s="3293" t="s">
        <v>4974</v>
      </c>
      <c r="C36" s="3293" t="s">
        <v>1327</v>
      </c>
      <c r="D36" s="3293" t="s">
        <v>5106</v>
      </c>
      <c r="E36" s="3293" t="s">
        <v>4976</v>
      </c>
      <c r="F36" s="3293" t="s">
        <v>4332</v>
      </c>
      <c r="G36" s="3293" t="s">
        <v>4323</v>
      </c>
      <c r="H36" s="3293" t="s">
        <v>4977</v>
      </c>
      <c r="I36" s="3293" t="s">
        <v>5113</v>
      </c>
      <c r="J36" s="3293" t="s">
        <v>5114</v>
      </c>
    </row>
    <row r="37" spans="1:10">
      <c r="A37" s="3293" t="s">
        <v>5115</v>
      </c>
      <c r="B37" s="3293" t="s">
        <v>4974</v>
      </c>
      <c r="C37" s="3293" t="s">
        <v>1327</v>
      </c>
      <c r="D37" s="3293" t="s">
        <v>5116</v>
      </c>
      <c r="E37" s="3293" t="s">
        <v>4976</v>
      </c>
      <c r="F37" s="3293" t="s">
        <v>4332</v>
      </c>
      <c r="G37" s="3293" t="s">
        <v>4323</v>
      </c>
      <c r="H37" s="3293" t="s">
        <v>4995</v>
      </c>
      <c r="I37" s="3293" t="s">
        <v>5117</v>
      </c>
      <c r="J37" s="3293" t="s">
        <v>5118</v>
      </c>
    </row>
    <row r="38" spans="1:10">
      <c r="A38" s="3293" t="s">
        <v>5115</v>
      </c>
      <c r="B38" s="3293" t="s">
        <v>4974</v>
      </c>
      <c r="C38" s="3293" t="s">
        <v>1327</v>
      </c>
      <c r="D38" s="3293" t="s">
        <v>5119</v>
      </c>
      <c r="E38" s="3293" t="s">
        <v>4976</v>
      </c>
      <c r="F38" s="3293" t="s">
        <v>4332</v>
      </c>
      <c r="G38" s="3293" t="s">
        <v>4323</v>
      </c>
      <c r="H38" s="3293" t="s">
        <v>5013</v>
      </c>
      <c r="I38" s="3293" t="s">
        <v>5120</v>
      </c>
      <c r="J38" s="3293" t="s">
        <v>5121</v>
      </c>
    </row>
    <row r="39" spans="1:10">
      <c r="A39" s="3293" t="s">
        <v>5122</v>
      </c>
      <c r="B39" s="3293" t="s">
        <v>4974</v>
      </c>
      <c r="C39" s="3293" t="s">
        <v>1327</v>
      </c>
      <c r="D39" s="3293" t="s">
        <v>5123</v>
      </c>
      <c r="E39" s="3293" t="s">
        <v>4976</v>
      </c>
      <c r="F39" s="3293" t="s">
        <v>4332</v>
      </c>
      <c r="G39" s="3293" t="s">
        <v>4323</v>
      </c>
      <c r="H39" s="3293" t="s">
        <v>4328</v>
      </c>
      <c r="I39" s="3293" t="s">
        <v>5124</v>
      </c>
      <c r="J39" s="3293" t="s">
        <v>4614</v>
      </c>
    </row>
    <row r="40" spans="1:10">
      <c r="A40" s="3293" t="s">
        <v>5125</v>
      </c>
      <c r="B40" s="3293" t="s">
        <v>4974</v>
      </c>
      <c r="C40" s="3293" t="s">
        <v>1327</v>
      </c>
      <c r="D40" s="3293" t="s">
        <v>5126</v>
      </c>
      <c r="E40" s="3293" t="s">
        <v>4976</v>
      </c>
      <c r="F40" s="3293" t="s">
        <v>4332</v>
      </c>
      <c r="G40" s="3293" t="s">
        <v>4323</v>
      </c>
      <c r="H40" s="3293" t="s">
        <v>5013</v>
      </c>
      <c r="I40" s="3293" t="s">
        <v>5127</v>
      </c>
      <c r="J40" s="3293" t="s">
        <v>5128</v>
      </c>
    </row>
    <row r="41" spans="1:10">
      <c r="A41" s="3293" t="s">
        <v>5129</v>
      </c>
      <c r="B41" s="3293" t="s">
        <v>5105</v>
      </c>
      <c r="C41" s="3293" t="s">
        <v>1327</v>
      </c>
      <c r="D41" s="3293" t="s">
        <v>5130</v>
      </c>
      <c r="E41" s="3293" t="s">
        <v>5107</v>
      </c>
      <c r="F41" s="3293" t="s">
        <v>4332</v>
      </c>
      <c r="G41" s="3293" t="s">
        <v>4323</v>
      </c>
      <c r="H41" s="3293" t="s">
        <v>5073</v>
      </c>
      <c r="I41" s="3293" t="s">
        <v>5131</v>
      </c>
      <c r="J41" s="3293" t="s">
        <v>5132</v>
      </c>
    </row>
    <row r="42" spans="1:10">
      <c r="A42" s="3293" t="s">
        <v>5129</v>
      </c>
      <c r="B42" s="3293" t="s">
        <v>4974</v>
      </c>
      <c r="C42" s="3293" t="s">
        <v>1327</v>
      </c>
      <c r="D42" s="3293" t="s">
        <v>5133</v>
      </c>
      <c r="E42" s="3293" t="s">
        <v>4976</v>
      </c>
      <c r="F42" s="3293" t="s">
        <v>4332</v>
      </c>
      <c r="G42" s="3293" t="s">
        <v>4323</v>
      </c>
      <c r="H42" s="3293" t="s">
        <v>5013</v>
      </c>
      <c r="I42" s="3293" t="s">
        <v>5134</v>
      </c>
      <c r="J42" s="3293" t="s">
        <v>5135</v>
      </c>
    </row>
    <row r="43" spans="1:10">
      <c r="A43" s="3293" t="s">
        <v>5137</v>
      </c>
      <c r="B43" s="3293" t="s">
        <v>4974</v>
      </c>
      <c r="C43" s="3293" t="s">
        <v>1327</v>
      </c>
      <c r="D43" s="3293" t="s">
        <v>5138</v>
      </c>
      <c r="E43" s="3293" t="s">
        <v>4976</v>
      </c>
      <c r="F43" s="3293" t="s">
        <v>4332</v>
      </c>
      <c r="G43" s="3293" t="s">
        <v>4323</v>
      </c>
      <c r="H43" s="3293" t="s">
        <v>4352</v>
      </c>
      <c r="I43" s="3293" t="s">
        <v>5139</v>
      </c>
      <c r="J43" s="3293" t="s">
        <v>5140</v>
      </c>
    </row>
    <row r="44" spans="1:10">
      <c r="A44" s="3293" t="s">
        <v>5141</v>
      </c>
      <c r="B44" s="3293" t="s">
        <v>5102</v>
      </c>
      <c r="C44" s="3293" t="s">
        <v>1327</v>
      </c>
      <c r="D44" s="3293" t="s">
        <v>5058</v>
      </c>
      <c r="E44" s="3293" t="s">
        <v>5142</v>
      </c>
      <c r="F44" s="3293" t="s">
        <v>4332</v>
      </c>
      <c r="G44" s="3293" t="s">
        <v>4323</v>
      </c>
      <c r="H44" s="3293" t="s">
        <v>5136</v>
      </c>
      <c r="I44" s="3293" t="s">
        <v>5143</v>
      </c>
      <c r="J44" s="3293" t="s">
        <v>5144</v>
      </c>
    </row>
    <row r="45" spans="1:10">
      <c r="A45" s="3293" t="s">
        <v>5145</v>
      </c>
      <c r="B45" s="3293" t="s">
        <v>4974</v>
      </c>
      <c r="C45" s="3293" t="s">
        <v>1327</v>
      </c>
      <c r="D45" s="3293" t="s">
        <v>5146</v>
      </c>
      <c r="E45" s="3293" t="s">
        <v>4976</v>
      </c>
      <c r="F45" s="3293" t="s">
        <v>4332</v>
      </c>
      <c r="G45" s="3293" t="s">
        <v>4323</v>
      </c>
      <c r="H45" s="3293" t="s">
        <v>4977</v>
      </c>
      <c r="I45" s="3293" t="s">
        <v>5147</v>
      </c>
      <c r="J45" s="3293" t="s">
        <v>5148</v>
      </c>
    </row>
    <row r="46" spans="1:10">
      <c r="A46" s="3293" t="s">
        <v>5149</v>
      </c>
      <c r="B46" s="3293" t="s">
        <v>5102</v>
      </c>
      <c r="C46" s="3293" t="s">
        <v>1327</v>
      </c>
      <c r="D46" s="3293" t="s">
        <v>5150</v>
      </c>
      <c r="E46" s="3293" t="s">
        <v>5011</v>
      </c>
      <c r="F46" s="3293" t="s">
        <v>4332</v>
      </c>
      <c r="G46" s="3293" t="s">
        <v>4323</v>
      </c>
      <c r="H46" s="3293" t="s">
        <v>4829</v>
      </c>
      <c r="I46" s="3293" t="s">
        <v>5151</v>
      </c>
      <c r="J46" s="3293" t="s">
        <v>5152</v>
      </c>
    </row>
    <row r="47" spans="1:10">
      <c r="A47" s="3293" t="s">
        <v>4754</v>
      </c>
      <c r="B47" s="3293" t="s">
        <v>4974</v>
      </c>
      <c r="C47" s="3293" t="s">
        <v>1327</v>
      </c>
      <c r="D47" s="3293" t="s">
        <v>5153</v>
      </c>
      <c r="E47" s="3293" t="s">
        <v>4976</v>
      </c>
      <c r="F47" s="3293" t="s">
        <v>4332</v>
      </c>
      <c r="G47" s="3293" t="s">
        <v>4323</v>
      </c>
      <c r="H47" s="3293" t="s">
        <v>4985</v>
      </c>
      <c r="I47" s="3293" t="s">
        <v>5154</v>
      </c>
      <c r="J47" s="3293" t="s">
        <v>5155</v>
      </c>
    </row>
    <row r="48" spans="1:10">
      <c r="A48" s="3293" t="s">
        <v>4754</v>
      </c>
      <c r="B48" s="3293" t="s">
        <v>4974</v>
      </c>
      <c r="C48" s="3293" t="s">
        <v>1327</v>
      </c>
      <c r="D48" s="3293" t="s">
        <v>5156</v>
      </c>
      <c r="E48" s="3293" t="s">
        <v>4976</v>
      </c>
      <c r="F48" s="3293" t="s">
        <v>4332</v>
      </c>
      <c r="G48" s="3293" t="s">
        <v>4323</v>
      </c>
      <c r="H48" s="3293" t="s">
        <v>5013</v>
      </c>
      <c r="I48" s="3293" t="s">
        <v>5157</v>
      </c>
      <c r="J48" s="3293" t="s">
        <v>5158</v>
      </c>
    </row>
    <row r="49" spans="1:10">
      <c r="A49" s="3293" t="s">
        <v>5160</v>
      </c>
      <c r="B49" s="3293" t="s">
        <v>5161</v>
      </c>
      <c r="C49" s="3293" t="s">
        <v>1327</v>
      </c>
      <c r="D49" s="3293" t="s">
        <v>5162</v>
      </c>
      <c r="E49" s="3293" t="s">
        <v>5163</v>
      </c>
      <c r="F49" s="3293" t="s">
        <v>4332</v>
      </c>
      <c r="G49" s="3293" t="s">
        <v>4323</v>
      </c>
      <c r="H49" s="3293" t="s">
        <v>4676</v>
      </c>
      <c r="I49" s="3293" t="s">
        <v>5164</v>
      </c>
      <c r="J49" s="3293" t="s">
        <v>5165</v>
      </c>
    </row>
    <row r="50" spans="1:10">
      <c r="A50" s="3293" t="s">
        <v>5166</v>
      </c>
      <c r="B50" s="3293" t="s">
        <v>5102</v>
      </c>
      <c r="C50" s="3293" t="s">
        <v>1327</v>
      </c>
      <c r="D50" s="3293" t="s">
        <v>4898</v>
      </c>
      <c r="E50" s="3293" t="s">
        <v>5011</v>
      </c>
      <c r="F50" s="3293" t="s">
        <v>4332</v>
      </c>
      <c r="G50" s="3293" t="s">
        <v>4323</v>
      </c>
      <c r="H50" s="3293" t="s">
        <v>4829</v>
      </c>
      <c r="I50" s="3293" t="s">
        <v>5167</v>
      </c>
      <c r="J50" s="3293" t="s">
        <v>5168</v>
      </c>
    </row>
    <row r="51" spans="1:10">
      <c r="A51" s="3293" t="s">
        <v>4840</v>
      </c>
      <c r="B51" s="3293" t="s">
        <v>5003</v>
      </c>
      <c r="C51" s="3293" t="s">
        <v>1327</v>
      </c>
      <c r="D51" s="3293" t="s">
        <v>5169</v>
      </c>
      <c r="E51" s="3293" t="s">
        <v>5004</v>
      </c>
      <c r="F51" s="3293" t="s">
        <v>4332</v>
      </c>
      <c r="G51" s="3293" t="s">
        <v>4323</v>
      </c>
      <c r="H51" s="3293" t="s">
        <v>5073</v>
      </c>
      <c r="I51" s="3293" t="s">
        <v>5074</v>
      </c>
      <c r="J51" s="3293" t="s">
        <v>5075</v>
      </c>
    </row>
    <row r="52" spans="1:10">
      <c r="A52" s="3293" t="s">
        <v>5170</v>
      </c>
      <c r="B52" s="3293" t="s">
        <v>5003</v>
      </c>
      <c r="C52" s="3293" t="s">
        <v>1327</v>
      </c>
      <c r="D52" s="3293" t="s">
        <v>5171</v>
      </c>
      <c r="E52" s="3293" t="s">
        <v>5004</v>
      </c>
      <c r="F52" s="3293" t="s">
        <v>4332</v>
      </c>
      <c r="G52" s="3293" t="s">
        <v>4323</v>
      </c>
      <c r="H52" s="3293" t="s">
        <v>5073</v>
      </c>
      <c r="I52" s="3293" t="s">
        <v>5172</v>
      </c>
      <c r="J52" s="3293" t="s">
        <v>5173</v>
      </c>
    </row>
    <row r="53" spans="1:10">
      <c r="A53" s="3293" t="s">
        <v>5174</v>
      </c>
      <c r="B53" s="3293" t="s">
        <v>5102</v>
      </c>
      <c r="C53" s="3293" t="s">
        <v>1327</v>
      </c>
      <c r="D53" s="3293" t="s">
        <v>5175</v>
      </c>
      <c r="E53" s="3293" t="s">
        <v>5011</v>
      </c>
      <c r="F53" s="3293" t="s">
        <v>4332</v>
      </c>
      <c r="G53" s="3293" t="s">
        <v>4323</v>
      </c>
      <c r="H53" s="3293" t="s">
        <v>5099</v>
      </c>
      <c r="I53" s="3293" t="s">
        <v>5176</v>
      </c>
      <c r="J53" s="3293" t="s">
        <v>5177</v>
      </c>
    </row>
  </sheetData>
  <phoneticPr fontId="143" type="noConversion"/>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1"/>
      <c r="B4" s="2957" t="s">
        <v>1626</v>
      </c>
      <c r="C4" s="2957"/>
      <c r="D4" s="2957"/>
      <c r="E4" s="1961"/>
    </row>
    <row r="5" spans="1:5" ht="16.5" thickTop="1">
      <c r="A5" s="1959"/>
      <c r="B5" s="2955" t="s">
        <v>1618</v>
      </c>
      <c r="C5" s="1962" t="s">
        <v>1619</v>
      </c>
      <c r="D5" s="1041">
        <f ca="1">结果表!H101</f>
        <v>190397</v>
      </c>
      <c r="E5" s="1959"/>
    </row>
    <row r="6" spans="1:5" ht="15.75">
      <c r="A6" s="1959"/>
      <c r="B6" s="2955"/>
      <c r="C6" s="1962" t="s">
        <v>1620</v>
      </c>
      <c r="D6" s="1041" t="str">
        <f ca="1">NUMBERSTRING(INT(D5*10000),2)&amp;"元整"</f>
        <v>壹拾玖亿零叁佰玖拾柒万元整</v>
      </c>
      <c r="E6" s="1959"/>
    </row>
    <row r="7" spans="1:5" ht="15.75">
      <c r="A7" s="1959"/>
      <c r="B7" s="2960"/>
      <c r="C7" s="1963" t="s">
        <v>1621</v>
      </c>
      <c r="D7" s="1042">
        <f ca="1">结果表!H102</f>
        <v>38086</v>
      </c>
      <c r="E7" s="1959"/>
    </row>
    <row r="8" spans="1:5" ht="15.75">
      <c r="A8" s="1959"/>
      <c r="B8" s="2961" t="str">
        <f>结果表!E103</f>
        <v>2.估价师知悉的法定优先受偿款</v>
      </c>
      <c r="C8" s="1964" t="s">
        <v>1622</v>
      </c>
      <c r="D8" s="1042">
        <f>结果表!H103</f>
        <v>0</v>
      </c>
      <c r="E8" s="1959"/>
    </row>
    <row r="9" spans="1:5" ht="15.75">
      <c r="A9" s="1959"/>
      <c r="B9" s="2963"/>
      <c r="C9" s="1962" t="s">
        <v>1620</v>
      </c>
      <c r="D9" s="1041" t="str">
        <f>NUMBERSTRING(INT(D8*10000),2)&amp;"元整"</f>
        <v>零元整</v>
      </c>
      <c r="E9" s="1959"/>
    </row>
    <row r="10" spans="1:5" ht="15">
      <c r="A10" s="1959"/>
      <c r="B10" s="1965" t="s">
        <v>1625</v>
      </c>
      <c r="C10" s="1966" t="s">
        <v>1623</v>
      </c>
      <c r="D10" s="1043">
        <f>结果表!H104</f>
        <v>0</v>
      </c>
      <c r="E10" s="1959"/>
    </row>
    <row r="11" spans="1:5" ht="15">
      <c r="A11" s="1959"/>
      <c r="B11" s="1965" t="s">
        <v>1627</v>
      </c>
      <c r="C11" s="1966" t="s">
        <v>1628</v>
      </c>
      <c r="D11" s="1043">
        <f>结果表!H105</f>
        <v>0</v>
      </c>
      <c r="E11" s="1959"/>
    </row>
    <row r="12" spans="1:5" ht="15">
      <c r="A12" s="1959"/>
      <c r="B12" s="1965" t="s">
        <v>1629</v>
      </c>
      <c r="C12" s="1966" t="s">
        <v>1628</v>
      </c>
      <c r="D12" s="1043">
        <f>结果表!H106</f>
        <v>0</v>
      </c>
      <c r="E12" s="1959"/>
    </row>
    <row r="13" spans="1:5" ht="15.75">
      <c r="A13" s="1959"/>
      <c r="B13" s="2954" t="str">
        <f>结果表!E107</f>
        <v>——</v>
      </c>
      <c r="C13" s="1967" t="s">
        <v>1619</v>
      </c>
      <c r="D13" s="1044" t="str">
        <f>结果表!H107</f>
        <v>——</v>
      </c>
      <c r="E13" s="1959"/>
    </row>
    <row r="14" spans="1:5" ht="15.75">
      <c r="A14" s="1959"/>
      <c r="B14" s="2955"/>
      <c r="C14" s="1962" t="s">
        <v>1620</v>
      </c>
      <c r="D14" s="1041" t="e">
        <f>NUMBERSTRING(INT(D13*10000),2)&amp;"元整"</f>
        <v>#VALUE!</v>
      </c>
      <c r="E14" s="1959"/>
    </row>
    <row r="15" spans="1:5" ht="15">
      <c r="A15" s="1959"/>
      <c r="B15" s="2960"/>
      <c r="C15" s="1963" t="s">
        <v>1630</v>
      </c>
      <c r="D15" s="1053" t="e">
        <f>结果表!H108</f>
        <v>#VALUE!</v>
      </c>
      <c r="E15" s="1959"/>
    </row>
    <row r="16" spans="1:5" ht="15">
      <c r="A16" s="1959"/>
      <c r="B16" s="2961" t="str">
        <f>结果表!E109</f>
        <v>3.抵押担保权已注销时的房地产抵押价值</v>
      </c>
      <c r="C16" s="1967" t="s">
        <v>1631</v>
      </c>
      <c r="D16" s="1968">
        <f ca="1">结果表!H109</f>
        <v>190397</v>
      </c>
      <c r="E16" s="1959"/>
    </row>
    <row r="17" spans="1:5" ht="15.75">
      <c r="A17" s="1959"/>
      <c r="B17" s="2962"/>
      <c r="C17" s="1962" t="s">
        <v>1632</v>
      </c>
      <c r="D17" s="1041" t="str">
        <f ca="1">NUMBERSTRING(INT(D16*10000),2)&amp;"元整"</f>
        <v>壹拾玖亿零叁佰玖拾柒万元整</v>
      </c>
      <c r="E17" s="1959"/>
    </row>
    <row r="18" spans="1:5" ht="15">
      <c r="A18" s="1959"/>
      <c r="B18" s="2963"/>
      <c r="C18" s="1963" t="s">
        <v>1621</v>
      </c>
      <c r="D18" s="1053">
        <f ca="1">结果表!H110</f>
        <v>38086</v>
      </c>
      <c r="E18" s="1959"/>
    </row>
    <row r="19" spans="1:5" ht="15.75">
      <c r="A19" s="1959"/>
      <c r="B19" s="2954" t="str">
        <f>结果表!E111</f>
        <v>——</v>
      </c>
      <c r="C19" s="1967" t="s">
        <v>1619</v>
      </c>
      <c r="D19" s="1042" t="str">
        <f>结果表!H111</f>
        <v>——</v>
      </c>
      <c r="E19" s="1959"/>
    </row>
    <row r="20" spans="1:5" ht="15.75">
      <c r="A20" s="1959"/>
      <c r="B20" s="2955"/>
      <c r="C20" s="1962" t="s">
        <v>1632</v>
      </c>
      <c r="D20" s="1041" t="e">
        <f>NUMBERSTRING(INT(D19*10000),2)&amp;"元整"</f>
        <v>#VALUE!</v>
      </c>
      <c r="E20" s="1959"/>
    </row>
    <row r="21" spans="1:5" ht="15.75" thickBot="1">
      <c r="A21" s="1959"/>
      <c r="B21" s="2956"/>
      <c r="C21" s="1969" t="s">
        <v>1630</v>
      </c>
      <c r="D21" s="1054"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9"/>
  <sheetViews>
    <sheetView workbookViewId="0">
      <selection activeCell="H14" sqref="H14"/>
    </sheetView>
  </sheetViews>
  <sheetFormatPr defaultRowHeight="12.75"/>
  <cols>
    <col min="1" max="16384" width="9" style="3293"/>
  </cols>
  <sheetData>
    <row r="1" spans="1:10">
      <c r="A1" s="3293" t="s">
        <v>4310</v>
      </c>
      <c r="B1" s="3293" t="s">
        <v>4311</v>
      </c>
      <c r="C1" s="3293" t="s">
        <v>4312</v>
      </c>
      <c r="D1" s="3293" t="s">
        <v>4313</v>
      </c>
      <c r="E1" s="3293" t="s">
        <v>4314</v>
      </c>
      <c r="F1" s="3293" t="s">
        <v>4315</v>
      </c>
      <c r="G1" s="3293" t="s">
        <v>4316</v>
      </c>
      <c r="H1" s="3293" t="s">
        <v>4317</v>
      </c>
      <c r="I1" s="3293" t="s">
        <v>4318</v>
      </c>
      <c r="J1" s="3293" t="s">
        <v>4319</v>
      </c>
    </row>
    <row r="2" spans="1:10">
      <c r="A2" s="3293" t="s">
        <v>5178</v>
      </c>
      <c r="B2" s="3293" t="s">
        <v>5102</v>
      </c>
      <c r="C2" s="3293" t="s">
        <v>1327</v>
      </c>
      <c r="D2" s="3293" t="s">
        <v>5179</v>
      </c>
      <c r="E2" s="3293" t="s">
        <v>5180</v>
      </c>
      <c r="F2" s="3293" t="s">
        <v>4332</v>
      </c>
      <c r="G2" s="3293" t="s">
        <v>4323</v>
      </c>
      <c r="H2" s="3293" t="s">
        <v>5181</v>
      </c>
      <c r="I2" s="3293" t="s">
        <v>5182</v>
      </c>
      <c r="J2" s="3293" t="s">
        <v>5183</v>
      </c>
    </row>
    <row r="3" spans="1:10">
      <c r="A3" s="3293" t="s">
        <v>5184</v>
      </c>
      <c r="B3" s="3293" t="s">
        <v>5102</v>
      </c>
      <c r="C3" s="3293" t="s">
        <v>1327</v>
      </c>
      <c r="D3" s="3293" t="s">
        <v>5185</v>
      </c>
      <c r="E3" s="3293" t="s">
        <v>5180</v>
      </c>
      <c r="F3" s="3293" t="s">
        <v>4332</v>
      </c>
      <c r="G3" s="3293" t="s">
        <v>4323</v>
      </c>
      <c r="H3" s="3293" t="s">
        <v>5186</v>
      </c>
      <c r="I3" s="3293" t="s">
        <v>5187</v>
      </c>
      <c r="J3" s="3293" t="s">
        <v>5188</v>
      </c>
    </row>
    <row r="4" spans="1:10">
      <c r="A4" s="3293" t="s">
        <v>4367</v>
      </c>
      <c r="B4" s="3293" t="s">
        <v>4974</v>
      </c>
      <c r="C4" s="3293" t="s">
        <v>1327</v>
      </c>
      <c r="D4" s="3293" t="s">
        <v>4905</v>
      </c>
      <c r="E4" s="3293" t="s">
        <v>5180</v>
      </c>
      <c r="F4" s="3293" t="s">
        <v>4332</v>
      </c>
      <c r="G4" s="3293" t="s">
        <v>4323</v>
      </c>
      <c r="H4" s="3293" t="s">
        <v>5186</v>
      </c>
      <c r="I4" s="3293" t="s">
        <v>5189</v>
      </c>
      <c r="J4" s="3293" t="s">
        <v>5190</v>
      </c>
    </row>
    <row r="5" spans="1:10">
      <c r="A5" s="3293" t="s">
        <v>4367</v>
      </c>
      <c r="B5" s="3293" t="s">
        <v>5102</v>
      </c>
      <c r="C5" s="3293" t="s">
        <v>1327</v>
      </c>
      <c r="D5" s="3293" t="s">
        <v>5191</v>
      </c>
      <c r="E5" s="3293" t="s">
        <v>5180</v>
      </c>
      <c r="F5" s="3293" t="s">
        <v>4332</v>
      </c>
      <c r="G5" s="3293" t="s">
        <v>4323</v>
      </c>
      <c r="H5" s="3293" t="s">
        <v>4859</v>
      </c>
      <c r="I5" s="3293" t="s">
        <v>5192</v>
      </c>
      <c r="J5" s="3293" t="s">
        <v>5193</v>
      </c>
    </row>
    <row r="6" spans="1:10">
      <c r="A6" s="3293" t="s">
        <v>4367</v>
      </c>
      <c r="B6" s="3293" t="s">
        <v>5102</v>
      </c>
      <c r="C6" s="3293" t="s">
        <v>1327</v>
      </c>
      <c r="D6" s="3293" t="s">
        <v>5194</v>
      </c>
      <c r="E6" s="3293" t="s">
        <v>5180</v>
      </c>
      <c r="F6" s="3293" t="s">
        <v>4332</v>
      </c>
      <c r="G6" s="3293" t="s">
        <v>4323</v>
      </c>
      <c r="H6" s="3293" t="s">
        <v>5181</v>
      </c>
      <c r="I6" s="3293" t="s">
        <v>5195</v>
      </c>
      <c r="J6" s="3293" t="s">
        <v>5196</v>
      </c>
    </row>
    <row r="7" spans="1:10">
      <c r="A7" s="3293" t="s">
        <v>5197</v>
      </c>
      <c r="B7" s="3293" t="s">
        <v>4974</v>
      </c>
      <c r="C7" s="3293" t="s">
        <v>1327</v>
      </c>
      <c r="D7" s="3293" t="s">
        <v>5198</v>
      </c>
      <c r="E7" s="3293" t="s">
        <v>5180</v>
      </c>
      <c r="F7" s="3293" t="s">
        <v>4332</v>
      </c>
      <c r="G7" s="3293" t="s">
        <v>4323</v>
      </c>
      <c r="H7" s="3293" t="s">
        <v>5159</v>
      </c>
      <c r="I7" s="3293" t="s">
        <v>5199</v>
      </c>
      <c r="J7" s="3293" t="s">
        <v>5200</v>
      </c>
    </row>
    <row r="8" spans="1:10">
      <c r="A8" s="3293" t="s">
        <v>5201</v>
      </c>
      <c r="B8" s="3293" t="s">
        <v>4974</v>
      </c>
      <c r="C8" s="3293" t="s">
        <v>1327</v>
      </c>
      <c r="D8" s="3293" t="s">
        <v>5202</v>
      </c>
      <c r="E8" s="3293" t="s">
        <v>5180</v>
      </c>
      <c r="F8" s="3293" t="s">
        <v>4332</v>
      </c>
      <c r="G8" s="3293" t="s">
        <v>4323</v>
      </c>
      <c r="H8" s="3293" t="s">
        <v>5186</v>
      </c>
      <c r="I8" s="3293" t="s">
        <v>5203</v>
      </c>
      <c r="J8" s="3293" t="s">
        <v>5204</v>
      </c>
    </row>
    <row r="9" spans="1:10">
      <c r="A9" s="3293" t="s">
        <v>5201</v>
      </c>
      <c r="B9" s="3293" t="s">
        <v>4974</v>
      </c>
      <c r="C9" s="3293" t="s">
        <v>1327</v>
      </c>
      <c r="D9" s="3293" t="s">
        <v>5205</v>
      </c>
      <c r="E9" s="3293" t="s">
        <v>5180</v>
      </c>
      <c r="F9" s="3293" t="s">
        <v>4332</v>
      </c>
      <c r="G9" s="3293" t="s">
        <v>4323</v>
      </c>
      <c r="H9" s="3293" t="s">
        <v>4878</v>
      </c>
      <c r="I9" s="3293" t="s">
        <v>5206</v>
      </c>
      <c r="J9" s="3293" t="s">
        <v>5207</v>
      </c>
    </row>
  </sheetData>
  <phoneticPr fontId="143" type="noConversion"/>
  <pageMargins left="0.75" right="0.75" top="1" bottom="1" header="0.5" footer="0.5"/>
  <pageSetup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2788</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186" t="s">
        <v>2640</v>
      </c>
      <c r="D4" s="3187"/>
      <c r="E4" s="3188" t="s">
        <v>2641</v>
      </c>
      <c r="F4" s="3189"/>
      <c r="G4" s="3186" t="s">
        <v>2642</v>
      </c>
      <c r="H4" s="3187"/>
      <c r="I4" s="3186" t="s">
        <v>2643</v>
      </c>
      <c r="J4" s="3187"/>
      <c r="K4" s="609" t="s">
        <v>2644</v>
      </c>
      <c r="L4" s="1131"/>
      <c r="M4" s="1132"/>
      <c r="N4" s="1132"/>
      <c r="O4" s="1132"/>
      <c r="P4" s="3190" t="s">
        <v>2645</v>
      </c>
      <c r="Q4" s="3191"/>
      <c r="R4" s="3196" t="s">
        <v>2641</v>
      </c>
      <c r="S4" s="3197"/>
      <c r="T4" s="3196" t="s">
        <v>2642</v>
      </c>
      <c r="U4" s="3197"/>
      <c r="V4" s="3202" t="s">
        <v>2643</v>
      </c>
      <c r="W4" s="3202"/>
      <c r="X4" s="1813"/>
      <c r="Y4" s="3196" t="s">
        <v>2645</v>
      </c>
      <c r="Z4" s="3197"/>
      <c r="AA4" s="3183" t="s">
        <v>2641</v>
      </c>
      <c r="AB4" s="3184" t="s">
        <v>2642</v>
      </c>
      <c r="AC4" s="3183" t="s">
        <v>2643</v>
      </c>
    </row>
    <row r="5" spans="1:29" ht="15">
      <c r="A5" s="403"/>
      <c r="B5" s="404"/>
      <c r="C5" s="3205" t="s">
        <v>2536</v>
      </c>
      <c r="D5" s="3206"/>
      <c r="E5" s="3212" t="s">
        <v>2537</v>
      </c>
      <c r="F5" s="3213"/>
      <c r="G5" s="3205" t="s">
        <v>2538</v>
      </c>
      <c r="H5" s="3206"/>
      <c r="I5" s="3205" t="s">
        <v>2539</v>
      </c>
      <c r="J5" s="3206"/>
      <c r="K5" s="609"/>
      <c r="L5" s="1131"/>
      <c r="M5" s="1132"/>
      <c r="N5" s="1132"/>
      <c r="O5" s="1132"/>
      <c r="P5" s="3192"/>
      <c r="Q5" s="3193"/>
      <c r="R5" s="3198"/>
      <c r="S5" s="3199"/>
      <c r="T5" s="3198"/>
      <c r="U5" s="3199"/>
      <c r="V5" s="3202"/>
      <c r="W5" s="3202"/>
      <c r="X5" s="1813"/>
      <c r="Y5" s="3198"/>
      <c r="Z5" s="3199"/>
      <c r="AA5" s="3184"/>
      <c r="AB5" s="3184"/>
      <c r="AC5" s="3184"/>
    </row>
    <row r="6" spans="1:29" ht="15.75" thickBot="1">
      <c r="A6" s="405"/>
      <c r="B6" s="406"/>
      <c r="C6" s="3234" t="s">
        <v>2789</v>
      </c>
      <c r="D6" s="3235"/>
      <c r="E6" s="3236" t="s">
        <v>2789</v>
      </c>
      <c r="F6" s="3237"/>
      <c r="G6" s="3234" t="s">
        <v>2789</v>
      </c>
      <c r="H6" s="3235"/>
      <c r="I6" s="3234" t="s">
        <v>2789</v>
      </c>
      <c r="J6" s="3235"/>
      <c r="K6" s="609" t="s">
        <v>2541</v>
      </c>
      <c r="L6" s="1131"/>
      <c r="M6" s="1132"/>
      <c r="N6" s="1132"/>
      <c r="O6" s="1132"/>
      <c r="P6" s="3194"/>
      <c r="Q6" s="3195"/>
      <c r="R6" s="3198"/>
      <c r="S6" s="3199"/>
      <c r="T6" s="3200"/>
      <c r="U6" s="3201"/>
      <c r="V6" s="3202"/>
      <c r="W6" s="3202"/>
      <c r="X6" s="1813"/>
      <c r="Y6" s="3200"/>
      <c r="Z6" s="3201"/>
      <c r="AA6" s="3185"/>
      <c r="AB6" s="3185"/>
      <c r="AC6" s="3185"/>
    </row>
    <row r="7" spans="1:29" s="116" customFormat="1" ht="15.75" thickBot="1">
      <c r="A7" s="407" t="s">
        <v>2542</v>
      </c>
      <c r="B7" s="408"/>
      <c r="C7" s="409">
        <f>'数据-取费表'!B2</f>
        <v>43488</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207" t="s">
        <v>2543</v>
      </c>
      <c r="Q7" s="3209"/>
      <c r="R7" s="769" t="s">
        <v>17</v>
      </c>
      <c r="S7" s="770">
        <f t="shared" ref="S7:S15" si="0">F7</f>
        <v>0</v>
      </c>
      <c r="T7" s="769" t="s">
        <v>17</v>
      </c>
      <c r="U7" s="770">
        <f t="shared" ref="U7:U15" si="1">H7</f>
        <v>0</v>
      </c>
      <c r="V7" s="769" t="s">
        <v>17</v>
      </c>
      <c r="W7" s="770">
        <f t="shared" ref="W7:W15" si="2">J7</f>
        <v>0</v>
      </c>
      <c r="X7" s="771"/>
      <c r="Y7" s="3207" t="s">
        <v>2543</v>
      </c>
      <c r="Z7" s="3208"/>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07" t="s">
        <v>2546</v>
      </c>
      <c r="Q8" s="3208"/>
      <c r="R8" s="769" t="s">
        <v>17</v>
      </c>
      <c r="S8" s="770">
        <f t="shared" si="0"/>
        <v>0</v>
      </c>
      <c r="T8" s="769" t="s">
        <v>17</v>
      </c>
      <c r="U8" s="770">
        <f t="shared" si="1"/>
        <v>0</v>
      </c>
      <c r="V8" s="769" t="s">
        <v>17</v>
      </c>
      <c r="W8" s="770">
        <f t="shared" si="2"/>
        <v>0</v>
      </c>
      <c r="X8" s="771"/>
      <c r="Y8" s="3207" t="s">
        <v>2546</v>
      </c>
      <c r="Z8" s="3208"/>
      <c r="AA8" s="772" t="e">
        <f t="shared" ref="AA8:AA40" si="3">D8/F8</f>
        <v>#DIV/0!</v>
      </c>
      <c r="AB8" s="772" t="e">
        <f t="shared" ref="AB8:AB40" si="4">D8/H8</f>
        <v>#DIV/0!</v>
      </c>
      <c r="AC8" s="772" t="e">
        <f t="shared" ref="AC8:AC40" si="5">D8/J8</f>
        <v>#DIV/0!</v>
      </c>
    </row>
    <row r="9" spans="1:29" s="116" customFormat="1">
      <c r="A9" s="414" t="s">
        <v>2547</v>
      </c>
      <c r="B9" s="70" t="s">
        <v>2548</v>
      </c>
      <c r="C9" s="2701"/>
      <c r="D9" s="134">
        <v>100</v>
      </c>
      <c r="E9" s="2701"/>
      <c r="F9" s="134">
        <f>SUMIF(70:70,E9,71:71)-SUMIF(70:70,C9,71:71)+100</f>
        <v>100</v>
      </c>
      <c r="G9" s="2701"/>
      <c r="H9" s="134">
        <f>SUMIF(70:70,G9,71:71)-SUMIF(70:70,C9,71:71)+100</f>
        <v>100</v>
      </c>
      <c r="I9" s="2701"/>
      <c r="J9" s="134">
        <f>SUMIF(70:70,I9,71:71)-SUMIF(70:70,C9,71:71)+100</f>
        <v>100</v>
      </c>
      <c r="K9" s="610"/>
      <c r="L9" s="1133"/>
      <c r="M9" s="1134"/>
      <c r="N9" s="1134"/>
      <c r="O9" s="1135"/>
      <c r="P9" s="3171" t="s">
        <v>2549</v>
      </c>
      <c r="Q9" s="1795"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103</v>
      </c>
      <c r="G10" s="431"/>
      <c r="H10" s="135">
        <f>ROUND(100/'数据-取费表'!G16,0)</f>
        <v>103</v>
      </c>
      <c r="I10" s="431"/>
      <c r="J10" s="135">
        <f>ROUND(100/'数据-取费表'!G16,0)</f>
        <v>103</v>
      </c>
      <c r="K10" s="671"/>
      <c r="L10" s="1136"/>
      <c r="M10" s="1137"/>
      <c r="N10" s="1137"/>
      <c r="O10" s="1138"/>
      <c r="P10" s="3171"/>
      <c r="Q10" s="1795" t="str">
        <f t="shared" si="6"/>
        <v>土地使用年限（年）</v>
      </c>
      <c r="R10" s="769" t="s">
        <v>17</v>
      </c>
      <c r="S10" s="770">
        <f t="shared" si="0"/>
        <v>103</v>
      </c>
      <c r="T10" s="769" t="s">
        <v>17</v>
      </c>
      <c r="U10" s="770">
        <f t="shared" si="1"/>
        <v>103</v>
      </c>
      <c r="V10" s="769" t="s">
        <v>17</v>
      </c>
      <c r="W10" s="770">
        <f t="shared" si="2"/>
        <v>103</v>
      </c>
      <c r="X10" s="771"/>
      <c r="Y10" s="2997"/>
      <c r="Z10" s="54" t="str">
        <f t="shared" si="7"/>
        <v>土地使用年限（年）</v>
      </c>
      <c r="AA10" s="772">
        <f t="shared" si="3"/>
        <v>0.970873786407767</v>
      </c>
      <c r="AB10" s="772">
        <f t="shared" si="4"/>
        <v>0.970873786407767</v>
      </c>
      <c r="AC10" s="772">
        <f t="shared" si="5"/>
        <v>0.970873786407767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71"/>
      <c r="Q11" s="1795" t="str">
        <f t="shared" si="6"/>
        <v>容积率</v>
      </c>
      <c r="R11" s="769" t="s">
        <v>17</v>
      </c>
      <c r="S11" s="770" t="e">
        <f t="shared" si="0"/>
        <v>#N/A</v>
      </c>
      <c r="T11" s="769" t="s">
        <v>17</v>
      </c>
      <c r="U11" s="770" t="e">
        <f t="shared" si="1"/>
        <v>#N/A</v>
      </c>
      <c r="V11" s="769" t="s">
        <v>17</v>
      </c>
      <c r="W11" s="770" t="e">
        <f t="shared" si="2"/>
        <v>#N/A</v>
      </c>
      <c r="X11" s="771"/>
      <c r="Y11" s="2997"/>
      <c r="Z11" s="54"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71"/>
      <c r="Q12" s="1795">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71"/>
      <c r="Q13" s="1795">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71"/>
      <c r="Q14" s="1795">
        <f t="shared" si="6"/>
        <v>111</v>
      </c>
      <c r="R14" s="769" t="s">
        <v>17</v>
      </c>
      <c r="S14" s="770">
        <f t="shared" si="0"/>
        <v>100</v>
      </c>
      <c r="T14" s="769" t="s">
        <v>17</v>
      </c>
      <c r="U14" s="770">
        <f t="shared" si="1"/>
        <v>100</v>
      </c>
      <c r="V14" s="769" t="s">
        <v>17</v>
      </c>
      <c r="W14" s="770">
        <f t="shared" si="2"/>
        <v>100</v>
      </c>
      <c r="X14" s="771"/>
      <c r="Y14" s="2997"/>
      <c r="Z14" s="54">
        <f t="shared" si="7"/>
        <v>111</v>
      </c>
      <c r="AA14" s="772">
        <f t="shared" si="3"/>
        <v>1</v>
      </c>
      <c r="AB14" s="772">
        <f t="shared" si="4"/>
        <v>1</v>
      </c>
      <c r="AC14" s="772">
        <f t="shared" si="5"/>
        <v>1</v>
      </c>
    </row>
    <row r="15" spans="1:29" ht="57">
      <c r="A15" s="439" t="s">
        <v>2553</v>
      </c>
      <c r="B15" s="628" t="s">
        <v>2790</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73" t="s">
        <v>2554</v>
      </c>
      <c r="Q15" s="1810" t="str">
        <f t="shared" si="6"/>
        <v>产业集聚程度</v>
      </c>
      <c r="R15" s="773" t="s">
        <v>17</v>
      </c>
      <c r="S15" s="774">
        <f t="shared" si="0"/>
        <v>100</v>
      </c>
      <c r="T15" s="773" t="s">
        <v>17</v>
      </c>
      <c r="U15" s="774">
        <f t="shared" si="1"/>
        <v>100</v>
      </c>
      <c r="V15" s="773" t="s">
        <v>17</v>
      </c>
      <c r="W15" s="774">
        <f t="shared" si="2"/>
        <v>100</v>
      </c>
      <c r="X15" s="1813"/>
      <c r="Y15" s="3173" t="s">
        <v>2554</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1"/>
      <c r="M16" s="1132"/>
      <c r="N16" s="1132"/>
      <c r="O16" s="1140"/>
      <c r="P16" s="3174"/>
      <c r="Q16" s="1810"/>
      <c r="R16" s="773"/>
      <c r="S16" s="774"/>
      <c r="T16" s="773"/>
      <c r="U16" s="774"/>
      <c r="V16" s="773"/>
      <c r="W16" s="774"/>
      <c r="X16" s="1813"/>
      <c r="Y16" s="3174"/>
      <c r="Z16" s="1814"/>
      <c r="AA16" s="1811">
        <v>1</v>
      </c>
      <c r="AB16" s="1811">
        <v>1</v>
      </c>
      <c r="AC16" s="1811">
        <v>1</v>
      </c>
    </row>
    <row r="17" spans="1:29" ht="85.5">
      <c r="A17" s="427"/>
      <c r="B17" s="630" t="s">
        <v>2703</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74"/>
      <c r="Q17" s="1810" t="str">
        <f>B17</f>
        <v>交通便捷度</v>
      </c>
      <c r="R17" s="773" t="s">
        <v>17</v>
      </c>
      <c r="S17" s="774">
        <f>F17</f>
        <v>100</v>
      </c>
      <c r="T17" s="773" t="s">
        <v>17</v>
      </c>
      <c r="U17" s="774">
        <f>H17</f>
        <v>100</v>
      </c>
      <c r="V17" s="773" t="s">
        <v>17</v>
      </c>
      <c r="W17" s="774">
        <f>J17</f>
        <v>100</v>
      </c>
      <c r="X17" s="1813"/>
      <c r="Y17" s="3174"/>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1"/>
      <c r="M18" s="1132"/>
      <c r="N18" s="1132"/>
      <c r="O18" s="1140"/>
      <c r="P18" s="3174"/>
      <c r="Q18" s="1810"/>
      <c r="R18" s="773"/>
      <c r="S18" s="774"/>
      <c r="T18" s="773"/>
      <c r="U18" s="774"/>
      <c r="V18" s="773"/>
      <c r="W18" s="774"/>
      <c r="X18" s="1813"/>
      <c r="Y18" s="3174"/>
      <c r="Z18" s="1814"/>
      <c r="AA18" s="1811">
        <v>1</v>
      </c>
      <c r="AB18" s="1811">
        <v>1</v>
      </c>
      <c r="AC18" s="1811">
        <v>1</v>
      </c>
    </row>
    <row r="19" spans="1:29" ht="15">
      <c r="A19" s="427"/>
      <c r="B19" s="630" t="s">
        <v>2741</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74"/>
      <c r="Q19" s="1810" t="str">
        <f t="shared" ref="Q19:Q33" si="8">B19</f>
        <v>区域土地利用方向</v>
      </c>
      <c r="R19" s="773" t="s">
        <v>17</v>
      </c>
      <c r="S19" s="774">
        <f>F19</f>
        <v>100</v>
      </c>
      <c r="T19" s="773" t="s">
        <v>17</v>
      </c>
      <c r="U19" s="774">
        <f>H19</f>
        <v>100</v>
      </c>
      <c r="V19" s="773" t="s">
        <v>17</v>
      </c>
      <c r="W19" s="774">
        <f>J19</f>
        <v>100</v>
      </c>
      <c r="X19" s="1813"/>
      <c r="Y19" s="3174"/>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10"/>
      <c r="L20" s="1141"/>
      <c r="M20" s="1132"/>
      <c r="N20" s="1132"/>
      <c r="O20" s="1140"/>
      <c r="P20" s="3174"/>
      <c r="Q20" s="1810"/>
      <c r="R20" s="773"/>
      <c r="S20" s="774"/>
      <c r="T20" s="773"/>
      <c r="U20" s="774"/>
      <c r="V20" s="773"/>
      <c r="W20" s="774"/>
      <c r="X20" s="1813"/>
      <c r="Y20" s="3174"/>
      <c r="Z20" s="1814"/>
      <c r="AA20" s="1811"/>
      <c r="AB20" s="1811"/>
      <c r="AC20" s="1811"/>
    </row>
    <row r="21" spans="1:29" ht="71.25">
      <c r="A21" s="403"/>
      <c r="B21" s="630" t="s">
        <v>2791</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74"/>
      <c r="Q21" s="1810" t="str">
        <f t="shared" si="8"/>
        <v>环境状况</v>
      </c>
      <c r="R21" s="773" t="s">
        <v>17</v>
      </c>
      <c r="S21" s="774">
        <f>F21</f>
        <v>100</v>
      </c>
      <c r="T21" s="773" t="s">
        <v>17</v>
      </c>
      <c r="U21" s="774">
        <f>H21</f>
        <v>100</v>
      </c>
      <c r="V21" s="773" t="s">
        <v>17</v>
      </c>
      <c r="W21" s="774">
        <f>J21</f>
        <v>100</v>
      </c>
      <c r="X21" s="1813"/>
      <c r="Y21" s="3174"/>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1"/>
      <c r="M22" s="1132"/>
      <c r="N22" s="1132"/>
      <c r="O22" s="1140"/>
      <c r="P22" s="3174"/>
      <c r="Q22" s="1810"/>
      <c r="R22" s="773"/>
      <c r="S22" s="774"/>
      <c r="T22" s="773"/>
      <c r="U22" s="774"/>
      <c r="V22" s="773"/>
      <c r="W22" s="774"/>
      <c r="X22" s="1813"/>
      <c r="Y22" s="3174"/>
      <c r="Z22" s="1814"/>
      <c r="AA22" s="1811">
        <v>1</v>
      </c>
      <c r="AB22" s="1811">
        <v>1</v>
      </c>
      <c r="AC22" s="1811">
        <v>1</v>
      </c>
    </row>
    <row r="23" spans="1:29" s="116" customFormat="1" ht="42.75">
      <c r="A23" s="648"/>
      <c r="B23" s="632" t="s">
        <v>2648</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74"/>
      <c r="Q23" s="1795" t="str">
        <f t="shared" si="8"/>
        <v>公共配套设施</v>
      </c>
      <c r="R23" s="769" t="s">
        <v>17</v>
      </c>
      <c r="S23" s="770">
        <f>F23</f>
        <v>100</v>
      </c>
      <c r="T23" s="769" t="s">
        <v>17</v>
      </c>
      <c r="U23" s="770">
        <f>H23</f>
        <v>100</v>
      </c>
      <c r="V23" s="769" t="s">
        <v>17</v>
      </c>
      <c r="W23" s="770">
        <f>J23</f>
        <v>100</v>
      </c>
      <c r="X23" s="771"/>
      <c r="Y23" s="3174"/>
      <c r="Z23" s="54" t="str">
        <f>Q23</f>
        <v>公共配套设施</v>
      </c>
      <c r="AA23" s="1811">
        <f>D23/F23</f>
        <v>1</v>
      </c>
      <c r="AB23" s="1811">
        <f>D23/H23</f>
        <v>1</v>
      </c>
      <c r="AC23" s="1811">
        <f>D23/J23</f>
        <v>1</v>
      </c>
    </row>
    <row r="24" spans="1:29" s="116" customFormat="1" ht="15">
      <c r="A24" s="648"/>
      <c r="B24" s="631"/>
      <c r="C24" s="2702"/>
      <c r="D24" s="447"/>
      <c r="E24" s="2613"/>
      <c r="F24" s="447"/>
      <c r="G24" s="2613"/>
      <c r="H24" s="447"/>
      <c r="I24" s="446"/>
      <c r="J24" s="447"/>
      <c r="K24" s="671"/>
      <c r="L24" s="1133"/>
      <c r="M24" s="1134"/>
      <c r="N24" s="1134"/>
      <c r="O24" s="1135"/>
      <c r="P24" s="3174"/>
      <c r="Q24" s="1795"/>
      <c r="R24" s="769"/>
      <c r="S24" s="770"/>
      <c r="T24" s="769"/>
      <c r="U24" s="770"/>
      <c r="V24" s="769"/>
      <c r="W24" s="770"/>
      <c r="X24" s="771"/>
      <c r="Y24" s="3174"/>
      <c r="Z24" s="54"/>
      <c r="AA24" s="772">
        <v>1</v>
      </c>
      <c r="AB24" s="772">
        <v>1</v>
      </c>
      <c r="AC24" s="772">
        <v>1</v>
      </c>
    </row>
    <row r="25" spans="1:29" s="116" customFormat="1" ht="28.5">
      <c r="A25" s="648"/>
      <c r="B25" s="632" t="s">
        <v>2649</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74"/>
      <c r="Q25" s="1795" t="str">
        <f t="shared" ref="Q25" si="9">B25</f>
        <v>基础设施水平</v>
      </c>
      <c r="R25" s="769" t="s">
        <v>17</v>
      </c>
      <c r="S25" s="770">
        <f>F25</f>
        <v>100</v>
      </c>
      <c r="T25" s="769" t="s">
        <v>17</v>
      </c>
      <c r="U25" s="770">
        <f>H25</f>
        <v>100</v>
      </c>
      <c r="V25" s="769" t="s">
        <v>17</v>
      </c>
      <c r="W25" s="770">
        <f>J25</f>
        <v>100</v>
      </c>
      <c r="X25" s="771"/>
      <c r="Y25" s="3174"/>
      <c r="Z25" s="54" t="str">
        <f>Q25</f>
        <v>基础设施水平</v>
      </c>
      <c r="AA25" s="1811">
        <f>D25/F25</f>
        <v>1</v>
      </c>
      <c r="AB25" s="1811">
        <f>D25/H25</f>
        <v>1</v>
      </c>
      <c r="AC25" s="1811">
        <f>D25/J25</f>
        <v>1</v>
      </c>
    </row>
    <row r="26" spans="1:29" s="116" customFormat="1" ht="15">
      <c r="A26" s="648"/>
      <c r="B26" s="631"/>
      <c r="C26" s="2702"/>
      <c r="D26" s="447"/>
      <c r="E26" s="2703"/>
      <c r="F26" s="447"/>
      <c r="G26" s="2703"/>
      <c r="H26" s="447"/>
      <c r="I26" s="2703"/>
      <c r="J26" s="447"/>
      <c r="K26" s="671"/>
      <c r="L26" s="1133"/>
      <c r="M26" s="1134"/>
      <c r="N26" s="1134"/>
      <c r="O26" s="1135"/>
      <c r="P26" s="3174"/>
      <c r="Q26" s="1795"/>
      <c r="R26" s="769"/>
      <c r="S26" s="770"/>
      <c r="T26" s="769"/>
      <c r="U26" s="770"/>
      <c r="V26" s="769"/>
      <c r="W26" s="770"/>
      <c r="X26" s="771"/>
      <c r="Y26" s="3174"/>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74"/>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174"/>
      <c r="Z27" s="1814" t="str">
        <f t="shared" ref="Z27:Z40" si="13">Q27</f>
        <v>临街状况</v>
      </c>
      <c r="AA27" s="1811">
        <f t="shared" si="3"/>
        <v>1</v>
      </c>
      <c r="AB27" s="1811">
        <f t="shared" si="4"/>
        <v>1</v>
      </c>
      <c r="AC27" s="1811">
        <f t="shared" si="5"/>
        <v>1</v>
      </c>
    </row>
    <row r="28" spans="1:29" ht="27">
      <c r="A28" s="427"/>
      <c r="B28" s="632" t="s">
        <v>2685</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74"/>
      <c r="Q28" s="1810" t="str">
        <f t="shared" si="8"/>
        <v>毗邻道路的类型与等级</v>
      </c>
      <c r="R28" s="773" t="s">
        <v>17</v>
      </c>
      <c r="S28" s="774">
        <f t="shared" si="10"/>
        <v>100</v>
      </c>
      <c r="T28" s="773" t="s">
        <v>17</v>
      </c>
      <c r="U28" s="774">
        <f t="shared" si="11"/>
        <v>100</v>
      </c>
      <c r="V28" s="773" t="s">
        <v>17</v>
      </c>
      <c r="W28" s="774">
        <f t="shared" si="12"/>
        <v>100</v>
      </c>
      <c r="X28" s="1813"/>
      <c r="Y28" s="3174"/>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1"/>
      <c r="M29" s="1132"/>
      <c r="N29" s="1132"/>
      <c r="O29" s="1140"/>
      <c r="P29" s="3174"/>
      <c r="Q29" s="1810"/>
      <c r="R29" s="773"/>
      <c r="S29" s="774"/>
      <c r="T29" s="773"/>
      <c r="U29" s="774"/>
      <c r="V29" s="773"/>
      <c r="W29" s="774"/>
      <c r="X29" s="1813"/>
      <c r="Y29" s="3174"/>
      <c r="Z29" s="1814"/>
      <c r="AA29" s="1811">
        <v>1</v>
      </c>
      <c r="AB29" s="1811">
        <v>1</v>
      </c>
      <c r="AC29" s="1811">
        <v>1</v>
      </c>
    </row>
    <row r="30" spans="1:29" ht="15">
      <c r="A30" s="427"/>
      <c r="B30" s="653" t="s">
        <v>2743</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74"/>
      <c r="Q30" s="1810" t="str">
        <f t="shared" si="8"/>
        <v>土地级别</v>
      </c>
      <c r="R30" s="773" t="s">
        <v>17</v>
      </c>
      <c r="S30" s="774">
        <f t="shared" si="10"/>
        <v>100</v>
      </c>
      <c r="T30" s="773" t="s">
        <v>17</v>
      </c>
      <c r="U30" s="774">
        <f t="shared" si="11"/>
        <v>100</v>
      </c>
      <c r="V30" s="773" t="s">
        <v>17</v>
      </c>
      <c r="W30" s="774">
        <f t="shared" si="12"/>
        <v>100</v>
      </c>
      <c r="X30" s="1813"/>
      <c r="Y30" s="3174"/>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74"/>
      <c r="Q31" s="1810">
        <f t="shared" si="8"/>
        <v>111</v>
      </c>
      <c r="R31" s="773" t="s">
        <v>17</v>
      </c>
      <c r="S31" s="774">
        <f t="shared" si="10"/>
        <v>100</v>
      </c>
      <c r="T31" s="773" t="s">
        <v>17</v>
      </c>
      <c r="U31" s="774">
        <f t="shared" si="11"/>
        <v>100</v>
      </c>
      <c r="V31" s="773" t="s">
        <v>17</v>
      </c>
      <c r="W31" s="774">
        <f t="shared" si="12"/>
        <v>100</v>
      </c>
      <c r="X31" s="1813"/>
      <c r="Y31" s="3174"/>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29" t="s">
        <v>2559</v>
      </c>
      <c r="Q32" s="1810">
        <f t="shared" si="8"/>
        <v>111</v>
      </c>
      <c r="R32" s="773" t="s">
        <v>17</v>
      </c>
      <c r="S32" s="774">
        <f t="shared" si="10"/>
        <v>100</v>
      </c>
      <c r="T32" s="773" t="s">
        <v>17</v>
      </c>
      <c r="U32" s="774">
        <f t="shared" si="11"/>
        <v>100</v>
      </c>
      <c r="V32" s="773" t="s">
        <v>17</v>
      </c>
      <c r="W32" s="774">
        <f t="shared" si="12"/>
        <v>100</v>
      </c>
      <c r="X32" s="1813"/>
      <c r="Y32" s="3178" t="s">
        <v>2559</v>
      </c>
      <c r="Z32" s="1814">
        <f t="shared" si="13"/>
        <v>111</v>
      </c>
      <c r="AA32" s="1811">
        <f t="shared" si="3"/>
        <v>1</v>
      </c>
      <c r="AB32" s="1811">
        <f t="shared" si="4"/>
        <v>1</v>
      </c>
      <c r="AC32" s="1811">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78"/>
      <c r="Q33" s="1810">
        <f t="shared" si="8"/>
        <v>111</v>
      </c>
      <c r="R33" s="776" t="s">
        <v>17</v>
      </c>
      <c r="S33" s="777">
        <f t="shared" si="10"/>
        <v>100</v>
      </c>
      <c r="T33" s="776" t="s">
        <v>17</v>
      </c>
      <c r="U33" s="777">
        <f t="shared" si="11"/>
        <v>100</v>
      </c>
      <c r="V33" s="776" t="s">
        <v>17</v>
      </c>
      <c r="W33" s="777">
        <f t="shared" si="12"/>
        <v>100</v>
      </c>
      <c r="X33" s="778"/>
      <c r="Y33" s="3178"/>
      <c r="Z33" s="779">
        <f t="shared" si="13"/>
        <v>111</v>
      </c>
      <c r="AA33" s="1811">
        <f t="shared" si="3"/>
        <v>1</v>
      </c>
      <c r="AB33" s="1811">
        <f t="shared" si="4"/>
        <v>1</v>
      </c>
      <c r="AC33" s="1811">
        <f t="shared" si="5"/>
        <v>1</v>
      </c>
    </row>
    <row r="34" spans="1:29" ht="15">
      <c r="A34" s="439" t="s">
        <v>2557</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78"/>
      <c r="Q34" s="1810" t="str">
        <f>B34</f>
        <v>宗地面积</v>
      </c>
      <c r="R34" s="773" t="s">
        <v>17</v>
      </c>
      <c r="S34" s="774" t="e">
        <f t="shared" si="10"/>
        <v>#N/A</v>
      </c>
      <c r="T34" s="773" t="s">
        <v>17</v>
      </c>
      <c r="U34" s="774" t="e">
        <f t="shared" si="11"/>
        <v>#N/A</v>
      </c>
      <c r="V34" s="773" t="s">
        <v>17</v>
      </c>
      <c r="W34" s="774" t="e">
        <f t="shared" si="12"/>
        <v>#N/A</v>
      </c>
      <c r="X34" s="1813"/>
      <c r="Y34" s="3178"/>
      <c r="Z34" s="1814" t="str">
        <f t="shared" si="13"/>
        <v>宗地面积</v>
      </c>
      <c r="AA34" s="1811" t="e">
        <f t="shared" si="3"/>
        <v>#N/A</v>
      </c>
      <c r="AB34" s="1811" t="e">
        <f t="shared" si="4"/>
        <v>#N/A</v>
      </c>
      <c r="AC34" s="1811" t="e">
        <f t="shared" si="5"/>
        <v>#N/A</v>
      </c>
    </row>
    <row r="35" spans="1:29" ht="15">
      <c r="A35" s="471"/>
      <c r="B35" s="421" t="s">
        <v>2745</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178"/>
      <c r="Q35" s="1810" t="str">
        <f t="shared" ref="Q35:Q40" si="14">B35</f>
        <v>宗地形状</v>
      </c>
      <c r="R35" s="773" t="s">
        <v>17</v>
      </c>
      <c r="S35" s="774">
        <f t="shared" si="10"/>
        <v>100</v>
      </c>
      <c r="T35" s="773" t="s">
        <v>17</v>
      </c>
      <c r="U35" s="774">
        <f t="shared" si="11"/>
        <v>100</v>
      </c>
      <c r="V35" s="773" t="s">
        <v>17</v>
      </c>
      <c r="W35" s="774">
        <f t="shared" si="12"/>
        <v>100</v>
      </c>
      <c r="X35" s="1813"/>
      <c r="Y35" s="3178"/>
      <c r="Z35" s="1814" t="str">
        <f t="shared" si="13"/>
        <v>宗地形状</v>
      </c>
      <c r="AA35" s="1811">
        <f t="shared" si="3"/>
        <v>1</v>
      </c>
      <c r="AB35" s="1811">
        <f t="shared" si="4"/>
        <v>1</v>
      </c>
      <c r="AC35" s="1811">
        <f t="shared" si="5"/>
        <v>1</v>
      </c>
    </row>
    <row r="36" spans="1:29" s="116" customFormat="1" ht="15">
      <c r="A36" s="472"/>
      <c r="B36" s="421" t="s">
        <v>2747</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178"/>
      <c r="Q36" s="1810" t="str">
        <f t="shared" si="14"/>
        <v>宗地开发程度</v>
      </c>
      <c r="R36" s="769" t="s">
        <v>17</v>
      </c>
      <c r="S36" s="770">
        <f t="shared" si="10"/>
        <v>100</v>
      </c>
      <c r="T36" s="769" t="s">
        <v>17</v>
      </c>
      <c r="U36" s="770">
        <f t="shared" si="11"/>
        <v>100</v>
      </c>
      <c r="V36" s="769" t="s">
        <v>17</v>
      </c>
      <c r="W36" s="770">
        <f t="shared" si="12"/>
        <v>100</v>
      </c>
      <c r="X36" s="771"/>
      <c r="Y36" s="3178"/>
      <c r="Z36" s="54" t="str">
        <f t="shared" si="13"/>
        <v>宗地开发程度</v>
      </c>
      <c r="AA36" s="772">
        <f t="shared" si="3"/>
        <v>1</v>
      </c>
      <c r="AB36" s="772">
        <f t="shared" si="4"/>
        <v>1</v>
      </c>
      <c r="AC36" s="772">
        <f t="shared" si="5"/>
        <v>1</v>
      </c>
    </row>
    <row r="37" spans="1:29" ht="15">
      <c r="A37" s="471"/>
      <c r="B37" s="421" t="s">
        <v>2748</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178" t="s">
        <v>2559</v>
      </c>
      <c r="Q37" s="1810" t="str">
        <f t="shared" si="14"/>
        <v>工程地质条件</v>
      </c>
      <c r="R37" s="773" t="s">
        <v>17</v>
      </c>
      <c r="S37" s="774">
        <f t="shared" si="10"/>
        <v>100</v>
      </c>
      <c r="T37" s="773" t="s">
        <v>17</v>
      </c>
      <c r="U37" s="774">
        <f t="shared" si="11"/>
        <v>100</v>
      </c>
      <c r="V37" s="773" t="s">
        <v>17</v>
      </c>
      <c r="W37" s="774">
        <f t="shared" si="12"/>
        <v>100</v>
      </c>
      <c r="X37" s="1813"/>
      <c r="Y37" s="3178" t="s">
        <v>2559</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78"/>
      <c r="Q38" s="1810">
        <f t="shared" si="14"/>
        <v>111</v>
      </c>
      <c r="R38" s="773" t="s">
        <v>17</v>
      </c>
      <c r="S38" s="774">
        <f t="shared" si="10"/>
        <v>100</v>
      </c>
      <c r="T38" s="773" t="s">
        <v>17</v>
      </c>
      <c r="U38" s="774">
        <f t="shared" si="11"/>
        <v>100</v>
      </c>
      <c r="V38" s="773" t="s">
        <v>17</v>
      </c>
      <c r="W38" s="774">
        <f t="shared" si="12"/>
        <v>100</v>
      </c>
      <c r="X38" s="1813"/>
      <c r="Y38" s="3178"/>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78"/>
      <c r="Q39" s="1810">
        <f t="shared" si="14"/>
        <v>111</v>
      </c>
      <c r="R39" s="773" t="s">
        <v>17</v>
      </c>
      <c r="S39" s="774">
        <f t="shared" si="10"/>
        <v>100</v>
      </c>
      <c r="T39" s="773" t="s">
        <v>17</v>
      </c>
      <c r="U39" s="774">
        <f t="shared" si="11"/>
        <v>100</v>
      </c>
      <c r="V39" s="773" t="s">
        <v>17</v>
      </c>
      <c r="W39" s="774">
        <f t="shared" si="12"/>
        <v>100</v>
      </c>
      <c r="X39" s="1813"/>
      <c r="Y39" s="3178"/>
      <c r="Z39" s="1814">
        <f t="shared" si="13"/>
        <v>111</v>
      </c>
      <c r="AA39" s="1811">
        <f t="shared" si="3"/>
        <v>1</v>
      </c>
      <c r="AB39" s="1811">
        <f t="shared" si="4"/>
        <v>1</v>
      </c>
      <c r="AC39" s="1811">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78"/>
      <c r="Q40" s="1810">
        <f t="shared" si="14"/>
        <v>111</v>
      </c>
      <c r="R40" s="776" t="s">
        <v>17</v>
      </c>
      <c r="S40" s="777">
        <f t="shared" si="10"/>
        <v>100</v>
      </c>
      <c r="T40" s="776" t="s">
        <v>17</v>
      </c>
      <c r="U40" s="777">
        <f t="shared" si="11"/>
        <v>100</v>
      </c>
      <c r="V40" s="776" t="s">
        <v>17</v>
      </c>
      <c r="W40" s="777">
        <f t="shared" si="12"/>
        <v>100</v>
      </c>
      <c r="X40" s="778"/>
      <c r="Y40" s="3178"/>
      <c r="Z40" s="779">
        <f t="shared" si="13"/>
        <v>111</v>
      </c>
      <c r="AA40" s="1811">
        <f t="shared" si="3"/>
        <v>1</v>
      </c>
      <c r="AB40" s="1811">
        <f t="shared" si="4"/>
        <v>1</v>
      </c>
      <c r="AC40" s="1811">
        <f t="shared" si="5"/>
        <v>1</v>
      </c>
    </row>
    <row r="41" spans="1:29" ht="15">
      <c r="A41" s="478" t="s">
        <v>2714</v>
      </c>
      <c r="B41" s="2706" t="s">
        <v>2792</v>
      </c>
      <c r="C41" s="681" t="s">
        <v>1</v>
      </c>
      <c r="D41" s="480"/>
      <c r="E41" s="481"/>
      <c r="F41" s="482"/>
      <c r="G41" s="483"/>
      <c r="H41" s="484"/>
      <c r="I41" s="481"/>
      <c r="J41" s="484"/>
      <c r="K41" s="782"/>
      <c r="L41" s="1144"/>
      <c r="M41" s="1132"/>
      <c r="N41" s="1132"/>
      <c r="O41" s="1145"/>
      <c r="P41" s="3171" t="str">
        <f>A41</f>
        <v>成交单价</v>
      </c>
      <c r="Q41" s="3171"/>
      <c r="R41" s="3202">
        <f>E41</f>
        <v>0</v>
      </c>
      <c r="S41" s="3202"/>
      <c r="T41" s="3202">
        <f>G41</f>
        <v>0</v>
      </c>
      <c r="U41" s="3202"/>
      <c r="V41" s="3202">
        <f>I41</f>
        <v>0</v>
      </c>
      <c r="W41" s="3202"/>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4"/>
      <c r="M42" s="1132"/>
      <c r="N42" s="1132"/>
      <c r="O42" s="1145"/>
      <c r="P42" s="3171" t="str">
        <f>A42</f>
        <v>比较价值（元/平方米）</v>
      </c>
      <c r="Q42" s="3171"/>
      <c r="R42" s="3230" t="e">
        <f>ROUND(PRODUCT(R41,AA7:AA40),0)</f>
        <v>#DIV/0!</v>
      </c>
      <c r="S42" s="3230"/>
      <c r="T42" s="3230" t="e">
        <f>ROUND(PRODUCT(T41,AB7:AB40),0)</f>
        <v>#DIV/0!</v>
      </c>
      <c r="U42" s="3230"/>
      <c r="V42" s="3230" t="e">
        <f>ROUND(PRODUCT(V41,AC7:AC40),0)</f>
        <v>#DIV/0!</v>
      </c>
      <c r="W42" s="3230"/>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4"/>
      <c r="M43" s="1132"/>
      <c r="N43" s="1132"/>
      <c r="O43" s="1145"/>
      <c r="P43" s="3168" t="str">
        <f>A43</f>
        <v>估价对象XX用房的比较价值（楼面单价，元/平方米）</v>
      </c>
      <c r="Q43" s="3169"/>
      <c r="R43" s="3231" t="e">
        <f>ROUND(AVERAGE(R42:V42),0)</f>
        <v>#DIV/0!</v>
      </c>
      <c r="S43" s="3231"/>
      <c r="T43" s="3231"/>
      <c r="U43" s="3231"/>
      <c r="V43" s="3231"/>
      <c r="W43" s="3231"/>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2751</v>
      </c>
      <c r="B50" s="684" t="s">
        <v>2752</v>
      </c>
      <c r="C50" s="2707" t="s">
        <v>2753</v>
      </c>
      <c r="D50" s="2708" t="s">
        <v>2754</v>
      </c>
      <c r="E50" s="685" t="s">
        <v>2755</v>
      </c>
      <c r="F50" s="686" t="s">
        <v>2756</v>
      </c>
      <c r="G50" s="3186" t="s">
        <v>2757</v>
      </c>
      <c r="H50" s="3232"/>
      <c r="I50" s="1814" t="s">
        <v>2793</v>
      </c>
      <c r="J50" s="1814">
        <f>项目基本情况!F35</f>
        <v>0</v>
      </c>
      <c r="K50" s="2710" t="s">
        <v>2759</v>
      </c>
      <c r="L50" s="1107"/>
      <c r="M50" s="1145"/>
      <c r="N50" s="1145"/>
      <c r="O50" s="1145"/>
    </row>
    <row r="51" spans="1:17" s="691" customFormat="1">
      <c r="A51" s="687" t="s">
        <v>2760</v>
      </c>
      <c r="B51" s="688" t="e">
        <f>C43</f>
        <v>#DIV/0!</v>
      </c>
      <c r="C51" s="689">
        <v>1</v>
      </c>
      <c r="D51" s="1164">
        <v>1</v>
      </c>
      <c r="E51" s="689">
        <f>'数据-汇总表'!E8+'数据-汇总表'!E9</f>
        <v>49991.200000000012</v>
      </c>
      <c r="F51" s="690" t="e">
        <f t="shared" ref="F51:F60" si="15">ROUND(B51*E51/10000,0)</f>
        <v>#DIV/0!</v>
      </c>
      <c r="G51" s="3182"/>
      <c r="H51" s="3171"/>
      <c r="I51" s="943">
        <v>1</v>
      </c>
      <c r="J51" s="943">
        <v>1</v>
      </c>
      <c r="K51" s="1146"/>
      <c r="L51" s="942"/>
      <c r="M51" s="942"/>
      <c r="N51" s="942"/>
      <c r="O51" s="942"/>
    </row>
    <row r="52" spans="1:17" s="691" customFormat="1">
      <c r="A52" s="692" t="s">
        <v>2761</v>
      </c>
      <c r="B52" s="261" t="e">
        <f>ROUND($C$43*C52*D52,0)</f>
        <v>#DIV/0!</v>
      </c>
      <c r="C52" s="199">
        <f t="shared" ref="C52:C60" si="16">IF($C$50="北京市系数",I52,J52)</f>
        <v>0</v>
      </c>
      <c r="D52" s="1165">
        <v>0.25</v>
      </c>
      <c r="E52" s="693"/>
      <c r="F52" s="690" t="e">
        <f t="shared" si="15"/>
        <v>#DIV/0!</v>
      </c>
      <c r="G52" s="3233" t="s">
        <v>2762</v>
      </c>
      <c r="H52" s="1105">
        <f>项目基本情况!B37</f>
        <v>0</v>
      </c>
      <c r="I52" s="943">
        <f>SUMIF(修正!A45:A56,H52,修正!B45:B56)</f>
        <v>0</v>
      </c>
      <c r="J52" s="944"/>
      <c r="K52" s="1145"/>
      <c r="L52" s="942"/>
      <c r="M52" s="942"/>
      <c r="N52" s="942"/>
      <c r="O52" s="942"/>
    </row>
    <row r="53" spans="1:17" s="691" customFormat="1">
      <c r="A53" s="692" t="s">
        <v>2763</v>
      </c>
      <c r="B53" s="261" t="e">
        <f t="shared" ref="B53:B60" si="17">ROUND($C$43*C53*D53,0)</f>
        <v>#DIV/0!</v>
      </c>
      <c r="C53" s="199">
        <f t="shared" si="16"/>
        <v>0</v>
      </c>
      <c r="D53" s="1165">
        <v>0.25</v>
      </c>
      <c r="E53" s="693"/>
      <c r="F53" s="690" t="e">
        <f t="shared" si="15"/>
        <v>#DIV/0!</v>
      </c>
      <c r="G53" s="3233"/>
      <c r="H53" s="1105">
        <f>项目基本情况!B37</f>
        <v>0</v>
      </c>
      <c r="I53" s="943">
        <f>SUMIF(修正!A45:A56,H53,修正!C45:C56)</f>
        <v>0</v>
      </c>
      <c r="J53" s="944"/>
      <c r="K53" s="1146"/>
      <c r="L53" s="942"/>
      <c r="M53" s="942"/>
      <c r="N53" s="942"/>
      <c r="O53" s="942"/>
    </row>
    <row r="54" spans="1:17" s="691" customFormat="1">
      <c r="A54" s="692" t="s">
        <v>2764</v>
      </c>
      <c r="B54" s="261" t="e">
        <f t="shared" si="17"/>
        <v>#DIV/0!</v>
      </c>
      <c r="C54" s="199">
        <f t="shared" si="16"/>
        <v>0</v>
      </c>
      <c r="D54" s="1165">
        <v>0.25</v>
      </c>
      <c r="E54" s="693"/>
      <c r="F54" s="690" t="e">
        <f t="shared" si="15"/>
        <v>#DIV/0!</v>
      </c>
      <c r="G54" s="3233"/>
      <c r="H54" s="1105">
        <f>项目基本情况!B37</f>
        <v>0</v>
      </c>
      <c r="I54" s="943">
        <f>SUMIF(修正!A45:A56,H54,修正!D45:D56)</f>
        <v>0</v>
      </c>
      <c r="J54" s="944"/>
      <c r="K54" s="1145"/>
      <c r="L54" s="942"/>
      <c r="M54" s="942"/>
      <c r="N54" s="942"/>
      <c r="O54" s="942"/>
    </row>
    <row r="55" spans="1:17" s="691" customFormat="1">
      <c r="A55" s="692" t="s">
        <v>2765</v>
      </c>
      <c r="B55" s="261" t="e">
        <f t="shared" si="17"/>
        <v>#DIV/0!</v>
      </c>
      <c r="C55" s="199">
        <f t="shared" si="16"/>
        <v>0</v>
      </c>
      <c r="D55" s="1165">
        <v>0.25</v>
      </c>
      <c r="E55" s="693"/>
      <c r="F55" s="690" t="e">
        <f t="shared" si="15"/>
        <v>#DIV/0!</v>
      </c>
      <c r="G55" s="3233"/>
      <c r="H55" s="1105">
        <f>项目基本情况!B37</f>
        <v>0</v>
      </c>
      <c r="I55" s="943">
        <f>SUMIF(修正!A45:A56,H55,修正!E45:E56)</f>
        <v>0</v>
      </c>
      <c r="J55" s="944"/>
      <c r="K55" s="1146"/>
      <c r="L55" s="942"/>
      <c r="M55" s="942"/>
      <c r="N55" s="942"/>
      <c r="O55" s="942"/>
    </row>
    <row r="56" spans="1:17" s="691" customFormat="1">
      <c r="A56" s="692" t="s">
        <v>2766</v>
      </c>
      <c r="B56" s="261" t="e">
        <f t="shared" si="17"/>
        <v>#DIV/0!</v>
      </c>
      <c r="C56" s="199">
        <f t="shared" si="16"/>
        <v>0</v>
      </c>
      <c r="D56" s="1165">
        <v>0.25</v>
      </c>
      <c r="E56" s="260">
        <f>'数据-汇总表'!E11</f>
        <v>0</v>
      </c>
      <c r="F56" s="690" t="e">
        <f t="shared" si="15"/>
        <v>#DIV/0!</v>
      </c>
      <c r="G56" s="2711" t="s">
        <v>2767</v>
      </c>
      <c r="H56" s="1105">
        <f>项目基本情况!C37</f>
        <v>0</v>
      </c>
      <c r="I56" s="943">
        <f>SUMIF(修正!A45:A56,H56,修正!F45:F56)</f>
        <v>0</v>
      </c>
      <c r="J56" s="944"/>
      <c r="K56" s="1145"/>
      <c r="L56" s="942"/>
      <c r="M56" s="942"/>
      <c r="N56" s="942"/>
      <c r="O56" s="942"/>
    </row>
    <row r="57" spans="1:17" s="691" customFormat="1">
      <c r="A57" s="692" t="s">
        <v>2768</v>
      </c>
      <c r="B57" s="261" t="e">
        <f t="shared" si="17"/>
        <v>#DIV/0!</v>
      </c>
      <c r="C57" s="199">
        <f t="shared" si="16"/>
        <v>0</v>
      </c>
      <c r="D57" s="1165">
        <v>0.25</v>
      </c>
      <c r="E57" s="260">
        <f>'数据-汇总表'!E12</f>
        <v>0</v>
      </c>
      <c r="F57" s="690" t="e">
        <f t="shared" si="15"/>
        <v>#DIV/0!</v>
      </c>
      <c r="G57" s="1110" t="s">
        <v>2769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2770</v>
      </c>
      <c r="B58" s="261" t="e">
        <f t="shared" si="17"/>
        <v>#DIV/0!</v>
      </c>
      <c r="C58" s="199">
        <f t="shared" si="16"/>
        <v>0</v>
      </c>
      <c r="D58" s="1165">
        <v>0.25</v>
      </c>
      <c r="E58" s="260">
        <f>'数据-汇总表'!E13</f>
        <v>0</v>
      </c>
      <c r="F58" s="690" t="e">
        <f t="shared" si="15"/>
        <v>#DIV/0!</v>
      </c>
      <c r="G58" s="1110" t="s">
        <v>2771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2772</v>
      </c>
      <c r="B59" s="261" t="e">
        <f t="shared" si="17"/>
        <v>#DIV/0!</v>
      </c>
      <c r="C59" s="199">
        <f t="shared" si="16"/>
        <v>0</v>
      </c>
      <c r="D59" s="1165">
        <v>0.25</v>
      </c>
      <c r="E59" s="260">
        <f>'数据-汇总表'!E14</f>
        <v>0</v>
      </c>
      <c r="F59" s="690" t="e">
        <f t="shared" si="15"/>
        <v>#DIV/0!</v>
      </c>
      <c r="G59" s="2711" t="s">
        <v>2762</v>
      </c>
      <c r="H59" s="1105">
        <f>项目基本情况!B37</f>
        <v>0</v>
      </c>
      <c r="I59" s="943">
        <f>SUMIF(修正!A45:A56,H59,修正!H45:H56)</f>
        <v>0</v>
      </c>
      <c r="J59" s="944"/>
      <c r="K59" s="1146"/>
      <c r="L59" s="942"/>
      <c r="M59" s="942"/>
      <c r="N59" s="942"/>
      <c r="O59" s="942"/>
    </row>
    <row r="60" spans="1:17" s="691" customFormat="1" ht="15" thickBot="1">
      <c r="A60" s="692" t="s">
        <v>2773</v>
      </c>
      <c r="B60" s="261" t="e">
        <f t="shared" si="17"/>
        <v>#DIV/0!</v>
      </c>
      <c r="C60" s="199">
        <f t="shared" si="16"/>
        <v>0</v>
      </c>
      <c r="D60" s="1165">
        <v>0.25</v>
      </c>
      <c r="E60" s="260">
        <f>'数据-汇总表'!E15</f>
        <v>0</v>
      </c>
      <c r="F60" s="690" t="e">
        <f t="shared" si="15"/>
        <v>#DIV/0!</v>
      </c>
      <c r="G60" s="2712" t="s">
        <v>2767</v>
      </c>
      <c r="H60" s="1115">
        <f>项目基本情况!C37</f>
        <v>0</v>
      </c>
      <c r="I60" s="943">
        <f>SUMIF(修正!A45:A56,H60,修正!H45:H56)</f>
        <v>0</v>
      </c>
      <c r="J60" s="944"/>
      <c r="K60" s="1145"/>
      <c r="L60" s="942"/>
      <c r="M60" s="942"/>
      <c r="N60" s="942"/>
      <c r="O60" s="942"/>
    </row>
    <row r="61" spans="1:17" s="691" customFormat="1" ht="15" thickBot="1">
      <c r="A61" s="694" t="s">
        <v>2774</v>
      </c>
      <c r="B61" s="695" t="s">
        <v>28</v>
      </c>
      <c r="C61" s="695" t="s">
        <v>29</v>
      </c>
      <c r="D61" s="695" t="s">
        <v>1026</v>
      </c>
      <c r="E61" s="695">
        <f>IF(B41="楼面地价",SUM(E51:E60),'数据-汇总表'!D3)</f>
        <v>12497.8</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2668</v>
      </c>
      <c r="B64" s="758"/>
      <c r="C64" s="763"/>
      <c r="D64" s="763"/>
      <c r="E64" s="763"/>
      <c r="F64" s="764"/>
      <c r="G64" s="764"/>
      <c r="H64" s="763"/>
      <c r="I64" s="763"/>
      <c r="J64" s="763"/>
      <c r="K64" s="765"/>
      <c r="L64" s="766"/>
      <c r="M64" s="763"/>
      <c r="N64" s="763"/>
      <c r="O64" s="1160"/>
      <c r="P64" s="502"/>
      <c r="Q64" s="503"/>
    </row>
    <row r="65" spans="1:17" s="507" customFormat="1" ht="15">
      <c r="A65" s="2713" t="s">
        <v>2775</v>
      </c>
      <c r="B65" s="1360"/>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6" customFormat="1" ht="30.75" customHeight="1">
      <c r="A66" s="2718" t="s">
        <v>2794</v>
      </c>
      <c r="B66" s="331" t="str">
        <f>"北京市平均增长率"&amp;TEXT(基准地价修正!P24,"0.00%")</f>
        <v>北京市平均增长率1.42%</v>
      </c>
      <c r="C66" s="602">
        <v>100</v>
      </c>
      <c r="D66" s="594"/>
      <c r="E66" s="594"/>
      <c r="F66" s="594"/>
      <c r="G66" s="594"/>
      <c r="H66" s="594"/>
      <c r="I66" s="594"/>
      <c r="J66" s="594"/>
      <c r="K66" s="594"/>
      <c r="L66" s="594"/>
      <c r="M66" s="1568"/>
      <c r="N66" s="1568"/>
      <c r="O66" s="1569"/>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2582</v>
      </c>
      <c r="B70" s="527" t="s">
        <v>2548</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2551</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2777</v>
      </c>
      <c r="C87" s="572" t="s">
        <v>2591</v>
      </c>
      <c r="D87" s="572" t="s">
        <v>2592</v>
      </c>
      <c r="E87" s="572" t="s">
        <v>2593</v>
      </c>
      <c r="F87" s="572" t="s">
        <v>2594</v>
      </c>
      <c r="G87" s="572" t="s">
        <v>2595</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2778</v>
      </c>
      <c r="C89" s="572" t="s">
        <v>2591</v>
      </c>
      <c r="D89" s="572" t="s">
        <v>2592</v>
      </c>
      <c r="E89" s="572" t="s">
        <v>2593</v>
      </c>
      <c r="F89" s="572" t="s">
        <v>2594</v>
      </c>
      <c r="G89" s="572" t="s">
        <v>2595</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2795</v>
      </c>
      <c r="C93" s="659" t="s">
        <v>2669</v>
      </c>
      <c r="D93" s="659" t="s">
        <v>2670</v>
      </c>
      <c r="E93" s="659" t="s">
        <v>2671</v>
      </c>
      <c r="F93" s="659" t="s">
        <v>2672</v>
      </c>
      <c r="G93" s="659" t="s">
        <v>2673</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2685</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2743</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2557</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2784</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2786</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2787</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2796</v>
      </c>
      <c r="B1" s="240"/>
      <c r="C1" s="244" t="s">
        <v>2797</v>
      </c>
      <c r="D1" s="387">
        <f>SUM(D29:D30,D33:D39)</f>
        <v>0</v>
      </c>
      <c r="E1" s="2719"/>
      <c r="F1" s="2719"/>
      <c r="G1" s="2719"/>
      <c r="H1" s="2719"/>
      <c r="I1" s="2719"/>
      <c r="J1" s="2719"/>
      <c r="K1" s="1371"/>
      <c r="L1" s="2720" t="s">
        <v>2798</v>
      </c>
      <c r="M1" s="1081">
        <f>SUMPRODUCT((区片价!B5:B9=I2)*(区片价!C3:F3=E2)*(区片价!C5:F9))</f>
        <v>0</v>
      </c>
      <c r="N1" s="1084">
        <f>SUMPRODUCT((因素修正幅度!B5:B9=I2)*(因素修正幅度!C3:F3=E2)*(因素修正幅度!C5:F9))</f>
        <v>0</v>
      </c>
      <c r="O1" s="2721"/>
      <c r="P1" s="2721"/>
      <c r="Q1" s="1371"/>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4" t="s">
        <v>2804</v>
      </c>
      <c r="B2" s="247" t="e">
        <f>C26</f>
        <v>#DIV/0!</v>
      </c>
      <c r="C2" s="2723" t="s">
        <v>2805</v>
      </c>
      <c r="D2" s="2724" t="s">
        <v>2806</v>
      </c>
      <c r="E2" s="2725"/>
      <c r="F2" s="2724" t="s">
        <v>2807</v>
      </c>
      <c r="G2" s="2726">
        <f>IF(E2="商业",项目基本情况!B37,IF(E2="办公",项目基本情况!C37,IF(E2="住宅",项目基本情况!D37,项目基本情况!E37)))</f>
        <v>0</v>
      </c>
      <c r="H2" s="2724" t="s">
        <v>2808</v>
      </c>
      <c r="I2" s="2726">
        <f>IF(E2="商业",项目基本情况!B38,IF(E2="办公",项目基本情况!C38,IF(E2="住宅",项目基本情况!D38,项目基本情况!E38)))</f>
        <v>0</v>
      </c>
      <c r="J2" s="2727"/>
      <c r="K2" s="1371"/>
      <c r="L2" s="2728" t="s">
        <v>2809</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2810</v>
      </c>
      <c r="B3" s="247" t="e">
        <f>ROUND(B2*10000/D1,0)</f>
        <v>#DIV/0!</v>
      </c>
      <c r="C3" s="2723" t="s">
        <v>2811</v>
      </c>
      <c r="D3" s="2724" t="s">
        <v>2812</v>
      </c>
      <c r="E3" s="2729"/>
      <c r="F3" s="2730" t="s">
        <v>2813</v>
      </c>
      <c r="G3" s="914">
        <f>IF(F3="宗地容积率",'数据-汇总表'!I4,IF(F3="估价对象容积率",'数据-汇总表'!I6,'数据-汇总表'!I7))</f>
        <v>4</v>
      </c>
      <c r="H3" s="197" t="s">
        <v>2814</v>
      </c>
      <c r="I3" s="945"/>
      <c r="J3" s="2727" t="s">
        <v>2815</v>
      </c>
      <c r="K3" s="1371"/>
      <c r="L3" s="2728" t="s">
        <v>2816</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1"/>
      <c r="B4" s="3242"/>
      <c r="C4" s="3242"/>
      <c r="D4" s="3243"/>
      <c r="E4" s="3243"/>
      <c r="F4" s="3243"/>
      <c r="G4" s="3243"/>
      <c r="H4" s="3243"/>
      <c r="I4" s="3243"/>
      <c r="J4" s="3244"/>
      <c r="K4" s="1371"/>
      <c r="L4" s="2728" t="s">
        <v>2817</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2818</v>
      </c>
      <c r="C5" s="915" t="e">
        <f>ROUND(IF(E2="商业",IF(F16="增加",C6*C7+C16,C6*C7-C16),IF(E2="住宅",IF(F16="增加",C6*C12+C16,C6*C12-C16),IF(F16="增加",C6+C16,C6-C16))),0)</f>
        <v>#DIV/0!</v>
      </c>
      <c r="D5" s="1787" t="e">
        <f>ROUND(IF(F16="增加",C6+C16,C6-C16),0)</f>
        <v>#DIV/0!</v>
      </c>
      <c r="E5" s="1787"/>
      <c r="F5" s="2733"/>
      <c r="G5" s="2734"/>
      <c r="H5" s="2734"/>
      <c r="I5" s="2734"/>
      <c r="J5" s="2735"/>
      <c r="K5" s="2736"/>
      <c r="L5" s="2728" t="s">
        <v>2819</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2820</v>
      </c>
      <c r="B6" s="2742" t="s">
        <v>2821</v>
      </c>
      <c r="C6" s="916">
        <f>SUMIF(L1:L12,G2,M1:M12)</f>
        <v>0</v>
      </c>
      <c r="D6" s="2743" t="s">
        <v>2822</v>
      </c>
      <c r="E6" s="2744"/>
      <c r="F6" s="2744"/>
      <c r="G6" s="2745"/>
      <c r="H6" s="2745"/>
      <c r="I6" s="2745"/>
      <c r="J6" s="2746"/>
      <c r="K6" s="1842"/>
      <c r="L6" s="2728" t="s">
        <v>2823</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45" t="str">
        <f>IF(E2="商业",IF(C8="不临58条商业街","",2),"")</f>
        <v/>
      </c>
      <c r="B7" s="2747" t="s">
        <v>2824</v>
      </c>
      <c r="C7" s="917" t="e">
        <f>IF(C8="不临58条商业街",1,ROUND(1+(1.6*E8+1.2*E9+0.8*E10+0.4*E11)*C9,4))</f>
        <v>#DIV/0!</v>
      </c>
      <c r="D7" s="2748" t="s">
        <v>2825</v>
      </c>
      <c r="E7" s="946"/>
      <c r="F7" s="2749"/>
      <c r="G7" s="2750"/>
      <c r="H7" s="2750"/>
      <c r="I7" s="2750"/>
      <c r="J7" s="2751"/>
      <c r="K7" s="1842"/>
      <c r="L7" s="2728" t="s">
        <v>2826</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2827</v>
      </c>
      <c r="X7" s="1604">
        <f>G2</f>
        <v>0</v>
      </c>
      <c r="Y7" s="1604" t="s">
        <v>2828</v>
      </c>
      <c r="Z7" s="1605">
        <f>G3</f>
        <v>4</v>
      </c>
      <c r="AA7" s="1606"/>
      <c r="AB7" s="1606"/>
      <c r="AC7" s="1607"/>
      <c r="AD7" s="1608"/>
      <c r="AE7" s="1608"/>
      <c r="AF7" s="1608"/>
      <c r="AG7" s="1608"/>
      <c r="AH7" s="1608"/>
      <c r="AI7" s="1608"/>
      <c r="AJ7" s="1609"/>
    </row>
    <row r="8" spans="1:36" ht="15">
      <c r="A8" s="3246"/>
      <c r="B8" s="197" t="s">
        <v>2829</v>
      </c>
      <c r="C8" s="2752"/>
      <c r="D8" s="918" t="s">
        <v>139</v>
      </c>
      <c r="E8" s="919" t="e">
        <f>ROUND(C11/E7,4)</f>
        <v>#DIV/0!</v>
      </c>
      <c r="F8" s="2753" t="s">
        <v>2830</v>
      </c>
      <c r="G8" s="2754"/>
      <c r="H8" s="2754"/>
      <c r="I8" s="2754"/>
      <c r="J8" s="2755"/>
      <c r="K8" s="1371"/>
      <c r="L8" s="2728" t="s">
        <v>2831</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38" t="s">
        <v>2832</v>
      </c>
      <c r="X8" s="3239"/>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46"/>
      <c r="B9" s="197" t="s">
        <v>2845</v>
      </c>
      <c r="C9" s="920">
        <f>SUMIF(修正!C59:C119,C8,修正!E59:E119)</f>
        <v>0</v>
      </c>
      <c r="D9" s="199" t="s">
        <v>140</v>
      </c>
      <c r="E9" s="199" t="e">
        <f>ROUND(C11/E7,4)</f>
        <v>#DIV/0!</v>
      </c>
      <c r="F9" s="2753" t="s">
        <v>2846</v>
      </c>
      <c r="G9" s="2754"/>
      <c r="H9" s="2754"/>
      <c r="I9" s="2754"/>
      <c r="J9" s="2755"/>
      <c r="K9" s="1371"/>
      <c r="L9" s="2728" t="s">
        <v>2847</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40"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6"/>
      <c r="B10" s="197" t="s">
        <v>2850</v>
      </c>
      <c r="C10" s="199">
        <f>SUMIF(修正!C59:C119,C8,修正!F59:F119)</f>
        <v>0</v>
      </c>
      <c r="D10" s="199" t="s">
        <v>141</v>
      </c>
      <c r="E10" s="199" t="e">
        <f>ROUND(C11/E7,4)</f>
        <v>#DIV/0!</v>
      </c>
      <c r="F10" s="2753" t="s">
        <v>2851</v>
      </c>
      <c r="G10" s="2754"/>
      <c r="H10" s="2754"/>
      <c r="I10" s="2754"/>
      <c r="J10" s="2755"/>
      <c r="K10" s="1371"/>
      <c r="L10" s="2728" t="s">
        <v>2852</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4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6"/>
      <c r="B11" s="2756" t="s">
        <v>2853</v>
      </c>
      <c r="C11" s="921">
        <f>C10/4</f>
        <v>0</v>
      </c>
      <c r="D11" s="921" t="s">
        <v>142</v>
      </c>
      <c r="E11" s="921" t="e">
        <f>ROUND(C11/E7,4)</f>
        <v>#DIV/0!</v>
      </c>
      <c r="F11" s="2757" t="s">
        <v>2854</v>
      </c>
      <c r="G11" s="2758"/>
      <c r="H11" s="2758"/>
      <c r="I11" s="2758"/>
      <c r="J11" s="2759"/>
      <c r="K11" s="1371"/>
      <c r="L11" s="2728" t="s">
        <v>2855</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40" t="s">
        <v>2856</v>
      </c>
      <c r="X11" s="1614" t="s">
        <v>2857</v>
      </c>
      <c r="Y11" s="1615">
        <f>$G$3</f>
        <v>4</v>
      </c>
      <c r="Z11" s="1615">
        <f t="shared" ref="Z11:AJ11" si="3">$G$3</f>
        <v>4</v>
      </c>
      <c r="AA11" s="1615">
        <f t="shared" si="3"/>
        <v>4</v>
      </c>
      <c r="AB11" s="1615">
        <f t="shared" si="3"/>
        <v>4</v>
      </c>
      <c r="AC11" s="1615">
        <f t="shared" si="3"/>
        <v>4</v>
      </c>
      <c r="AD11" s="1615">
        <f t="shared" si="3"/>
        <v>4</v>
      </c>
      <c r="AE11" s="1615">
        <f t="shared" si="3"/>
        <v>4</v>
      </c>
      <c r="AF11" s="1615">
        <f t="shared" si="3"/>
        <v>4</v>
      </c>
      <c r="AG11" s="1615">
        <f t="shared" si="3"/>
        <v>4</v>
      </c>
      <c r="AH11" s="1615">
        <f t="shared" si="3"/>
        <v>4</v>
      </c>
      <c r="AI11" s="1615">
        <f t="shared" si="3"/>
        <v>4</v>
      </c>
      <c r="AJ11" s="1615">
        <f t="shared" si="3"/>
        <v>4</v>
      </c>
    </row>
    <row r="12" spans="1:36" ht="25.5" thickBot="1">
      <c r="A12" s="3245" t="s">
        <v>2858</v>
      </c>
      <c r="B12" s="2760" t="s">
        <v>2859</v>
      </c>
      <c r="C12" s="917">
        <f>ROUND(C15*D15*E15*F15*G15*H15*I15*J15,4)</f>
        <v>1</v>
      </c>
      <c r="D12" s="2761" t="s">
        <v>2860</v>
      </c>
      <c r="E12" s="2762"/>
      <c r="F12" s="2762"/>
      <c r="G12" s="2763"/>
      <c r="H12" s="2763"/>
      <c r="I12" s="2763"/>
      <c r="J12" s="2764"/>
      <c r="K12" s="1371"/>
      <c r="L12" s="2765" t="s">
        <v>2861</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40"/>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7"/>
      <c r="B13" s="2766" t="s">
        <v>2863</v>
      </c>
      <c r="C13" s="2767" t="s">
        <v>2864</v>
      </c>
      <c r="D13" s="1808" t="s">
        <v>2865</v>
      </c>
      <c r="E13" s="1808" t="s">
        <v>2866</v>
      </c>
      <c r="F13" s="29" t="s">
        <v>2867</v>
      </c>
      <c r="G13" s="2768" t="s">
        <v>2868</v>
      </c>
      <c r="H13" s="2768" t="s">
        <v>2868</v>
      </c>
      <c r="I13" s="2768" t="s">
        <v>2868</v>
      </c>
      <c r="J13" s="2769" t="s">
        <v>2868</v>
      </c>
      <c r="K13" s="1371"/>
      <c r="L13" s="1371"/>
      <c r="M13" s="1371"/>
      <c r="N13" s="1371"/>
      <c r="O13" s="1371"/>
      <c r="P13" s="1371"/>
      <c r="Q13" s="1371"/>
      <c r="R13" s="1602">
        <v>12</v>
      </c>
      <c r="S13" s="1603"/>
      <c r="T13" s="1602" t="e">
        <f t="shared" si="0"/>
        <v>#DIV/0!</v>
      </c>
      <c r="U13" s="1603"/>
      <c r="V13" s="1602" t="e">
        <f t="shared" si="1"/>
        <v>#DIV/0!</v>
      </c>
      <c r="W13" s="3240"/>
      <c r="X13" s="1616"/>
      <c r="Y13" s="1613">
        <f>(-0.163*(Y12^2)-0.59*Y12+7617)*(10^(-4))/Y11</f>
        <v>0.19042500000000001</v>
      </c>
      <c r="Z13" s="1613">
        <f t="shared" ref="Z13:AJ13" si="5">(-0.163*(Z12^2)-0.59*Z12+7617)*(10^(-4))/Z11</f>
        <v>0.19042500000000001</v>
      </c>
      <c r="AA13" s="1613">
        <f t="shared" si="5"/>
        <v>0.19042500000000001</v>
      </c>
      <c r="AB13" s="1613">
        <f t="shared" si="5"/>
        <v>0.19042500000000001</v>
      </c>
      <c r="AC13" s="1613">
        <f t="shared" si="5"/>
        <v>0.19042500000000001</v>
      </c>
      <c r="AD13" s="1613">
        <f t="shared" si="5"/>
        <v>0.19042500000000001</v>
      </c>
      <c r="AE13" s="1613">
        <f t="shared" si="5"/>
        <v>0.19042500000000001</v>
      </c>
      <c r="AF13" s="1613">
        <f t="shared" si="5"/>
        <v>0.19042500000000001</v>
      </c>
      <c r="AG13" s="1613">
        <f t="shared" si="5"/>
        <v>0.19042500000000001</v>
      </c>
      <c r="AH13" s="1613">
        <f t="shared" si="5"/>
        <v>0.19042500000000001</v>
      </c>
      <c r="AI13" s="1613">
        <f t="shared" si="5"/>
        <v>0.19042500000000001</v>
      </c>
      <c r="AJ13" s="1613">
        <f t="shared" si="5"/>
        <v>0.19042500000000001</v>
      </c>
    </row>
    <row r="14" spans="1:36" ht="15">
      <c r="A14" s="3247"/>
      <c r="B14" s="2770"/>
      <c r="C14" s="2771"/>
      <c r="D14" s="2772"/>
      <c r="E14" s="2772"/>
      <c r="F14" s="2773"/>
      <c r="G14" s="2774" t="s">
        <v>2869</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48"/>
      <c r="B15" s="2778" t="s">
        <v>2870</v>
      </c>
      <c r="C15" s="228">
        <f>IF(C14="有",1.1,1)</f>
        <v>1</v>
      </c>
      <c r="D15" s="228">
        <f>IF(D14="有",1.1,1)</f>
        <v>1</v>
      </c>
      <c r="E15" s="228">
        <f>IF(E14="有",1.1,1)</f>
        <v>1</v>
      </c>
      <c r="F15" s="228">
        <f>IF(F14="500米范围内",1.2,IF(F14="500-1000米",1.1,1))</f>
        <v>1</v>
      </c>
      <c r="G15" s="947">
        <v>1</v>
      </c>
      <c r="H15" s="947">
        <v>1</v>
      </c>
      <c r="I15" s="947">
        <v>1</v>
      </c>
      <c r="J15" s="948">
        <v>1</v>
      </c>
      <c r="K15" s="1371"/>
      <c r="L15" s="2779" t="s">
        <v>2806</v>
      </c>
      <c r="M15" s="918" t="s">
        <v>2871</v>
      </c>
      <c r="N15" s="918" t="s">
        <v>2872</v>
      </c>
      <c r="O15" s="918" t="s">
        <v>2873</v>
      </c>
      <c r="P15" s="2780" t="s">
        <v>2874</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45" t="s">
        <v>2875</v>
      </c>
      <c r="B16" s="2747" t="s">
        <v>2876</v>
      </c>
      <c r="C16" s="1801" t="e">
        <f>ROUND(SUM(G17:J17)/C17,0)</f>
        <v>#DIV/0!</v>
      </c>
      <c r="D16" s="2781" t="s">
        <v>2877</v>
      </c>
      <c r="E16" s="2782"/>
      <c r="F16" s="2783"/>
      <c r="G16" s="2784"/>
      <c r="H16" s="2784"/>
      <c r="I16" s="2784"/>
      <c r="J16" s="2785"/>
      <c r="K16" s="1371"/>
      <c r="L16" s="2786" t="s">
        <v>2878</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6"/>
      <c r="B17" s="2787" t="s">
        <v>2879</v>
      </c>
      <c r="C17" s="922">
        <f>SUMPRODUCT((修正!A2:A5=E2)*(修正!B1:M1=G2)*(修正!B2:M5))</f>
        <v>0</v>
      </c>
      <c r="D17" s="2788" t="s">
        <v>2880</v>
      </c>
      <c r="E17" s="921" t="str">
        <f>IF(OR(G2="八级",G2="九级",G2="十级",G2="十一级",G2="十二级"),"五通一平","七通一平")</f>
        <v>七通一平</v>
      </c>
      <c r="F17" s="922" t="s">
        <v>2881</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2882</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2883</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2884</v>
      </c>
      <c r="C19" s="925" t="e">
        <f>ROUND(IF(H19="按公示增长率计算",SUMPRODUCT((地价!A3:A25=YEAR(G19)&amp;"-"&amp;ROUNDUP(MONTH(G19)/3,0))*(地价!X2:AB2=E2)*(地价!X3:AB25)),IF(H19="地价指数",M20/M19,(1+I19)^O19)),4)</f>
        <v>#DIV/0!</v>
      </c>
      <c r="D19" s="2799" t="s">
        <v>2885</v>
      </c>
      <c r="E19" s="926">
        <v>41640</v>
      </c>
      <c r="F19" s="2799" t="s">
        <v>2886</v>
      </c>
      <c r="G19" s="927">
        <f>'数据-取费表'!B2</f>
        <v>43488</v>
      </c>
      <c r="H19" s="2800" t="s">
        <v>2887</v>
      </c>
      <c r="I19" s="928" t="str">
        <f>IF(H19="季度增幅（自定义）",SUMIF(N21:N24,E2,O21:O24),"")</f>
        <v/>
      </c>
      <c r="J19" s="2797"/>
      <c r="K19" s="1378"/>
      <c r="L19" s="2801" t="s">
        <v>2888</v>
      </c>
      <c r="M19" s="1734">
        <f>ROUND(SUMIF(地价!B2:F2,E2,地价!B25:F25),0)</f>
        <v>0</v>
      </c>
      <c r="N19" s="2802" t="s">
        <v>2889</v>
      </c>
      <c r="O19" s="929">
        <f>ROUNDDOWN(DATEDIF(E19,G19,"M")/3,0)</f>
        <v>20</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2890</v>
      </c>
      <c r="C20" s="930" t="e">
        <f>ROUND(POWER(1+G20,J20-I20)*(POWER(1+G20,I20)-1)/(POWER(1+G20,J20)-1),4)</f>
        <v>#DIV/0!</v>
      </c>
      <c r="D20" s="2808" t="s">
        <v>2891</v>
      </c>
      <c r="E20" s="1768">
        <f ca="1">存贷款利率!D4/100</f>
        <v>4.3499999999999997E-2</v>
      </c>
      <c r="F20" s="2808" t="s">
        <v>2882</v>
      </c>
      <c r="G20" s="935">
        <f>SUMIF(M15:P15,E2,M17:P17)</f>
        <v>0</v>
      </c>
      <c r="H20" s="2808" t="s">
        <v>2892</v>
      </c>
      <c r="I20" s="936" t="e">
        <f>SUMIF('数据-取费表'!C6:C15,E2,'数据-取费表'!F6:F15)/COUNTIF('数据-取费表'!C6:C15,E2)</f>
        <v>#DIV/0!</v>
      </c>
      <c r="J20" s="937">
        <f>IF(E2="住宅",70,IF(E2="商业",40,50))</f>
        <v>50</v>
      </c>
      <c r="K20" s="1378"/>
      <c r="L20" s="2809" t="s">
        <v>2893</v>
      </c>
      <c r="M20" s="1735">
        <f>ROUND(SUMPRODUCT((地价!A4:A25=YEAR(G19)&amp;"-"&amp;ROUNDUP(MONTH(G19)/3,0))*(地价!B2:F2=E2)*(地价!B4:F25)),0)</f>
        <v>0</v>
      </c>
      <c r="N20" s="2810" t="s">
        <v>2894</v>
      </c>
      <c r="O20" s="2811" t="s">
        <v>2895</v>
      </c>
      <c r="P20" s="2812" t="s">
        <v>2896</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2897</v>
      </c>
      <c r="C21" s="938">
        <f>IF(B21="容积率修正",IF(G3&lt;=10,D22,J22),C23)</f>
        <v>0</v>
      </c>
      <c r="D21" s="2815"/>
      <c r="E21" s="2815"/>
      <c r="F21" s="2815"/>
      <c r="G21" s="2815"/>
      <c r="H21" s="2815"/>
      <c r="I21" s="2815"/>
      <c r="J21" s="2816"/>
      <c r="K21" s="1378"/>
      <c r="N21" s="2817" t="s">
        <v>2898</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0" customFormat="1" ht="14.25">
      <c r="A22" s="2666" t="s">
        <v>2899</v>
      </c>
      <c r="B22" s="2818" t="s">
        <v>2900</v>
      </c>
      <c r="C22" s="1810" t="s">
        <v>2901</v>
      </c>
      <c r="D22" s="1810" t="b">
        <f>IF(E22=G22,F22,IF(G3&lt;=10,ROUND(F22+(H22-F22)*(G3-E22)/(G22-E22),4),"——"))</f>
        <v>0</v>
      </c>
      <c r="E22" s="914">
        <f>ROUNDDOWN(G3,1)</f>
        <v>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2902</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6" t="s">
        <v>2903</v>
      </c>
      <c r="B23" s="2819" t="s">
        <v>2904</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2905</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2906</v>
      </c>
      <c r="C24" s="925">
        <f>SUMIF(A45:A88,E2,B45:B88)</f>
        <v>0</v>
      </c>
      <c r="D24" s="2795"/>
      <c r="E24" s="2825"/>
      <c r="F24" s="2825"/>
      <c r="G24" s="2825"/>
      <c r="H24" s="2825"/>
      <c r="I24" s="2825"/>
      <c r="J24" s="2826"/>
      <c r="K24" s="1378"/>
      <c r="N24" s="2827" t="s">
        <v>2907</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2908</v>
      </c>
      <c r="C25" s="931"/>
      <c r="D25" s="2750"/>
      <c r="E25" s="2750"/>
      <c r="F25" s="2829"/>
      <c r="G25" s="2750"/>
      <c r="H25" s="2750"/>
      <c r="I25" s="2750"/>
      <c r="J25" s="2751"/>
      <c r="K25" s="1371"/>
      <c r="N25" s="2830" t="s">
        <v>2909</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1"/>
      <c r="B26" s="2818" t="s">
        <v>2910</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2911</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2912</v>
      </c>
      <c r="C28" s="2842" t="s">
        <v>2913</v>
      </c>
      <c r="D28" s="2842" t="s">
        <v>2914</v>
      </c>
      <c r="E28" s="2843" t="s">
        <v>2915</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2916</v>
      </c>
      <c r="C29" s="205" t="e">
        <f>ROUND(C5*C18*C19*C20*C21*C24,0)</f>
        <v>#DIV/0!</v>
      </c>
      <c r="D29" s="2847"/>
      <c r="E29" s="943" t="e">
        <f>ROUND(C29*D29/10000,0)</f>
        <v>#DIV/0!</v>
      </c>
      <c r="F29" s="2848" t="s">
        <v>2917</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2918</v>
      </c>
      <c r="C30" s="228" t="e">
        <f>ROUND(IF(E2="工业",C29*M39,C29*M38),0)</f>
        <v>#DIV/0!</v>
      </c>
      <c r="D30" s="2853"/>
      <c r="E30" s="943" t="e">
        <f>ROUND(C30*D30/10000,0)</f>
        <v>#DIV/0!</v>
      </c>
      <c r="F30" s="2854" t="s">
        <v>2919</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2920</v>
      </c>
      <c r="C31" s="2859" t="s">
        <v>2921</v>
      </c>
      <c r="D31" s="2763"/>
      <c r="E31" s="2859"/>
      <c r="F31" s="2859"/>
      <c r="G31" s="2761" t="s">
        <v>2922</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2913</v>
      </c>
      <c r="D32" s="497" t="s">
        <v>2914</v>
      </c>
      <c r="E32" s="497" t="s">
        <v>2915</v>
      </c>
      <c r="F32" s="387" t="s">
        <v>2923</v>
      </c>
      <c r="G32" s="2862" t="s">
        <v>2913</v>
      </c>
      <c r="H32" s="2862" t="s">
        <v>2914</v>
      </c>
      <c r="I32" s="2862" t="s">
        <v>2915</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55" t="s">
        <v>2924</v>
      </c>
      <c r="B33" s="2863" t="s">
        <v>2925</v>
      </c>
      <c r="C33" s="205" t="e">
        <f>ROUND(D5*C19*C20*C24*F33,0)</f>
        <v>#DIV/0!</v>
      </c>
      <c r="D33" s="2847"/>
      <c r="E33" s="199" t="e">
        <f>ROUND(C33*D33/10000,0)</f>
        <v>#DIV/0!</v>
      </c>
      <c r="F33" s="199">
        <f>SUMIF(修正!A45:A56,G2,修正!B45:B56)</f>
        <v>0</v>
      </c>
      <c r="G33" s="199" t="e">
        <f t="shared" ref="G33" si="6">ROUND(IF(E2="工业",C33*$M$39,C33*$M$38),0)</f>
        <v>#DIV/0!</v>
      </c>
      <c r="H33" s="199">
        <f>D33</f>
        <v>0</v>
      </c>
      <c r="I33" s="199"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6"/>
      <c r="B34" s="2767" t="s">
        <v>2926</v>
      </c>
      <c r="C34" s="205" t="e">
        <f>ROUND(D5*C19*C20*C24*F34,0)</f>
        <v>#DIV/0!</v>
      </c>
      <c r="D34" s="284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6"/>
      <c r="B35" s="2767" t="s">
        <v>2927</v>
      </c>
      <c r="C35" s="205" t="e">
        <f>ROUND(D5*C19*C20*C24*F35,0)</f>
        <v>#DIV/0!</v>
      </c>
      <c r="D35" s="2847"/>
      <c r="E35" s="199" t="e">
        <f t="shared" si="7"/>
        <v>#DIV/0!</v>
      </c>
      <c r="F35" s="199">
        <f>SUMIF(修正!A45:A56,G2,修正!D45:D56)</f>
        <v>0</v>
      </c>
      <c r="G35" s="199" t="e">
        <f>ROUND(IF(E2="工业",C35*$M$39,C35*$M$38),0)</f>
        <v>#DIV/0!</v>
      </c>
      <c r="H35" s="199">
        <f t="shared" si="8"/>
        <v>0</v>
      </c>
      <c r="I35" s="199"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57"/>
      <c r="B36" s="2767" t="s">
        <v>2928</v>
      </c>
      <c r="C36" s="205" t="e">
        <f>ROUND(D5*C19*C20*C24*F36,0)</f>
        <v>#DIV/0!</v>
      </c>
      <c r="D36" s="2847"/>
      <c r="E36" s="199" t="e">
        <f t="shared" si="7"/>
        <v>#DIV/0!</v>
      </c>
      <c r="F36" s="199">
        <f>SUMIF(修正!A45:A56,G2,修正!E45:E56)</f>
        <v>0</v>
      </c>
      <c r="G36" s="199" t="e">
        <f>ROUND(IF(E2="工业",C36*$M$39,C36*$M$38),0)</f>
        <v>#DIV/0!</v>
      </c>
      <c r="H36" s="199">
        <f t="shared" si="8"/>
        <v>0</v>
      </c>
      <c r="I36" s="199"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2929</v>
      </c>
      <c r="C37" s="199" t="e">
        <f>ROUND(D5*C19*C20*C24*F37,0)</f>
        <v>#DIV/0!</v>
      </c>
      <c r="D37" s="2847"/>
      <c r="E37" s="199" t="e">
        <f t="shared" si="7"/>
        <v>#DIV/0!</v>
      </c>
      <c r="F37" s="205">
        <f>SUMIF(修正!A45:A56,G2,修正!F45:F56)</f>
        <v>0</v>
      </c>
      <c r="G37" s="199" t="e">
        <f>ROUND(IF(E2="工业",C37*$M$39,C37*$M$38),0)</f>
        <v>#DIV/0!</v>
      </c>
      <c r="H37" s="199">
        <f t="shared" si="8"/>
        <v>0</v>
      </c>
      <c r="I37" s="199" t="e">
        <f t="shared" si="9"/>
        <v>#DIV/0!</v>
      </c>
      <c r="J37" s="2864"/>
      <c r="K37" s="1371"/>
      <c r="L37" s="2866" t="s">
        <v>2930</v>
      </c>
      <c r="M37" s="2867"/>
      <c r="N37" s="1371"/>
      <c r="O37" s="1371"/>
      <c r="P37" s="1371"/>
      <c r="Q37" s="1371"/>
      <c r="R37" s="1371"/>
      <c r="S37" s="1371"/>
      <c r="T37" s="1371"/>
      <c r="U37" s="1371"/>
      <c r="V37" s="1371"/>
      <c r="W37" s="1371"/>
      <c r="X37" s="1371"/>
      <c r="Y37" s="1371"/>
      <c r="Z37" s="1372"/>
    </row>
    <row r="38" spans="1:37">
      <c r="A38" s="2865"/>
      <c r="B38" s="2767" t="s">
        <v>2931</v>
      </c>
      <c r="C38" s="199" t="e">
        <f>ROUND(D5*C19*C41*C24*F38,0)</f>
        <v>#DIV/0!</v>
      </c>
      <c r="D38" s="2847"/>
      <c r="E38" s="199" t="e">
        <f t="shared" si="7"/>
        <v>#DIV/0!</v>
      </c>
      <c r="F38" s="205">
        <f>SUMIF(修正!A45:A56,G2,修正!G45:G56)</f>
        <v>0</v>
      </c>
      <c r="G38" s="199" t="e">
        <f>ROUND(IF(E2="工业",C38*$M$39,C38*$M$38),0)</f>
        <v>#DIV/0!</v>
      </c>
      <c r="H38" s="199">
        <f t="shared" si="8"/>
        <v>0</v>
      </c>
      <c r="I38" s="199" t="e">
        <f t="shared" si="9"/>
        <v>#DIV/0!</v>
      </c>
      <c r="J38" s="2864"/>
      <c r="K38" s="1371"/>
      <c r="L38" s="1887" t="s">
        <v>2932</v>
      </c>
      <c r="M38" s="2868">
        <v>0.25</v>
      </c>
      <c r="N38" s="1371"/>
      <c r="O38" s="1371"/>
      <c r="P38" s="1371"/>
      <c r="Q38" s="1371"/>
      <c r="R38" s="1371"/>
      <c r="S38" s="1371"/>
      <c r="T38" s="1371"/>
      <c r="U38" s="1371"/>
      <c r="V38" s="1371"/>
      <c r="W38" s="1371"/>
      <c r="X38" s="1371"/>
      <c r="Y38" s="1371"/>
      <c r="Z38" s="1372"/>
    </row>
    <row r="39" spans="1:37" ht="13.5" thickBot="1">
      <c r="A39" s="2851"/>
      <c r="B39" s="2869" t="s">
        <v>2933</v>
      </c>
      <c r="C39" s="228" t="e">
        <f>ROUND(D5*C19*C41*C24*F39,0)</f>
        <v>#DIV/0!</v>
      </c>
      <c r="D39" s="2853"/>
      <c r="E39" s="228" t="e">
        <f t="shared" si="7"/>
        <v>#DIV/0!</v>
      </c>
      <c r="F39" s="933">
        <f>SUMIF(修正!A45:A56,G2,修正!H45:H56)</f>
        <v>0</v>
      </c>
      <c r="G39" s="228" t="e">
        <f>ROUND(IF(E2="工业",C39*$M$39,C39*$M$38),0)</f>
        <v>#DIV/0!</v>
      </c>
      <c r="H39" s="228">
        <f t="shared" si="8"/>
        <v>0</v>
      </c>
      <c r="I39" s="228" t="e">
        <f t="shared" si="9"/>
        <v>#DIV/0!</v>
      </c>
      <c r="J39" s="2870"/>
      <c r="K39" s="1371"/>
      <c r="L39" s="2871" t="s">
        <v>2874</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0" t="s">
        <v>3044</v>
      </c>
      <c r="C41" s="387" t="e">
        <f>ROUND(POWER(1+E41,H41-G41)*(POWER(1+E41,G41)-1)/(POWER(1+E41,H41)-1),4)</f>
        <v>#DIV/0!</v>
      </c>
      <c r="D41" s="199" t="s">
        <v>2882</v>
      </c>
      <c r="E41" s="2939">
        <f>G20</f>
        <v>0</v>
      </c>
      <c r="F41" s="199" t="s">
        <v>2892</v>
      </c>
      <c r="G41" s="217"/>
      <c r="H41" s="199">
        <v>50</v>
      </c>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2934</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2935</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2936</v>
      </c>
      <c r="B47" s="1809" t="s">
        <v>2937</v>
      </c>
      <c r="C47" s="1809" t="s">
        <v>2938</v>
      </c>
      <c r="D47" s="1809" t="s">
        <v>2939</v>
      </c>
      <c r="E47" s="817" t="s">
        <v>2940</v>
      </c>
      <c r="F47" s="2881" t="s">
        <v>2941</v>
      </c>
      <c r="G47" s="1809" t="s">
        <v>754</v>
      </c>
      <c r="H47" s="2882" t="s">
        <v>2942</v>
      </c>
      <c r="I47" s="1809" t="s">
        <v>2943</v>
      </c>
      <c r="J47" s="602" t="s">
        <v>2591</v>
      </c>
      <c r="K47" s="602" t="s">
        <v>2592</v>
      </c>
      <c r="L47" s="602" t="s">
        <v>2593</v>
      </c>
      <c r="M47" s="602" t="s">
        <v>2594</v>
      </c>
      <c r="N47" s="602" t="s">
        <v>2595</v>
      </c>
      <c r="AA47" s="1372"/>
      <c r="AB47" s="1372"/>
      <c r="AC47" s="1372"/>
      <c r="AD47" s="1372"/>
      <c r="AE47" s="1372"/>
      <c r="AF47" s="1372"/>
      <c r="AG47" s="1372"/>
      <c r="AH47" s="1372"/>
      <c r="AI47" s="1372"/>
      <c r="AJ47" s="1372"/>
      <c r="AK47" s="1372"/>
    </row>
    <row r="48" spans="1:37" s="1371" customFormat="1" ht="38.25">
      <c r="A48" s="2880" t="s">
        <v>2944</v>
      </c>
      <c r="B48" s="2883" t="str">
        <f>估价对象房地状况!C4</f>
        <v>估价对象位于XX商圈，周边商业氛围成熟，人流量大，商业繁华度好</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2945</v>
      </c>
      <c r="B49" s="2884" t="str">
        <f>估价对象房地状况!C18</f>
        <v>估价对象周边道路状况、公共交通通达情况、停车便捷程度，综合评价交通便捷度较好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2946</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2947</v>
      </c>
      <c r="B51" s="2885" t="s">
        <v>2948</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2949</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2950</v>
      </c>
      <c r="B53" s="2886" t="s">
        <v>2951</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2952</v>
      </c>
      <c r="B54" s="1725" t="str">
        <f>估价对象房地状况!C21</f>
        <v>估价对象所在区域公共配套设施齐备情况</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2953</v>
      </c>
      <c r="B55" s="2884" t="str">
        <f>估价对象房地状况!C22</f>
        <v>估价对象所在区域基础设施水平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2954</v>
      </c>
      <c r="B56" s="2889" t="str">
        <f>估价对象房地状况!C20</f>
        <v>区域自然环境：；人文环境；综合评价环境状况一般</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2955</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2936</v>
      </c>
      <c r="B58" s="1809"/>
      <c r="C58" s="1809" t="s">
        <v>2938</v>
      </c>
      <c r="D58" s="1809" t="s">
        <v>2939</v>
      </c>
      <c r="E58" s="817" t="s">
        <v>2940</v>
      </c>
      <c r="F58" s="2881" t="s">
        <v>2956</v>
      </c>
      <c r="G58" s="1809" t="s">
        <v>754</v>
      </c>
      <c r="H58" s="2882" t="s">
        <v>2942</v>
      </c>
      <c r="I58" s="1809" t="s">
        <v>2943</v>
      </c>
      <c r="J58" s="602" t="s">
        <v>2591</v>
      </c>
      <c r="K58" s="602" t="s">
        <v>2592</v>
      </c>
      <c r="L58" s="602" t="s">
        <v>2593</v>
      </c>
      <c r="M58" s="602" t="s">
        <v>2594</v>
      </c>
      <c r="N58" s="602" t="s">
        <v>2595</v>
      </c>
      <c r="AA58" s="1372"/>
      <c r="AB58" s="1372"/>
      <c r="AC58" s="1372"/>
      <c r="AD58" s="1372"/>
      <c r="AE58" s="1372"/>
      <c r="AF58" s="1372"/>
      <c r="AG58" s="1372"/>
      <c r="AH58" s="1372"/>
      <c r="AI58" s="1372"/>
      <c r="AJ58" s="1372"/>
      <c r="AK58" s="1372"/>
    </row>
    <row r="59" spans="1:37" s="1371" customFormat="1" ht="38.25">
      <c r="A59" s="2880" t="s">
        <v>2957</v>
      </c>
      <c r="B59" s="2883" t="str">
        <f>估价对象房地状况!C17</f>
        <v>估价对象位于XX商圈，周边办公楼项目较多，入驻率高，办公集聚程度较好</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2945</v>
      </c>
      <c r="B60" s="2884" t="str">
        <f>估价对象房地状况!C18</f>
        <v>估价对象周边道路状况、公共交通通达情况、停车便捷程度，综合评价交通便捷度较好</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2946</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2947</v>
      </c>
      <c r="B62" s="2885" t="s">
        <v>2948</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2949</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2950</v>
      </c>
      <c r="B64" s="2886" t="s">
        <v>2951</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2952</v>
      </c>
      <c r="B65" s="1725" t="str">
        <f>估价对象房地状况!C21</f>
        <v>估价对象所在区域公共配套设施齐备情况</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2953</v>
      </c>
      <c r="B66" s="1725" t="str">
        <f>估价对象房地状况!C22</f>
        <v>估价对象所在区域基础设施水平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2954</v>
      </c>
      <c r="B67" s="2890" t="str">
        <f>估价对象房地状况!C20</f>
        <v>区域自然环境：；人文环境；综合评价环境状况一般</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2958</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2936</v>
      </c>
      <c r="B69" s="1809"/>
      <c r="C69" s="1809" t="s">
        <v>2938</v>
      </c>
      <c r="D69" s="1809" t="s">
        <v>2939</v>
      </c>
      <c r="E69" s="817" t="s">
        <v>2940</v>
      </c>
      <c r="F69" s="2881" t="s">
        <v>2956</v>
      </c>
      <c r="G69" s="1809" t="s">
        <v>754</v>
      </c>
      <c r="H69" s="2882" t="s">
        <v>2942</v>
      </c>
      <c r="I69" s="1809" t="s">
        <v>2943</v>
      </c>
      <c r="J69" s="602" t="s">
        <v>2591</v>
      </c>
      <c r="K69" s="602" t="s">
        <v>2592</v>
      </c>
      <c r="L69" s="602" t="s">
        <v>2593</v>
      </c>
      <c r="M69" s="602" t="s">
        <v>2594</v>
      </c>
      <c r="N69" s="602" t="s">
        <v>2595</v>
      </c>
      <c r="AA69" s="1372"/>
      <c r="AB69" s="1372"/>
      <c r="AC69" s="1372"/>
      <c r="AD69" s="1372"/>
      <c r="AE69" s="1372"/>
      <c r="AF69" s="1372"/>
      <c r="AG69" s="1372"/>
      <c r="AH69" s="1372"/>
      <c r="AI69" s="1372"/>
      <c r="AJ69" s="1372"/>
      <c r="AK69" s="1372"/>
    </row>
    <row r="70" spans="1:37" s="1371" customFormat="1" ht="51">
      <c r="A70" s="2880" t="s">
        <v>2959</v>
      </c>
      <c r="B70" s="2883" t="str">
        <f>估价对象房地状况!C15</f>
        <v>估价对象周边居住用地比例、居住小区规模和社区发展完善程度，综合评价居住社区成熟度一般</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2945</v>
      </c>
      <c r="B71" s="2884" t="str">
        <f>估价对象房地状况!C18</f>
        <v>估价对象周边道路状况、公共交通通达情况、停车便捷程度，综合评价交通便捷度较好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2946</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2960</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2952</v>
      </c>
      <c r="B74" s="1725" t="str">
        <f>估价对象房地状况!C21</f>
        <v>估价对象所在区域公共配套设施齐备情况</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2953</v>
      </c>
      <c r="B75" s="1725" t="str">
        <f>估价对象房地状况!C22</f>
        <v>估价对象所在区域基础设施水平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2950</v>
      </c>
      <c r="B76" s="2886" t="s">
        <v>2951</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2954</v>
      </c>
      <c r="B77" s="2883" t="str">
        <f>估价对象房地状况!C20</f>
        <v>区域自然环境：；人文环境；综合评价环境状况一般</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2961</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2962</v>
      </c>
      <c r="B79" s="2877">
        <f>1+E81</f>
        <v>1</v>
      </c>
      <c r="C79" s="812"/>
      <c r="D79" s="812"/>
      <c r="E79" s="813"/>
      <c r="F79" s="2879"/>
      <c r="G79" s="6"/>
      <c r="H79" s="6"/>
      <c r="I79" s="6"/>
      <c r="J79" s="7"/>
      <c r="K79" s="7"/>
      <c r="L79" s="7"/>
      <c r="M79" s="7"/>
      <c r="N79" s="7"/>
      <c r="Z79" s="2722"/>
      <c r="AA79" s="2798"/>
      <c r="AG79" s="1373"/>
      <c r="AK79" s="2798"/>
    </row>
    <row r="80" spans="1:37" ht="24.75">
      <c r="A80" s="2880" t="s">
        <v>2936</v>
      </c>
      <c r="B80" s="1809"/>
      <c r="C80" s="1809" t="s">
        <v>2938</v>
      </c>
      <c r="D80" s="1809" t="s">
        <v>2939</v>
      </c>
      <c r="E80" s="817" t="s">
        <v>2940</v>
      </c>
      <c r="F80" s="2881" t="s">
        <v>2956</v>
      </c>
      <c r="G80" s="1809" t="s">
        <v>754</v>
      </c>
      <c r="H80" s="2882" t="s">
        <v>2942</v>
      </c>
      <c r="I80" s="1809" t="s">
        <v>2943</v>
      </c>
      <c r="J80" s="602" t="s">
        <v>2591</v>
      </c>
      <c r="K80" s="602" t="s">
        <v>2592</v>
      </c>
      <c r="L80" s="602" t="s">
        <v>2593</v>
      </c>
      <c r="M80" s="602" t="s">
        <v>2594</v>
      </c>
      <c r="N80" s="602" t="s">
        <v>2595</v>
      </c>
      <c r="Z80" s="2722"/>
      <c r="AA80" s="2798"/>
      <c r="AG80" s="1373"/>
      <c r="AK80" s="2798"/>
    </row>
    <row r="81" spans="1:37" ht="38.25">
      <c r="A81" s="2880" t="s">
        <v>2963</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2945</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2946</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2960</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2952</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2953</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2950</v>
      </c>
      <c r="B87" s="2886" t="s">
        <v>2964</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2965</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249" t="s">
        <v>2966</v>
      </c>
      <c r="B90" s="3249"/>
      <c r="C90" s="3249"/>
      <c r="D90" s="3249"/>
      <c r="E90" s="3249"/>
      <c r="F90" s="3249"/>
      <c r="G90" s="3249"/>
      <c r="H90" s="3249"/>
      <c r="I90" s="3249"/>
      <c r="J90" s="3249"/>
      <c r="K90" s="2894"/>
      <c r="L90" s="2894"/>
      <c r="M90" s="2894"/>
      <c r="N90" s="2894"/>
    </row>
    <row r="91" spans="1:37">
      <c r="A91" s="3251" t="s">
        <v>2967</v>
      </c>
      <c r="B91" s="3251" t="s">
        <v>2968</v>
      </c>
      <c r="C91" s="2848" t="s">
        <v>2969</v>
      </c>
      <c r="D91" s="2849"/>
      <c r="E91" s="2849"/>
      <c r="F91" s="2849"/>
      <c r="G91" s="2849"/>
      <c r="H91" s="2849"/>
      <c r="I91" s="2849"/>
      <c r="J91" s="2895"/>
      <c r="K91" s="2896"/>
      <c r="L91" s="2896"/>
      <c r="M91" s="2896"/>
      <c r="N91" s="2896"/>
    </row>
    <row r="92" spans="1:37">
      <c r="A92" s="3251"/>
      <c r="B92" s="3251"/>
      <c r="C92" s="943" t="s">
        <v>2833</v>
      </c>
      <c r="D92" s="943" t="s">
        <v>2834</v>
      </c>
      <c r="E92" s="943" t="s">
        <v>2835</v>
      </c>
      <c r="F92" s="943" t="s">
        <v>2836</v>
      </c>
      <c r="G92" s="943" t="s">
        <v>2837</v>
      </c>
      <c r="H92" s="943" t="s">
        <v>2838</v>
      </c>
      <c r="I92" s="943" t="s">
        <v>2839</v>
      </c>
      <c r="J92" s="943" t="s">
        <v>2840</v>
      </c>
      <c r="K92" s="943" t="s">
        <v>2841</v>
      </c>
      <c r="L92" s="943" t="s">
        <v>2842</v>
      </c>
      <c r="M92" s="943" t="s">
        <v>2843</v>
      </c>
      <c r="N92" s="943" t="s">
        <v>2844</v>
      </c>
    </row>
    <row r="93" spans="1:37">
      <c r="A93" s="3252"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3"/>
      <c r="B99" s="2897" t="s">
        <v>2849</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2" t="s">
        <v>2971</v>
      </c>
      <c r="B101" s="2901" t="s">
        <v>2972</v>
      </c>
      <c r="C101" s="2902">
        <f>$G$3</f>
        <v>4</v>
      </c>
      <c r="D101" s="2902">
        <f t="shared" ref="D101:N101" si="31">$G$3</f>
        <v>4</v>
      </c>
      <c r="E101" s="2902">
        <f t="shared" si="31"/>
        <v>4</v>
      </c>
      <c r="F101" s="2902">
        <f t="shared" si="31"/>
        <v>4</v>
      </c>
      <c r="G101" s="2902">
        <f t="shared" si="31"/>
        <v>4</v>
      </c>
      <c r="H101" s="2902">
        <f t="shared" si="31"/>
        <v>4</v>
      </c>
      <c r="I101" s="2902">
        <f t="shared" si="31"/>
        <v>4</v>
      </c>
      <c r="J101" s="2902">
        <f t="shared" si="31"/>
        <v>4</v>
      </c>
      <c r="K101" s="2902">
        <f t="shared" si="31"/>
        <v>4</v>
      </c>
      <c r="L101" s="2902">
        <f t="shared" si="31"/>
        <v>4</v>
      </c>
      <c r="M101" s="2902">
        <f t="shared" si="31"/>
        <v>4</v>
      </c>
      <c r="N101" s="2902">
        <f t="shared" si="31"/>
        <v>4</v>
      </c>
    </row>
    <row r="102" spans="1:14">
      <c r="A102" s="3253"/>
      <c r="B102" s="2897">
        <v>1</v>
      </c>
      <c r="C102" s="2898">
        <f>1.9362/C101</f>
        <v>0.48404999999999998</v>
      </c>
      <c r="D102" s="2898">
        <f>1.9362/D101</f>
        <v>0.48404999999999998</v>
      </c>
      <c r="E102" s="2898">
        <f>1.8629/E101</f>
        <v>0.465725</v>
      </c>
      <c r="F102" s="2898">
        <f>1.8629/F101</f>
        <v>0.465725</v>
      </c>
      <c r="G102" s="2898">
        <f>1.8629/G101</f>
        <v>0.465725</v>
      </c>
      <c r="H102" s="2898">
        <f>1.8629/H101</f>
        <v>0.465725</v>
      </c>
      <c r="I102" s="2898">
        <f>1.8629/I101</f>
        <v>0.465725</v>
      </c>
      <c r="J102" s="2898">
        <f>1.942/J101</f>
        <v>0.48549999999999999</v>
      </c>
      <c r="K102" s="2898">
        <f>1.942/K101</f>
        <v>0.48549999999999999</v>
      </c>
      <c r="L102" s="2898">
        <f>1.942/L101</f>
        <v>0.48549999999999999</v>
      </c>
      <c r="M102" s="2898">
        <f>1.942/M101</f>
        <v>0.48549999999999999</v>
      </c>
      <c r="N102" s="2898">
        <f>1.942/N101</f>
        <v>0.48549999999999999</v>
      </c>
    </row>
    <row r="103" spans="1:14">
      <c r="A103" s="3253"/>
      <c r="B103" s="2897">
        <v>2</v>
      </c>
      <c r="C103" s="2898">
        <f>1.4198/C101</f>
        <v>0.35494999999999999</v>
      </c>
      <c r="D103" s="2898">
        <f>1.4198/D101</f>
        <v>0.35494999999999999</v>
      </c>
      <c r="E103" s="2898">
        <f>1.3372/E101</f>
        <v>0.33429999999999999</v>
      </c>
      <c r="F103" s="2898">
        <f>1.3372/F101</f>
        <v>0.33429999999999999</v>
      </c>
      <c r="G103" s="2898">
        <f>1.3372/G101</f>
        <v>0.33429999999999999</v>
      </c>
      <c r="H103" s="2898">
        <f>1.3372/H101</f>
        <v>0.33429999999999999</v>
      </c>
      <c r="I103" s="2898">
        <f>1.3372/I101</f>
        <v>0.33429999999999999</v>
      </c>
      <c r="J103" s="2898">
        <f>1.2799/J101</f>
        <v>0.31997500000000001</v>
      </c>
      <c r="K103" s="2898">
        <f>1.2799/K101</f>
        <v>0.31997500000000001</v>
      </c>
      <c r="L103" s="2898">
        <f>1.2799/L101</f>
        <v>0.31997500000000001</v>
      </c>
      <c r="M103" s="2898">
        <f>1.2799/M101</f>
        <v>0.31997500000000001</v>
      </c>
      <c r="N103" s="2898">
        <f>1.2799/N101</f>
        <v>0.31997500000000001</v>
      </c>
    </row>
    <row r="104" spans="1:14">
      <c r="A104" s="3253"/>
      <c r="B104" s="2897">
        <v>3</v>
      </c>
      <c r="C104" s="2898">
        <f>1.1594/C101</f>
        <v>0.28985</v>
      </c>
      <c r="D104" s="2898">
        <f>1.1594/D101</f>
        <v>0.28985</v>
      </c>
      <c r="E104" s="2898">
        <f>1.0788/E101</f>
        <v>0.2697</v>
      </c>
      <c r="F104" s="2898">
        <f>1.0788/F101</f>
        <v>0.2697</v>
      </c>
      <c r="G104" s="2898">
        <f>1.0788/G101</f>
        <v>0.2697</v>
      </c>
      <c r="H104" s="2898">
        <f>1.0788/H101</f>
        <v>0.2697</v>
      </c>
      <c r="I104" s="2898">
        <f>1.0788/I101</f>
        <v>0.2697</v>
      </c>
      <c r="J104" s="2898">
        <f>1.0072/J101</f>
        <v>0.25180000000000002</v>
      </c>
      <c r="K104" s="2898">
        <f>1.0072/K101</f>
        <v>0.25180000000000002</v>
      </c>
      <c r="L104" s="2898">
        <f>1.0072/L101</f>
        <v>0.25180000000000002</v>
      </c>
      <c r="M104" s="2898">
        <f>1.0072/M101</f>
        <v>0.25180000000000002</v>
      </c>
      <c r="N104" s="2898">
        <f>1.0072/N101</f>
        <v>0.25180000000000002</v>
      </c>
    </row>
    <row r="105" spans="1:14">
      <c r="A105" s="3253"/>
      <c r="B105" s="2897">
        <v>4</v>
      </c>
      <c r="C105" s="2898">
        <f>0.9622/C101</f>
        <v>0.24055000000000001</v>
      </c>
      <c r="D105" s="2898">
        <f>0.9622/D101</f>
        <v>0.24055000000000001</v>
      </c>
      <c r="E105" s="2898">
        <f>0.8656/E101</f>
        <v>0.21640000000000001</v>
      </c>
      <c r="F105" s="2898">
        <f>0.8656/F101</f>
        <v>0.21640000000000001</v>
      </c>
      <c r="G105" s="2898">
        <f>0.8656/G101</f>
        <v>0.21640000000000001</v>
      </c>
      <c r="H105" s="2898">
        <f>0.8656/H101</f>
        <v>0.21640000000000001</v>
      </c>
      <c r="I105" s="2898">
        <f>0.8656/I101</f>
        <v>0.21640000000000001</v>
      </c>
      <c r="J105" s="2898">
        <f>0.7525/J101</f>
        <v>0.18812499999999999</v>
      </c>
      <c r="K105" s="2898">
        <f>0.7525/K101</f>
        <v>0.18812499999999999</v>
      </c>
      <c r="L105" s="2898">
        <f>0.7525/L101</f>
        <v>0.18812499999999999</v>
      </c>
      <c r="M105" s="2898">
        <f>0.7525/M101</f>
        <v>0.18812499999999999</v>
      </c>
      <c r="N105" s="2898">
        <f>0.7525/N101</f>
        <v>0.18812499999999999</v>
      </c>
    </row>
    <row r="106" spans="1:14">
      <c r="A106" s="3253"/>
      <c r="B106" s="2897">
        <v>5</v>
      </c>
      <c r="C106" s="2898">
        <f>0.8417/C101</f>
        <v>0.210425</v>
      </c>
      <c r="D106" s="2898">
        <f>0.8417/D101</f>
        <v>0.210425</v>
      </c>
      <c r="E106" s="2898">
        <f>0.7371/E101</f>
        <v>0.18427499999999999</v>
      </c>
      <c r="F106" s="2898">
        <f>0.7371/F101</f>
        <v>0.18427499999999999</v>
      </c>
      <c r="G106" s="2898">
        <f>0.7371/G101</f>
        <v>0.18427499999999999</v>
      </c>
      <c r="H106" s="2898">
        <f>0.7371/H101</f>
        <v>0.18427499999999999</v>
      </c>
      <c r="I106" s="2898">
        <f>0.7371/I101</f>
        <v>0.18427499999999999</v>
      </c>
      <c r="J106" s="2898">
        <f>0.5659/J101</f>
        <v>0.14147499999999999</v>
      </c>
      <c r="K106" s="2898">
        <f>0.5659/K101</f>
        <v>0.14147499999999999</v>
      </c>
      <c r="L106" s="2898">
        <f>0.5659/L101</f>
        <v>0.14147499999999999</v>
      </c>
      <c r="M106" s="2898">
        <f>0.5659/M101</f>
        <v>0.14147499999999999</v>
      </c>
      <c r="N106" s="2898">
        <f>0.5659/N101</f>
        <v>0.14147499999999999</v>
      </c>
    </row>
    <row r="107" spans="1:14">
      <c r="A107" s="3253"/>
      <c r="B107" s="2897">
        <v>6</v>
      </c>
      <c r="C107" s="2898">
        <f>0.7608/C101</f>
        <v>0.19020000000000001</v>
      </c>
      <c r="D107" s="2898">
        <f>0.7608/D101</f>
        <v>0.19020000000000001</v>
      </c>
      <c r="E107" s="2898">
        <f>0.6482/E101</f>
        <v>0.16205</v>
      </c>
      <c r="F107" s="2898">
        <f>0.6482/F101</f>
        <v>0.16205</v>
      </c>
      <c r="G107" s="2898">
        <f>0.6482/G101</f>
        <v>0.16205</v>
      </c>
      <c r="H107" s="2898">
        <f>0.6482/H101</f>
        <v>0.16205</v>
      </c>
      <c r="I107" s="2898">
        <f>0.6482/I101</f>
        <v>0.16205</v>
      </c>
      <c r="J107" s="2898">
        <f>0.4525/J101</f>
        <v>0.113125</v>
      </c>
      <c r="K107" s="2898">
        <f>0.4525/K101</f>
        <v>0.113125</v>
      </c>
      <c r="L107" s="2898">
        <f>0.4525/L101</f>
        <v>0.113125</v>
      </c>
      <c r="M107" s="2898">
        <f>0.4525/M101</f>
        <v>0.113125</v>
      </c>
      <c r="N107" s="2898">
        <f>0.4525/N101</f>
        <v>0.113125</v>
      </c>
    </row>
    <row r="108" spans="1:14">
      <c r="A108" s="3253"/>
      <c r="B108" s="3111" t="s">
        <v>2973</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4"/>
      <c r="B109" s="3112"/>
      <c r="C109" s="2900">
        <f>(-0.163*(C108^2)-0.59*C108+7617)*(10^(-4))/C101</f>
        <v>0.19042500000000001</v>
      </c>
      <c r="D109" s="2900">
        <f>(-0.163*(D108^2)-0.59*D108+7617)*(10^(-4))/D101</f>
        <v>0.19042500000000001</v>
      </c>
      <c r="E109" s="2900">
        <f>(-0.161*(E108^2)-7.509*E108+6533)*(10^(-4))/E101</f>
        <v>0.163325</v>
      </c>
      <c r="F109" s="2900">
        <f>(-0.161*(F108^2)-7.509*F108+6533)*(10^(-4))/F101</f>
        <v>0.163325</v>
      </c>
      <c r="G109" s="2900">
        <f>(-0.161*(G108^2)-7.509*G108+6533)*(10^(-4))/G101</f>
        <v>0.163325</v>
      </c>
      <c r="H109" s="2900">
        <f>(-0.161*(H108^2)-7.509*H108+6533)*(10^(-4))/H101</f>
        <v>0.163325</v>
      </c>
      <c r="I109" s="2900">
        <f>(-0.161*(I108^2)-7.509*I108+6533)*(10^(-4))/I101</f>
        <v>0.163325</v>
      </c>
      <c r="J109" s="2900">
        <f>(-0.214*(J108^2)-21.991*J108+4665)*(10^(-4))/J101</f>
        <v>0.11662500000000001</v>
      </c>
      <c r="K109" s="2900">
        <f>(-0.214*(K108^2)-21.991*K108+4665)*(10^(-4))/K101</f>
        <v>0.11662500000000001</v>
      </c>
      <c r="L109" s="2900">
        <f>(-0.214*(L108^2)-21.991*L108+4665)*(10^(-4))/L101</f>
        <v>0.11662500000000001</v>
      </c>
      <c r="M109" s="2900">
        <f>(-0.214*(M108^2)-21.991*M108+4665)*(10^(-4))/M101</f>
        <v>0.11662500000000001</v>
      </c>
      <c r="N109" s="2900">
        <f>(-0.214*(N108^2)-21.991*N108+4665)*(10^(-4))/N101</f>
        <v>0.11662500000000001</v>
      </c>
    </row>
    <row r="110" spans="1:14">
      <c r="A110" s="3250" t="s">
        <v>2974</v>
      </c>
      <c r="B110" s="3250"/>
      <c r="C110" s="3250"/>
      <c r="D110" s="3250"/>
      <c r="E110" s="3250"/>
      <c r="F110" s="3250"/>
      <c r="G110" s="3250"/>
      <c r="H110" s="3250"/>
      <c r="I110" s="3250"/>
      <c r="J110" s="3250"/>
      <c r="K110" s="2903"/>
      <c r="L110" s="2903"/>
      <c r="M110" s="2903"/>
      <c r="N110" s="2903"/>
    </row>
    <row r="112" spans="1:14" ht="13.5" thickBot="1"/>
    <row r="113" spans="1:13" ht="25.5" thickBot="1">
      <c r="A113" s="901" t="s">
        <v>2975</v>
      </c>
      <c r="B113" s="1288">
        <f>G3</f>
        <v>4</v>
      </c>
      <c r="C113" s="902" t="s">
        <v>2976</v>
      </c>
      <c r="D113" s="903">
        <f>SUMPRODUCT((A115:A118=F113)*(B114:M114=H113)*B115:M118)</f>
        <v>0</v>
      </c>
      <c r="E113" s="2726" t="s">
        <v>2806</v>
      </c>
      <c r="F113" s="2905">
        <f>E2</f>
        <v>0</v>
      </c>
      <c r="G113" s="2726" t="s">
        <v>2807</v>
      </c>
      <c r="H113" s="2905">
        <f>G2</f>
        <v>0</v>
      </c>
      <c r="I113" s="2726"/>
      <c r="J113" s="2906"/>
      <c r="K113" s="2906"/>
      <c r="L113" s="2906"/>
      <c r="M113" s="2906"/>
    </row>
    <row r="114" spans="1:13">
      <c r="A114" s="906"/>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7" t="s">
        <v>2871</v>
      </c>
      <c r="B115" s="908">
        <f>ROUND(0.9335-0.0094*B113,4)</f>
        <v>0.89590000000000003</v>
      </c>
      <c r="C115" s="908">
        <f>B115</f>
        <v>0.89590000000000003</v>
      </c>
      <c r="D115" s="908">
        <f>ROUND(0.8331-0.0109*B113,4)</f>
        <v>0.78949999999999998</v>
      </c>
      <c r="E115" s="908">
        <f>D115</f>
        <v>0.78949999999999998</v>
      </c>
      <c r="F115" s="908">
        <f>E115</f>
        <v>0.78949999999999998</v>
      </c>
      <c r="G115" s="908">
        <f>F115</f>
        <v>0.78949999999999998</v>
      </c>
      <c r="H115" s="908">
        <f>G115</f>
        <v>0.78949999999999998</v>
      </c>
      <c r="I115" s="908">
        <f>ROUND(0.689-0.0155*B113,4)</f>
        <v>0.627</v>
      </c>
      <c r="J115" s="908">
        <f t="shared" ref="J115:M118" si="33">I115</f>
        <v>0.627</v>
      </c>
      <c r="K115" s="908">
        <f t="shared" si="33"/>
        <v>0.627</v>
      </c>
      <c r="L115" s="908">
        <f t="shared" si="33"/>
        <v>0.627</v>
      </c>
      <c r="M115" s="909">
        <f t="shared" si="33"/>
        <v>0.627</v>
      </c>
    </row>
    <row r="116" spans="1:13">
      <c r="A116" s="907" t="s">
        <v>2872</v>
      </c>
      <c r="B116" s="908">
        <f>ROUND(0.949-0.012*B113,4)</f>
        <v>0.90100000000000002</v>
      </c>
      <c r="C116" s="908">
        <f>B116</f>
        <v>0.90100000000000002</v>
      </c>
      <c r="D116" s="908">
        <f>ROUND(0.8567-0.013*B113,4)</f>
        <v>0.80469999999999997</v>
      </c>
      <c r="E116" s="908">
        <f t="shared" ref="E116:H117" si="34">D116</f>
        <v>0.80469999999999997</v>
      </c>
      <c r="F116" s="908">
        <f t="shared" si="34"/>
        <v>0.80469999999999997</v>
      </c>
      <c r="G116" s="908">
        <f t="shared" si="34"/>
        <v>0.80469999999999997</v>
      </c>
      <c r="H116" s="908">
        <f t="shared" si="34"/>
        <v>0.80469999999999997</v>
      </c>
      <c r="I116" s="908">
        <f>ROUND(0.7694-0.014*B113,4)</f>
        <v>0.71340000000000003</v>
      </c>
      <c r="J116" s="908">
        <f t="shared" si="33"/>
        <v>0.71340000000000003</v>
      </c>
      <c r="K116" s="908">
        <f t="shared" si="33"/>
        <v>0.71340000000000003</v>
      </c>
      <c r="L116" s="908">
        <f t="shared" si="33"/>
        <v>0.71340000000000003</v>
      </c>
      <c r="M116" s="909">
        <f t="shared" si="33"/>
        <v>0.71340000000000003</v>
      </c>
    </row>
    <row r="117" spans="1:13">
      <c r="A117" s="907" t="s">
        <v>2873</v>
      </c>
      <c r="B117" s="908">
        <f>ROUND(0.8808-0.006*B113,4)</f>
        <v>0.85680000000000001</v>
      </c>
      <c r="C117" s="908">
        <f>B117</f>
        <v>0.85680000000000001</v>
      </c>
      <c r="D117" s="908">
        <f>ROUND(0.8748-0.008*B113,4)</f>
        <v>0.84279999999999999</v>
      </c>
      <c r="E117" s="908">
        <f t="shared" si="34"/>
        <v>0.84279999999999999</v>
      </c>
      <c r="F117" s="908">
        <f t="shared" si="34"/>
        <v>0.84279999999999999</v>
      </c>
      <c r="G117" s="908">
        <f t="shared" si="34"/>
        <v>0.84279999999999999</v>
      </c>
      <c r="H117" s="908">
        <f t="shared" si="34"/>
        <v>0.84279999999999999</v>
      </c>
      <c r="I117" s="908">
        <f>ROUND(0.7412-0.0095*B113,4)</f>
        <v>0.70320000000000005</v>
      </c>
      <c r="J117" s="908">
        <f t="shared" si="33"/>
        <v>0.70320000000000005</v>
      </c>
      <c r="K117" s="908">
        <f t="shared" si="33"/>
        <v>0.70320000000000005</v>
      </c>
      <c r="L117" s="908">
        <f t="shared" si="33"/>
        <v>0.70320000000000005</v>
      </c>
      <c r="M117" s="909">
        <f t="shared" si="33"/>
        <v>0.70320000000000005</v>
      </c>
    </row>
    <row r="118" spans="1:13" ht="13.5" thickBot="1">
      <c r="A118" s="713" t="s">
        <v>2874</v>
      </c>
      <c r="B118" s="910">
        <f>ROUND(0.7275-0.01*B113,4)</f>
        <v>0.6875</v>
      </c>
      <c r="C118" s="910">
        <f>B118</f>
        <v>0.6875</v>
      </c>
      <c r="D118" s="910">
        <f>ROUND(0.7043-0.012*B113,4)</f>
        <v>0.65629999999999999</v>
      </c>
      <c r="E118" s="910">
        <f>D118</f>
        <v>0.65629999999999999</v>
      </c>
      <c r="F118" s="910">
        <f>E118</f>
        <v>0.65629999999999999</v>
      </c>
      <c r="G118" s="910">
        <f>ROUND(0.6299-0.0122*B113,4)</f>
        <v>0.58109999999999995</v>
      </c>
      <c r="H118" s="910">
        <f>G118</f>
        <v>0.58109999999999995</v>
      </c>
      <c r="I118" s="910">
        <f>ROUND(0.5667-0.0136*B113,4)</f>
        <v>0.51229999999999998</v>
      </c>
      <c r="J118" s="910">
        <f t="shared" si="33"/>
        <v>0.51229999999999998</v>
      </c>
      <c r="K118" s="910">
        <f t="shared" si="33"/>
        <v>0.51229999999999998</v>
      </c>
      <c r="L118" s="910">
        <f t="shared" si="33"/>
        <v>0.51229999999999998</v>
      </c>
      <c r="M118" s="911">
        <f t="shared" si="33"/>
        <v>0.51229999999999998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58" t="s">
        <v>183</v>
      </c>
      <c r="B18" s="880" t="s">
        <v>560</v>
      </c>
      <c r="C18" s="881" t="s">
        <v>561</v>
      </c>
      <c r="D18" s="882"/>
      <c r="E18" s="880">
        <v>1</v>
      </c>
      <c r="F18" s="883" t="s">
        <v>562</v>
      </c>
      <c r="G18" s="884"/>
      <c r="H18" s="876"/>
      <c r="I18" s="876"/>
    </row>
    <row r="19" spans="1:9" s="885" customFormat="1" ht="19.5" customHeight="1">
      <c r="A19" s="3258"/>
      <c r="B19" s="3258" t="s">
        <v>563</v>
      </c>
      <c r="C19" s="881" t="s">
        <v>564</v>
      </c>
      <c r="D19" s="882"/>
      <c r="E19" s="880">
        <v>0.9</v>
      </c>
      <c r="F19" s="883" t="s">
        <v>565</v>
      </c>
      <c r="G19" s="884"/>
      <c r="H19" s="876"/>
      <c r="I19" s="876"/>
    </row>
    <row r="20" spans="1:9" s="885" customFormat="1" ht="19.5" customHeight="1">
      <c r="A20" s="3258"/>
      <c r="B20" s="3258"/>
      <c r="C20" s="881" t="s">
        <v>566</v>
      </c>
      <c r="D20" s="882"/>
      <c r="E20" s="880">
        <v>1.1000000000000001</v>
      </c>
      <c r="F20" s="883" t="s">
        <v>567</v>
      </c>
      <c r="G20" s="884"/>
      <c r="H20" s="876"/>
      <c r="I20" s="876"/>
    </row>
    <row r="21" spans="1:9" s="885" customFormat="1" ht="19.5" customHeight="1">
      <c r="A21" s="3258"/>
      <c r="B21" s="3258"/>
      <c r="C21" s="881" t="s">
        <v>568</v>
      </c>
      <c r="D21" s="882"/>
      <c r="E21" s="880">
        <v>0.8</v>
      </c>
      <c r="F21" s="883" t="s">
        <v>569</v>
      </c>
      <c r="G21" s="884"/>
      <c r="H21" s="876"/>
      <c r="I21" s="876"/>
    </row>
    <row r="22" spans="1:9" s="885" customFormat="1" ht="19.5" customHeight="1">
      <c r="A22" s="3258"/>
      <c r="B22" s="3258"/>
      <c r="C22" s="881" t="s">
        <v>570</v>
      </c>
      <c r="D22" s="882"/>
      <c r="E22" s="880">
        <v>0.5</v>
      </c>
      <c r="F22" s="883"/>
      <c r="G22" s="884"/>
      <c r="H22" s="876"/>
      <c r="I22" s="876"/>
    </row>
    <row r="23" spans="1:9" s="885" customFormat="1" ht="19.5" customHeight="1">
      <c r="A23" s="3258" t="s">
        <v>184</v>
      </c>
      <c r="B23" s="880" t="s">
        <v>560</v>
      </c>
      <c r="C23" s="881" t="s">
        <v>571</v>
      </c>
      <c r="D23" s="882"/>
      <c r="E23" s="880">
        <v>1</v>
      </c>
      <c r="F23" s="883" t="s">
        <v>572</v>
      </c>
      <c r="G23" s="884"/>
      <c r="H23" s="876"/>
      <c r="I23" s="876"/>
    </row>
    <row r="24" spans="1:9" s="885" customFormat="1" ht="19.5" customHeight="1">
      <c r="A24" s="3258"/>
      <c r="B24" s="3258" t="s">
        <v>563</v>
      </c>
      <c r="C24" s="881" t="s">
        <v>573</v>
      </c>
      <c r="D24" s="882"/>
      <c r="E24" s="880">
        <v>0.5</v>
      </c>
      <c r="F24" s="883"/>
      <c r="G24" s="884"/>
      <c r="H24" s="876"/>
      <c r="I24" s="876"/>
    </row>
    <row r="25" spans="1:9" s="885" customFormat="1" ht="19.5" customHeight="1">
      <c r="A25" s="3258"/>
      <c r="B25" s="3258"/>
      <c r="C25" s="881" t="s">
        <v>574</v>
      </c>
      <c r="D25" s="882"/>
      <c r="E25" s="880">
        <v>1.1000000000000001</v>
      </c>
      <c r="F25" s="883"/>
      <c r="G25" s="884"/>
      <c r="H25" s="876"/>
      <c r="I25" s="876"/>
    </row>
    <row r="26" spans="1:9" s="885" customFormat="1" ht="19.5" customHeight="1">
      <c r="A26" s="3258"/>
      <c r="B26" s="3258"/>
      <c r="C26" s="881" t="s">
        <v>575</v>
      </c>
      <c r="D26" s="882"/>
      <c r="E26" s="880">
        <v>1.1000000000000001</v>
      </c>
      <c r="F26" s="883"/>
      <c r="G26" s="884"/>
      <c r="H26" s="876"/>
      <c r="I26" s="876"/>
    </row>
    <row r="27" spans="1:9" s="885" customFormat="1" ht="19.5" customHeight="1">
      <c r="A27" s="3258"/>
      <c r="B27" s="3258"/>
      <c r="C27" s="881" t="s">
        <v>576</v>
      </c>
      <c r="D27" s="882"/>
      <c r="E27" s="880">
        <v>0.9</v>
      </c>
      <c r="F27" s="883" t="s">
        <v>577</v>
      </c>
      <c r="G27" s="884"/>
      <c r="H27" s="876"/>
      <c r="I27" s="876"/>
    </row>
    <row r="28" spans="1:9" s="885" customFormat="1" ht="19.5" customHeight="1">
      <c r="A28" s="3258"/>
      <c r="B28" s="3258"/>
      <c r="C28" s="881" t="s">
        <v>578</v>
      </c>
      <c r="D28" s="882"/>
      <c r="E28" s="880">
        <v>0.9</v>
      </c>
      <c r="F28" s="883" t="s">
        <v>579</v>
      </c>
      <c r="G28" s="884"/>
      <c r="H28" s="876"/>
      <c r="I28" s="876"/>
    </row>
    <row r="29" spans="1:9" s="885" customFormat="1" ht="19.5" customHeight="1">
      <c r="A29" s="3258"/>
      <c r="B29" s="3258"/>
      <c r="C29" s="881" t="s">
        <v>580</v>
      </c>
      <c r="D29" s="882"/>
      <c r="E29" s="880">
        <v>0.9</v>
      </c>
      <c r="F29" s="883" t="s">
        <v>581</v>
      </c>
      <c r="G29" s="884"/>
      <c r="H29" s="876"/>
      <c r="I29" s="876"/>
    </row>
    <row r="30" spans="1:9" s="885" customFormat="1" ht="19.5" customHeight="1">
      <c r="A30" s="3258"/>
      <c r="B30" s="3258"/>
      <c r="C30" s="881" t="s">
        <v>582</v>
      </c>
      <c r="D30" s="882"/>
      <c r="E30" s="880">
        <v>0.9</v>
      </c>
      <c r="F30" s="883" t="s">
        <v>583</v>
      </c>
      <c r="G30" s="884"/>
      <c r="H30" s="876"/>
      <c r="I30" s="876"/>
    </row>
    <row r="31" spans="1:9" s="885" customFormat="1" ht="19.5" customHeight="1">
      <c r="A31" s="3258"/>
      <c r="B31" s="3258"/>
      <c r="C31" s="881" t="s">
        <v>584</v>
      </c>
      <c r="D31" s="882"/>
      <c r="E31" s="880">
        <v>0.8</v>
      </c>
      <c r="F31" s="883" t="s">
        <v>585</v>
      </c>
      <c r="G31" s="884"/>
      <c r="H31" s="876"/>
      <c r="I31" s="876"/>
    </row>
    <row r="32" spans="1:9" s="885" customFormat="1" ht="19.5" customHeight="1">
      <c r="A32" s="3258"/>
      <c r="B32" s="3258"/>
      <c r="C32" s="881" t="s">
        <v>586</v>
      </c>
      <c r="D32" s="882"/>
      <c r="E32" s="880">
        <v>0.8</v>
      </c>
      <c r="F32" s="883" t="s">
        <v>587</v>
      </c>
      <c r="G32" s="884"/>
      <c r="H32" s="876"/>
      <c r="I32" s="876"/>
    </row>
    <row r="33" spans="1:9" s="885" customFormat="1" ht="19.5" customHeight="1">
      <c r="A33" s="3258" t="s">
        <v>185</v>
      </c>
      <c r="B33" s="880" t="s">
        <v>560</v>
      </c>
      <c r="C33" s="881" t="s">
        <v>588</v>
      </c>
      <c r="D33" s="882"/>
      <c r="E33" s="880">
        <v>1</v>
      </c>
      <c r="F33" s="883" t="s">
        <v>589</v>
      </c>
      <c r="G33" s="884"/>
      <c r="H33" s="876"/>
      <c r="I33" s="876"/>
    </row>
    <row r="34" spans="1:9" s="885" customFormat="1" ht="19.5" customHeight="1">
      <c r="A34" s="3258"/>
      <c r="B34" s="880" t="s">
        <v>563</v>
      </c>
      <c r="C34" s="881" t="s">
        <v>590</v>
      </c>
      <c r="D34" s="882"/>
      <c r="E34" s="880">
        <v>1.5</v>
      </c>
      <c r="F34" s="883" t="s">
        <v>591</v>
      </c>
      <c r="G34" s="884"/>
      <c r="H34" s="876"/>
      <c r="I34" s="876"/>
    </row>
    <row r="35" spans="1:9" s="885" customFormat="1" ht="19.5" customHeight="1">
      <c r="A35" s="3258" t="s">
        <v>186</v>
      </c>
      <c r="B35" s="880" t="s">
        <v>560</v>
      </c>
      <c r="C35" s="881" t="s">
        <v>592</v>
      </c>
      <c r="D35" s="882"/>
      <c r="E35" s="880">
        <v>1</v>
      </c>
      <c r="F35" s="883" t="s">
        <v>593</v>
      </c>
      <c r="G35" s="884"/>
      <c r="H35" s="876"/>
      <c r="I35" s="876"/>
    </row>
    <row r="36" spans="1:9" s="885" customFormat="1" ht="19.5" customHeight="1">
      <c r="A36" s="3258"/>
      <c r="B36" s="3258" t="s">
        <v>563</v>
      </c>
      <c r="C36" s="881" t="s">
        <v>594</v>
      </c>
      <c r="D36" s="882"/>
      <c r="E36" s="880">
        <v>1</v>
      </c>
      <c r="F36" s="883" t="s">
        <v>595</v>
      </c>
      <c r="G36" s="884"/>
      <c r="H36" s="876"/>
      <c r="I36" s="876"/>
    </row>
    <row r="37" spans="1:9" s="885" customFormat="1" ht="19.5" customHeight="1">
      <c r="A37" s="3258"/>
      <c r="B37" s="3258"/>
      <c r="C37" s="881" t="s">
        <v>596</v>
      </c>
      <c r="D37" s="882"/>
      <c r="E37" s="880">
        <v>1.5</v>
      </c>
      <c r="F37" s="883" t="s">
        <v>597</v>
      </c>
      <c r="G37" s="884"/>
      <c r="H37" s="876"/>
      <c r="I37" s="876"/>
    </row>
    <row r="38" spans="1:9" s="885" customFormat="1" ht="19.5" customHeight="1">
      <c r="A38" s="3258"/>
      <c r="B38" s="3258"/>
      <c r="C38" s="881" t="s">
        <v>598</v>
      </c>
      <c r="D38" s="882"/>
      <c r="E38" s="880">
        <v>1</v>
      </c>
      <c r="F38" s="883" t="s">
        <v>599</v>
      </c>
      <c r="G38" s="884"/>
      <c r="H38" s="876"/>
      <c r="I38" s="876"/>
    </row>
    <row r="39" spans="1:9" s="885" customFormat="1" ht="19.5" customHeight="1">
      <c r="A39" s="3258"/>
      <c r="B39" s="325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58" t="s">
        <v>614</v>
      </c>
      <c r="C61" s="816" t="s">
        <v>615</v>
      </c>
      <c r="D61" s="816" t="s">
        <v>616</v>
      </c>
      <c r="E61" s="893">
        <v>0.5</v>
      </c>
      <c r="F61" s="880">
        <v>80</v>
      </c>
    </row>
    <row r="62" spans="1:8" s="876" customFormat="1" ht="24">
      <c r="A62" s="880">
        <v>2</v>
      </c>
      <c r="B62" s="3258"/>
      <c r="C62" s="816" t="s">
        <v>617</v>
      </c>
      <c r="D62" s="816" t="s">
        <v>618</v>
      </c>
      <c r="E62" s="893">
        <v>0.5</v>
      </c>
      <c r="F62" s="880">
        <v>80</v>
      </c>
    </row>
    <row r="63" spans="1:8" s="876" customFormat="1" ht="36">
      <c r="A63" s="880">
        <v>3</v>
      </c>
      <c r="B63" s="3258"/>
      <c r="C63" s="816" t="s">
        <v>619</v>
      </c>
      <c r="D63" s="816" t="s">
        <v>620</v>
      </c>
      <c r="E63" s="893">
        <v>0.5</v>
      </c>
      <c r="F63" s="880">
        <v>80</v>
      </c>
    </row>
    <row r="64" spans="1:8" s="876" customFormat="1" ht="36">
      <c r="A64" s="880">
        <v>4</v>
      </c>
      <c r="B64" s="3258"/>
      <c r="C64" s="816" t="s">
        <v>621</v>
      </c>
      <c r="D64" s="816" t="s">
        <v>622</v>
      </c>
      <c r="E64" s="893">
        <v>0.4</v>
      </c>
      <c r="F64" s="880">
        <v>60</v>
      </c>
    </row>
    <row r="65" spans="1:6" s="876" customFormat="1" ht="36">
      <c r="A65" s="880">
        <v>5</v>
      </c>
      <c r="B65" s="3258"/>
      <c r="C65" s="816" t="s">
        <v>623</v>
      </c>
      <c r="D65" s="816" t="s">
        <v>624</v>
      </c>
      <c r="E65" s="893">
        <v>0.2</v>
      </c>
      <c r="F65" s="880">
        <v>30</v>
      </c>
    </row>
    <row r="66" spans="1:6" s="876" customFormat="1" ht="36">
      <c r="A66" s="880">
        <v>6</v>
      </c>
      <c r="B66" s="3258"/>
      <c r="C66" s="816" t="s">
        <v>625</v>
      </c>
      <c r="D66" s="816" t="s">
        <v>626</v>
      </c>
      <c r="E66" s="893">
        <v>0.3</v>
      </c>
      <c r="F66" s="880">
        <v>50</v>
      </c>
    </row>
    <row r="67" spans="1:6" s="876" customFormat="1" ht="36">
      <c r="A67" s="880">
        <v>7</v>
      </c>
      <c r="B67" s="3258"/>
      <c r="C67" s="816" t="s">
        <v>627</v>
      </c>
      <c r="D67" s="816" t="s">
        <v>628</v>
      </c>
      <c r="E67" s="893">
        <v>0.2</v>
      </c>
      <c r="F67" s="880">
        <v>30</v>
      </c>
    </row>
    <row r="68" spans="1:6" s="876" customFormat="1" ht="36">
      <c r="A68" s="880">
        <v>8</v>
      </c>
      <c r="B68" s="3258"/>
      <c r="C68" s="816" t="s">
        <v>629</v>
      </c>
      <c r="D68" s="816" t="s">
        <v>630</v>
      </c>
      <c r="E68" s="893">
        <v>0.2</v>
      </c>
      <c r="F68" s="880">
        <v>30</v>
      </c>
    </row>
    <row r="69" spans="1:6" s="876" customFormat="1" ht="36">
      <c r="A69" s="880">
        <v>9</v>
      </c>
      <c r="B69" s="3258"/>
      <c r="C69" s="816" t="s">
        <v>631</v>
      </c>
      <c r="D69" s="816" t="s">
        <v>632</v>
      </c>
      <c r="E69" s="893">
        <v>0.2</v>
      </c>
      <c r="F69" s="880">
        <v>30</v>
      </c>
    </row>
    <row r="70" spans="1:6" s="876" customFormat="1" ht="48">
      <c r="A70" s="880">
        <v>10</v>
      </c>
      <c r="B70" s="3258"/>
      <c r="C70" s="816" t="s">
        <v>633</v>
      </c>
      <c r="D70" s="816" t="s">
        <v>634</v>
      </c>
      <c r="E70" s="893">
        <v>0.2</v>
      </c>
      <c r="F70" s="880">
        <v>30</v>
      </c>
    </row>
    <row r="71" spans="1:6" s="876" customFormat="1" ht="48">
      <c r="A71" s="880">
        <v>11</v>
      </c>
      <c r="B71" s="3258"/>
      <c r="C71" s="816" t="s">
        <v>635</v>
      </c>
      <c r="D71" s="816" t="s">
        <v>636</v>
      </c>
      <c r="E71" s="893">
        <v>0.2</v>
      </c>
      <c r="F71" s="880">
        <v>30</v>
      </c>
    </row>
    <row r="72" spans="1:6" s="876" customFormat="1" ht="36">
      <c r="A72" s="880">
        <v>12</v>
      </c>
      <c r="B72" s="3258"/>
      <c r="C72" s="816" t="s">
        <v>637</v>
      </c>
      <c r="D72" s="816" t="s">
        <v>638</v>
      </c>
      <c r="E72" s="893">
        <v>0.5</v>
      </c>
      <c r="F72" s="880">
        <v>80</v>
      </c>
    </row>
    <row r="73" spans="1:6" s="876" customFormat="1" ht="24">
      <c r="A73" s="880">
        <v>13</v>
      </c>
      <c r="B73" s="3258"/>
      <c r="C73" s="816" t="s">
        <v>639</v>
      </c>
      <c r="D73" s="816" t="s">
        <v>640</v>
      </c>
      <c r="E73" s="893">
        <v>0.4</v>
      </c>
      <c r="F73" s="880">
        <v>60</v>
      </c>
    </row>
    <row r="74" spans="1:6" s="876" customFormat="1" ht="24">
      <c r="A74" s="880">
        <v>14</v>
      </c>
      <c r="B74" s="3258"/>
      <c r="C74" s="816" t="s">
        <v>641</v>
      </c>
      <c r="D74" s="816" t="s">
        <v>642</v>
      </c>
      <c r="E74" s="893">
        <v>0.2</v>
      </c>
      <c r="F74" s="880">
        <v>30</v>
      </c>
    </row>
    <row r="75" spans="1:6" s="876" customFormat="1" ht="24">
      <c r="A75" s="880">
        <v>15</v>
      </c>
      <c r="B75" s="3258"/>
      <c r="C75" s="816" t="s">
        <v>643</v>
      </c>
      <c r="D75" s="816" t="s">
        <v>644</v>
      </c>
      <c r="E75" s="893">
        <v>0.2</v>
      </c>
      <c r="F75" s="880">
        <v>30</v>
      </c>
    </row>
    <row r="76" spans="1:6" s="876" customFormat="1" ht="24">
      <c r="A76" s="880">
        <v>16</v>
      </c>
      <c r="B76" s="3258" t="s">
        <v>645</v>
      </c>
      <c r="C76" s="816" t="s">
        <v>646</v>
      </c>
      <c r="D76" s="816" t="s">
        <v>647</v>
      </c>
      <c r="E76" s="893">
        <v>0.5</v>
      </c>
      <c r="F76" s="880">
        <v>80</v>
      </c>
    </row>
    <row r="77" spans="1:6" s="876" customFormat="1" ht="24">
      <c r="A77" s="880">
        <v>17</v>
      </c>
      <c r="B77" s="3258"/>
      <c r="C77" s="816" t="s">
        <v>648</v>
      </c>
      <c r="D77" s="816" t="s">
        <v>649</v>
      </c>
      <c r="E77" s="893">
        <v>0.5</v>
      </c>
      <c r="F77" s="880">
        <v>80</v>
      </c>
    </row>
    <row r="78" spans="1:6" s="876" customFormat="1" ht="24">
      <c r="A78" s="880">
        <v>18</v>
      </c>
      <c r="B78" s="3258"/>
      <c r="C78" s="816" t="s">
        <v>650</v>
      </c>
      <c r="D78" s="816" t="s">
        <v>651</v>
      </c>
      <c r="E78" s="893">
        <v>0.2</v>
      </c>
      <c r="F78" s="880">
        <v>30</v>
      </c>
    </row>
    <row r="79" spans="1:6" s="876" customFormat="1" ht="24">
      <c r="A79" s="880">
        <v>19</v>
      </c>
      <c r="B79" s="3258"/>
      <c r="C79" s="816" t="s">
        <v>652</v>
      </c>
      <c r="D79" s="816" t="s">
        <v>653</v>
      </c>
      <c r="E79" s="893">
        <v>0.5</v>
      </c>
      <c r="F79" s="880">
        <v>80</v>
      </c>
    </row>
    <row r="80" spans="1:6" s="876" customFormat="1" ht="36">
      <c r="A80" s="880">
        <v>20</v>
      </c>
      <c r="B80" s="3258"/>
      <c r="C80" s="816" t="s">
        <v>654</v>
      </c>
      <c r="D80" s="816" t="s">
        <v>655</v>
      </c>
      <c r="E80" s="893">
        <v>0.2</v>
      </c>
      <c r="F80" s="880">
        <v>30</v>
      </c>
    </row>
    <row r="81" spans="1:6" s="876" customFormat="1" ht="36">
      <c r="A81" s="880">
        <v>21</v>
      </c>
      <c r="B81" s="3258"/>
      <c r="C81" s="816" t="s">
        <v>656</v>
      </c>
      <c r="D81" s="816" t="s">
        <v>657</v>
      </c>
      <c r="E81" s="893">
        <v>0.2</v>
      </c>
      <c r="F81" s="880">
        <v>30</v>
      </c>
    </row>
    <row r="82" spans="1:6" s="876" customFormat="1" ht="48">
      <c r="A82" s="880">
        <v>22</v>
      </c>
      <c r="B82" s="3258"/>
      <c r="C82" s="816" t="s">
        <v>658</v>
      </c>
      <c r="D82" s="816" t="s">
        <v>659</v>
      </c>
      <c r="E82" s="893">
        <v>0.2</v>
      </c>
      <c r="F82" s="880">
        <v>30</v>
      </c>
    </row>
    <row r="83" spans="1:6" s="876" customFormat="1" ht="48">
      <c r="A83" s="880">
        <v>23</v>
      </c>
      <c r="B83" s="3258"/>
      <c r="C83" s="816" t="s">
        <v>660</v>
      </c>
      <c r="D83" s="816" t="s">
        <v>661</v>
      </c>
      <c r="E83" s="893">
        <v>0.2</v>
      </c>
      <c r="F83" s="880">
        <v>30</v>
      </c>
    </row>
    <row r="84" spans="1:6" s="876" customFormat="1" ht="36">
      <c r="A84" s="880">
        <v>24</v>
      </c>
      <c r="B84" s="3258"/>
      <c r="C84" s="816" t="s">
        <v>662</v>
      </c>
      <c r="D84" s="816" t="s">
        <v>663</v>
      </c>
      <c r="E84" s="893">
        <v>0.2</v>
      </c>
      <c r="F84" s="880">
        <v>30</v>
      </c>
    </row>
    <row r="85" spans="1:6" s="876" customFormat="1" ht="36">
      <c r="A85" s="880">
        <v>25</v>
      </c>
      <c r="B85" s="3258"/>
      <c r="C85" s="816" t="s">
        <v>664</v>
      </c>
      <c r="D85" s="816" t="s">
        <v>665</v>
      </c>
      <c r="E85" s="893">
        <v>0.5</v>
      </c>
      <c r="F85" s="880">
        <v>80</v>
      </c>
    </row>
    <row r="86" spans="1:6" s="876" customFormat="1" ht="36">
      <c r="A86" s="880">
        <v>26</v>
      </c>
      <c r="B86" s="3258"/>
      <c r="C86" s="816" t="s">
        <v>666</v>
      </c>
      <c r="D86" s="816" t="s">
        <v>667</v>
      </c>
      <c r="E86" s="893">
        <v>0.2</v>
      </c>
      <c r="F86" s="880">
        <v>30</v>
      </c>
    </row>
    <row r="87" spans="1:6" s="876" customFormat="1" ht="36">
      <c r="A87" s="880">
        <v>27</v>
      </c>
      <c r="B87" s="3258"/>
      <c r="C87" s="816" t="s">
        <v>668</v>
      </c>
      <c r="D87" s="816" t="s">
        <v>669</v>
      </c>
      <c r="E87" s="893">
        <v>0.2</v>
      </c>
      <c r="F87" s="880">
        <v>30</v>
      </c>
    </row>
    <row r="88" spans="1:6" s="876" customFormat="1" ht="36">
      <c r="A88" s="880">
        <v>28</v>
      </c>
      <c r="B88" s="3258"/>
      <c r="C88" s="816" t="s">
        <v>670</v>
      </c>
      <c r="D88" s="816" t="s">
        <v>671</v>
      </c>
      <c r="E88" s="893">
        <v>0.2</v>
      </c>
      <c r="F88" s="880">
        <v>30</v>
      </c>
    </row>
    <row r="89" spans="1:6" s="876" customFormat="1" ht="24">
      <c r="A89" s="880">
        <v>29</v>
      </c>
      <c r="B89" s="3258"/>
      <c r="C89" s="816" t="s">
        <v>672</v>
      </c>
      <c r="D89" s="816" t="s">
        <v>673</v>
      </c>
      <c r="E89" s="893">
        <v>0.2</v>
      </c>
      <c r="F89" s="880">
        <v>30</v>
      </c>
    </row>
    <row r="90" spans="1:6" s="876" customFormat="1" ht="24">
      <c r="A90" s="880">
        <v>30</v>
      </c>
      <c r="B90" s="3258"/>
      <c r="C90" s="816" t="s">
        <v>674</v>
      </c>
      <c r="D90" s="816" t="s">
        <v>675</v>
      </c>
      <c r="E90" s="893">
        <v>0.2</v>
      </c>
      <c r="F90" s="880">
        <v>30</v>
      </c>
    </row>
    <row r="91" spans="1:6" s="876" customFormat="1" ht="36">
      <c r="A91" s="880">
        <v>31</v>
      </c>
      <c r="B91" s="3258"/>
      <c r="C91" s="816" t="s">
        <v>676</v>
      </c>
      <c r="D91" s="816" t="s">
        <v>677</v>
      </c>
      <c r="E91" s="893">
        <v>0.2</v>
      </c>
      <c r="F91" s="880">
        <v>30</v>
      </c>
    </row>
    <row r="92" spans="1:6" s="876" customFormat="1" ht="24">
      <c r="A92" s="880">
        <v>32</v>
      </c>
      <c r="B92" s="3258" t="s">
        <v>678</v>
      </c>
      <c r="C92" s="880" t="s">
        <v>679</v>
      </c>
      <c r="D92" s="816" t="s">
        <v>680</v>
      </c>
      <c r="E92" s="893">
        <v>0.2</v>
      </c>
      <c r="F92" s="880">
        <v>30</v>
      </c>
    </row>
    <row r="93" spans="1:6" s="876" customFormat="1" ht="36">
      <c r="A93" s="880">
        <v>33</v>
      </c>
      <c r="B93" s="3258"/>
      <c r="C93" s="880" t="s">
        <v>681</v>
      </c>
      <c r="D93" s="816" t="s">
        <v>682</v>
      </c>
      <c r="E93" s="893">
        <v>0.2</v>
      </c>
      <c r="F93" s="880">
        <v>30</v>
      </c>
    </row>
    <row r="94" spans="1:6" s="876" customFormat="1" ht="48">
      <c r="A94" s="880">
        <v>34</v>
      </c>
      <c r="B94" s="3258"/>
      <c r="C94" s="880" t="s">
        <v>683</v>
      </c>
      <c r="D94" s="816" t="s">
        <v>684</v>
      </c>
      <c r="E94" s="893">
        <v>0.2</v>
      </c>
      <c r="F94" s="880">
        <v>30</v>
      </c>
    </row>
    <row r="95" spans="1:6" s="876" customFormat="1" ht="36">
      <c r="A95" s="880">
        <v>35</v>
      </c>
      <c r="B95" s="3258"/>
      <c r="C95" s="880" t="s">
        <v>685</v>
      </c>
      <c r="D95" s="816" t="s">
        <v>686</v>
      </c>
      <c r="E95" s="893">
        <v>0.2</v>
      </c>
      <c r="F95" s="880">
        <v>30</v>
      </c>
    </row>
    <row r="96" spans="1:6" s="876" customFormat="1" ht="48">
      <c r="A96" s="880">
        <v>36</v>
      </c>
      <c r="B96" s="3258"/>
      <c r="C96" s="816" t="s">
        <v>687</v>
      </c>
      <c r="D96" s="816" t="s">
        <v>688</v>
      </c>
      <c r="E96" s="893">
        <v>0.2</v>
      </c>
      <c r="F96" s="880">
        <v>30</v>
      </c>
    </row>
    <row r="97" spans="1:6" s="876" customFormat="1" ht="36">
      <c r="A97" s="880">
        <v>37</v>
      </c>
      <c r="B97" s="3258"/>
      <c r="C97" s="880" t="s">
        <v>689</v>
      </c>
      <c r="D97" s="816" t="s">
        <v>690</v>
      </c>
      <c r="E97" s="893">
        <v>0.2</v>
      </c>
      <c r="F97" s="880">
        <v>30</v>
      </c>
    </row>
    <row r="98" spans="1:6" s="876" customFormat="1" ht="36">
      <c r="A98" s="880">
        <v>38</v>
      </c>
      <c r="B98" s="3258"/>
      <c r="C98" s="880" t="s">
        <v>691</v>
      </c>
      <c r="D98" s="816" t="s">
        <v>692</v>
      </c>
      <c r="E98" s="893">
        <v>0.2</v>
      </c>
      <c r="F98" s="880">
        <v>30</v>
      </c>
    </row>
    <row r="99" spans="1:6" s="876" customFormat="1" ht="36">
      <c r="A99" s="880">
        <v>39</v>
      </c>
      <c r="B99" s="3258" t="s">
        <v>693</v>
      </c>
      <c r="C99" s="880" t="s">
        <v>694</v>
      </c>
      <c r="D99" s="816" t="s">
        <v>695</v>
      </c>
      <c r="E99" s="893">
        <v>0.3</v>
      </c>
      <c r="F99" s="880">
        <v>50</v>
      </c>
    </row>
    <row r="100" spans="1:6" s="876" customFormat="1" ht="24">
      <c r="A100" s="880">
        <v>40</v>
      </c>
      <c r="B100" s="3258"/>
      <c r="C100" s="880" t="s">
        <v>696</v>
      </c>
      <c r="D100" s="816" t="s">
        <v>697</v>
      </c>
      <c r="E100" s="893">
        <v>0.2</v>
      </c>
      <c r="F100" s="880">
        <v>30</v>
      </c>
    </row>
    <row r="101" spans="1:6" s="876" customFormat="1" ht="36">
      <c r="A101" s="880">
        <v>41</v>
      </c>
      <c r="B101" s="325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58" t="s">
        <v>708</v>
      </c>
      <c r="C105" s="880" t="s">
        <v>709</v>
      </c>
      <c r="D105" s="816" t="s">
        <v>710</v>
      </c>
      <c r="E105" s="893">
        <v>0.2</v>
      </c>
      <c r="F105" s="880">
        <v>30</v>
      </c>
    </row>
    <row r="106" spans="1:6" s="876" customFormat="1" ht="36">
      <c r="A106" s="880">
        <v>46</v>
      </c>
      <c r="B106" s="3258"/>
      <c r="C106" s="880" t="s">
        <v>711</v>
      </c>
      <c r="D106" s="816" t="s">
        <v>712</v>
      </c>
      <c r="E106" s="893">
        <v>0.2</v>
      </c>
      <c r="F106" s="880">
        <v>30</v>
      </c>
    </row>
    <row r="107" spans="1:6" s="876" customFormat="1" ht="36">
      <c r="A107" s="880">
        <v>47</v>
      </c>
      <c r="B107" s="3258" t="s">
        <v>713</v>
      </c>
      <c r="C107" s="880" t="s">
        <v>714</v>
      </c>
      <c r="D107" s="816" t="s">
        <v>715</v>
      </c>
      <c r="E107" s="893">
        <v>0.3</v>
      </c>
      <c r="F107" s="880">
        <v>50</v>
      </c>
    </row>
    <row r="108" spans="1:6" s="876" customFormat="1" ht="36">
      <c r="A108" s="880">
        <v>48</v>
      </c>
      <c r="B108" s="325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58" t="s">
        <v>724</v>
      </c>
      <c r="C111" s="880" t="s">
        <v>725</v>
      </c>
      <c r="D111" s="816" t="s">
        <v>726</v>
      </c>
      <c r="E111" s="893">
        <v>0.2</v>
      </c>
      <c r="F111" s="880">
        <v>30</v>
      </c>
    </row>
    <row r="112" spans="1:6" s="876" customFormat="1" ht="24">
      <c r="A112" s="880">
        <v>52</v>
      </c>
      <c r="B112" s="3258"/>
      <c r="C112" s="880" t="s">
        <v>727</v>
      </c>
      <c r="D112" s="816" t="s">
        <v>728</v>
      </c>
      <c r="E112" s="893">
        <v>0.2</v>
      </c>
      <c r="F112" s="880">
        <v>30</v>
      </c>
    </row>
    <row r="113" spans="1:6" s="876" customFormat="1" ht="24">
      <c r="A113" s="880">
        <v>53</v>
      </c>
      <c r="B113" s="325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58" t="s">
        <v>737</v>
      </c>
      <c r="C116" s="880" t="s">
        <v>738</v>
      </c>
      <c r="D116" s="816" t="s">
        <v>739</v>
      </c>
      <c r="E116" s="893">
        <v>0.2</v>
      </c>
      <c r="F116" s="880">
        <v>30</v>
      </c>
    </row>
    <row r="117" spans="1:6" ht="36">
      <c r="A117" s="880">
        <v>57</v>
      </c>
      <c r="B117" s="325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2997</v>
      </c>
    </row>
    <row r="2" spans="1:5" ht="15.75">
      <c r="A2" s="2912" t="s">
        <v>2989</v>
      </c>
      <c r="B2" s="2913" t="e">
        <f ca="1">SUMIF(B6:B13,"&lt;&gt;#ref!",B6:B13)</f>
        <v>#DIV/0!</v>
      </c>
      <c r="C2" s="2912" t="s">
        <v>2990</v>
      </c>
      <c r="D2" s="2912" t="s">
        <v>2991</v>
      </c>
      <c r="E2" s="2913">
        <f ca="1">SUMIF(E6:E13,"&lt;&gt;#ref!",E6:E13)</f>
        <v>0</v>
      </c>
    </row>
    <row r="3" spans="1:5" ht="15.75">
      <c r="A3" s="2912" t="s">
        <v>2992</v>
      </c>
      <c r="B3" s="2913" t="e">
        <f ca="1">ROUND(B2*10000/E2,0)</f>
        <v>#DIV/0!</v>
      </c>
      <c r="C3" s="2912" t="s">
        <v>2998</v>
      </c>
      <c r="D3" s="2914"/>
      <c r="E3" s="2914"/>
    </row>
    <row r="4" spans="1:5" ht="15.75">
      <c r="A4" s="2915"/>
      <c r="B4" s="2914"/>
      <c r="C4" s="2914"/>
      <c r="D4" s="2914"/>
      <c r="E4" s="2914"/>
    </row>
    <row r="5" spans="1:5" ht="28.5">
      <c r="A5" s="2916" t="s">
        <v>2993</v>
      </c>
      <c r="B5" s="2912" t="s">
        <v>2994</v>
      </c>
      <c r="C5" s="2913"/>
      <c r="D5" s="2914"/>
      <c r="E5" s="2912" t="s">
        <v>2995</v>
      </c>
    </row>
    <row r="6" spans="1:5" ht="15.75">
      <c r="A6" s="2917" t="s">
        <v>2996</v>
      </c>
      <c r="B6" s="2913" t="e">
        <f ca="1">SUMIF(INDIRECT("'"&amp;A6&amp;"'"&amp;"!A:A"),"总价",INDIRECT("'"&amp;A6&amp;"'"&amp;"!B:B"))</f>
        <v>#DIV/0!</v>
      </c>
      <c r="C6" s="2912" t="s">
        <v>2990</v>
      </c>
      <c r="D6" s="2914"/>
      <c r="E6" s="2577">
        <f ca="1">SUMIF(INDIRECT("'"&amp;A6&amp;"'"&amp;"!C:C"),"建筑面积",INDIRECT("'"&amp;A6&amp;"'"&amp;"!D:D"))</f>
        <v>0</v>
      </c>
    </row>
    <row r="7" spans="1:5" ht="15.75">
      <c r="A7" s="2917"/>
      <c r="B7" s="2913" t="e">
        <f ca="1">SUMIF(INDIRECT("'"&amp;A7&amp;"'"&amp;"!A:A"),"总价",INDIRECT("'"&amp;A7&amp;"'"&amp;"!B:B"))</f>
        <v>#REF!</v>
      </c>
      <c r="C7" s="2912" t="s">
        <v>2990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2990</v>
      </c>
      <c r="D8" s="2914"/>
      <c r="E8" s="2577" t="e">
        <f t="shared" ca="1" si="0"/>
        <v>#REF!</v>
      </c>
    </row>
    <row r="9" spans="1:5" ht="15.75">
      <c r="A9" s="2917"/>
      <c r="B9" s="2913" t="e">
        <f t="shared" ca="1" si="1"/>
        <v>#REF!</v>
      </c>
      <c r="C9" s="2912" t="s">
        <v>2990</v>
      </c>
      <c r="D9" s="2914"/>
      <c r="E9" s="2577" t="e">
        <f t="shared" ca="1" si="0"/>
        <v>#REF!</v>
      </c>
    </row>
    <row r="10" spans="1:5" ht="15.75">
      <c r="A10" s="2917"/>
      <c r="B10" s="2913" t="e">
        <f t="shared" ca="1" si="1"/>
        <v>#REF!</v>
      </c>
      <c r="C10" s="2912" t="s">
        <v>2990</v>
      </c>
      <c r="D10" s="2914"/>
      <c r="E10" s="2577" t="e">
        <f t="shared" ca="1" si="0"/>
        <v>#REF!</v>
      </c>
    </row>
    <row r="11" spans="1:5" ht="15.75">
      <c r="A11" s="2917"/>
      <c r="B11" s="2913" t="e">
        <f t="shared" ca="1" si="1"/>
        <v>#REF!</v>
      </c>
      <c r="C11" s="2912" t="s">
        <v>2990</v>
      </c>
      <c r="D11" s="2914"/>
      <c r="E11" s="2577" t="e">
        <f t="shared" ca="1" si="0"/>
        <v>#REF!</v>
      </c>
    </row>
    <row r="12" spans="1:5" ht="15.75">
      <c r="A12" s="2917"/>
      <c r="B12" s="2913" t="e">
        <f t="shared" ca="1" si="1"/>
        <v>#REF!</v>
      </c>
      <c r="C12" s="2912" t="s">
        <v>2990</v>
      </c>
      <c r="D12" s="2914"/>
      <c r="E12" s="2577" t="e">
        <f t="shared" ca="1" si="0"/>
        <v>#REF!</v>
      </c>
    </row>
    <row r="13" spans="1:5" ht="15.75">
      <c r="A13" s="2917"/>
      <c r="B13" s="2913" t="e">
        <f t="shared" ca="1" si="1"/>
        <v>#REF!</v>
      </c>
      <c r="C13" s="2912" t="s">
        <v>2990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16" sqref="I6:I16"/>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4" t="s">
        <v>1146</v>
      </c>
      <c r="C1" s="3264"/>
      <c r="D1" s="3264"/>
      <c r="E1" s="3264"/>
      <c r="F1" s="3264"/>
      <c r="G1" s="3263" t="s">
        <v>1147</v>
      </c>
      <c r="H1" s="3263"/>
      <c r="I1" s="3263"/>
      <c r="J1" s="3263"/>
      <c r="K1" s="3263"/>
      <c r="L1" s="3263"/>
      <c r="N1" s="3263" t="s">
        <v>1148</v>
      </c>
      <c r="O1" s="3263"/>
      <c r="P1" s="3263"/>
      <c r="Q1" s="3263"/>
      <c r="R1" s="1447"/>
      <c r="S1" s="3263" t="s">
        <v>1149</v>
      </c>
      <c r="T1" s="3263"/>
      <c r="U1" s="3263"/>
      <c r="V1" s="3263"/>
      <c r="X1" s="3262" t="s">
        <v>1150</v>
      </c>
      <c r="Y1" s="3263"/>
      <c r="Z1" s="3263"/>
      <c r="AA1" s="3263"/>
      <c r="AB1" s="3263"/>
      <c r="AD1" s="3262" t="s">
        <v>1151</v>
      </c>
      <c r="AE1" s="3263"/>
      <c r="AF1" s="3263"/>
      <c r="AG1" s="3263"/>
      <c r="AH1" s="3263"/>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3032</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1" customFormat="1" ht="13.5" thickBot="1">
      <c r="A5" s="1729" t="s">
        <v>3045</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1">
        <v>2019</v>
      </c>
      <c r="H5" s="1730">
        <v>1</v>
      </c>
      <c r="I5" s="2924">
        <v>0</v>
      </c>
      <c r="J5" s="2924">
        <v>0</v>
      </c>
      <c r="K5" s="2924">
        <v>0</v>
      </c>
      <c r="L5" s="2924">
        <v>0</v>
      </c>
      <c r="N5" s="1468">
        <f>I5/100</f>
        <v>0</v>
      </c>
      <c r="O5" s="1468">
        <f t="shared" ref="O5" si="7">J5/100</f>
        <v>0</v>
      </c>
      <c r="P5" s="1468">
        <f t="shared" ref="P5" si="8">K5/100</f>
        <v>0</v>
      </c>
      <c r="Q5" s="1468">
        <f t="shared" ref="Q5" si="9">L5/100</f>
        <v>0</v>
      </c>
      <c r="R5" s="1732"/>
      <c r="S5" s="1733"/>
      <c r="T5" s="1732"/>
      <c r="U5" s="1732"/>
      <c r="V5" s="1732"/>
      <c r="W5" s="2927" t="s">
        <v>3033</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3046</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60">
        <v>2018</v>
      </c>
      <c r="H6" s="1465">
        <v>4</v>
      </c>
      <c r="I6" s="2951">
        <v>0.96</v>
      </c>
      <c r="J6" s="2951">
        <v>1.03</v>
      </c>
      <c r="K6" s="2951">
        <v>0.92</v>
      </c>
      <c r="L6" s="2952">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3039</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60"/>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3038</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60"/>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3031</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69"/>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3028</v>
      </c>
      <c r="B10" s="1470">
        <v>439</v>
      </c>
      <c r="C10" s="1470">
        <v>327</v>
      </c>
      <c r="D10" s="1470">
        <f>C10</f>
        <v>327</v>
      </c>
      <c r="E10" s="1470">
        <v>627</v>
      </c>
      <c r="F10" s="1471">
        <v>283</v>
      </c>
      <c r="G10" s="3265">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3029</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60"/>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60"/>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69"/>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265">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60"/>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60"/>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61"/>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59">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60"/>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60"/>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61"/>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59">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60"/>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60"/>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61"/>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2" t="s">
        <v>1159</v>
      </c>
      <c r="B26" s="1470">
        <v>299</v>
      </c>
      <c r="C26" s="1470">
        <v>252</v>
      </c>
      <c r="D26" s="1470">
        <f t="shared" si="74"/>
        <v>252</v>
      </c>
      <c r="E26" s="1470">
        <v>409</v>
      </c>
      <c r="F26" s="1471">
        <v>227</v>
      </c>
      <c r="G26" s="3266">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67"/>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67"/>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68"/>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59">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60"/>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60"/>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61"/>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59">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60">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60">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61">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59">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60">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60">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61">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59">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60">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60">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61">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59">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60">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60">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61">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59">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60">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60">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61">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59">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60">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60">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61">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59">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60">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60">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61">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59">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60">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60">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61">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59">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60">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60">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61">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59">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60">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60">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61">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5" t="s">
        <v>2999</v>
      </c>
      <c r="C1" s="3271" t="s">
        <v>3000</v>
      </c>
      <c r="D1" s="3272"/>
      <c r="E1" s="3272"/>
      <c r="F1" s="3272"/>
      <c r="G1" s="3272"/>
      <c r="H1" s="3272"/>
      <c r="I1" s="3272"/>
      <c r="J1" s="3272"/>
      <c r="K1" s="3272"/>
      <c r="L1" s="3272"/>
      <c r="M1" s="3272"/>
      <c r="N1" s="3272"/>
      <c r="O1" s="3272"/>
      <c r="P1" s="3272"/>
      <c r="Q1" s="3272"/>
      <c r="R1" s="3272"/>
      <c r="S1" s="3273"/>
      <c r="T1" s="1205" t="s">
        <v>3001</v>
      </c>
    </row>
    <row r="2" spans="1:45" s="706" customFormat="1">
      <c r="A2" s="1206"/>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69" t="s">
        <v>3003</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0" t="s">
        <v>3004</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0" t="s">
        <v>3005</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69" t="s">
        <v>3006</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69" t="s">
        <v>3007</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69" t="s">
        <v>3008</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3009</v>
      </c>
      <c r="B17" s="2919" t="s">
        <v>3010</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3011</v>
      </c>
      <c r="E19" s="1792"/>
      <c r="F19" s="1792"/>
      <c r="G19" s="1792"/>
      <c r="H19" s="1281"/>
      <c r="I19" s="167"/>
      <c r="J19" s="167"/>
      <c r="K19" s="167"/>
      <c r="L19" s="167"/>
      <c r="M19" s="167"/>
      <c r="N19" s="167"/>
      <c r="O19" s="167"/>
      <c r="P19" s="167"/>
      <c r="Q19" s="167"/>
      <c r="R19" s="787"/>
      <c r="S19" s="137"/>
    </row>
    <row r="20" spans="1:45" ht="16.5" thickBot="1">
      <c r="A20" s="714" t="s">
        <v>3012</v>
      </c>
      <c r="B20" s="337" t="e">
        <f ca="1">IF(D20="——",S22,S22-F20)</f>
        <v>#REF!</v>
      </c>
      <c r="C20" s="167"/>
      <c r="D20" s="2921" t="s">
        <v>3013</v>
      </c>
      <c r="E20" s="1793"/>
      <c r="F20" s="1205" t="e">
        <f ca="1">SUMIF(INDIRECT("'"&amp;H20&amp;"'"&amp;"!A:A"),"承租人权益价值",INDIRECT("'"&amp;H20&amp;"'"&amp;"!c:c"))</f>
        <v>#REF!</v>
      </c>
      <c r="G20" s="1205" t="s">
        <v>3014</v>
      </c>
      <c r="H20" s="2922"/>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3">
        <f>SUM(B24:B10000)</f>
        <v>100</v>
      </c>
      <c r="C22" s="3133" t="s">
        <v>33</v>
      </c>
      <c r="D22" s="3134"/>
      <c r="E22" s="3134"/>
      <c r="F22" s="3134"/>
      <c r="G22" s="3134"/>
      <c r="H22" s="3134"/>
      <c r="I22" s="3134"/>
      <c r="J22" s="3134"/>
      <c r="K22" s="3134"/>
      <c r="L22" s="3134"/>
      <c r="M22" s="3134"/>
      <c r="N22" s="3134"/>
      <c r="O22" s="3134"/>
      <c r="P22" s="3134"/>
      <c r="Q22" s="3270"/>
      <c r="R22" s="715">
        <f>ROUND(S22*10000/B22,0)</f>
        <v>10000</v>
      </c>
      <c r="S22" s="23">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58422</v>
      </c>
      <c r="C2" s="2" t="s">
        <v>133</v>
      </c>
      <c r="D2" s="242"/>
      <c r="E2" s="242"/>
      <c r="F2" s="242"/>
      <c r="G2" s="242"/>
    </row>
    <row r="3" spans="1:7" s="243" customFormat="1" ht="18" customHeight="1" thickBot="1">
      <c r="A3" s="246" t="s">
        <v>85</v>
      </c>
      <c r="B3" s="247">
        <f ca="1">ROUND(B2*10000/'数据-汇总表'!E3,0)</f>
        <v>11686</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1145</v>
      </c>
    </row>
    <row r="9" spans="1:7" s="257" customFormat="1" ht="13.5" customHeight="1">
      <c r="A9" s="951" t="s">
        <v>800</v>
      </c>
      <c r="B9" s="267" t="s">
        <v>93</v>
      </c>
      <c r="C9" s="268">
        <f>ROUND(D9*E9/10000,0)</f>
        <v>0</v>
      </c>
      <c r="D9" s="1033">
        <f>'数据-汇总表'!E5</f>
        <v>0</v>
      </c>
      <c r="E9" s="268">
        <f>'数据-取费表'!B27</f>
        <v>160</v>
      </c>
      <c r="F9" s="264"/>
      <c r="G9" s="269"/>
    </row>
    <row r="10" spans="1:7" s="257" customFormat="1" ht="13.5" customHeight="1">
      <c r="A10" s="951" t="s">
        <v>801</v>
      </c>
      <c r="B10" s="267" t="s">
        <v>94</v>
      </c>
      <c r="C10" s="268">
        <f>ROUND(D10*E10/10000,0)</f>
        <v>1000</v>
      </c>
      <c r="D10" s="1033">
        <f>'数据-汇总表'!E6</f>
        <v>49991.200000000004</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1052</v>
      </c>
      <c r="B19" s="253" t="s">
        <v>111</v>
      </c>
      <c r="C19" s="254">
        <f>IF(G19="已包含在土地取得成本中","0",ROUND(D19*E19/10000,0))</f>
        <v>1000</v>
      </c>
      <c r="D19" s="1037">
        <f>'数据-汇总表'!E3</f>
        <v>49991.200000000004</v>
      </c>
      <c r="E19" s="254">
        <f>'数据-取费表'!B31</f>
        <v>200</v>
      </c>
      <c r="F19" s="274"/>
      <c r="G19" s="1" t="s">
        <v>1071</v>
      </c>
    </row>
    <row r="20" spans="1:7" s="257" customFormat="1" ht="13.5" customHeight="1">
      <c r="A20" s="949" t="s">
        <v>1054</v>
      </c>
      <c r="B20" s="253" t="s">
        <v>104</v>
      </c>
      <c r="C20" s="275">
        <f>ROUND((C5+C19)*F20,0)</f>
        <v>324</v>
      </c>
      <c r="D20" s="275"/>
      <c r="E20" s="275"/>
      <c r="F20" s="276">
        <f>'数据-取费表'!B37</f>
        <v>1.4999999999999999E-2</v>
      </c>
      <c r="G20" s="1290" t="s">
        <v>1065</v>
      </c>
    </row>
    <row r="21" spans="1:7" s="257" customFormat="1" ht="13.5" customHeight="1">
      <c r="A21" s="949" t="s">
        <v>1056</v>
      </c>
      <c r="B21" s="253" t="s">
        <v>105</v>
      </c>
      <c r="C21" s="278">
        <f>F21</f>
        <v>2.5000000000000001E-2</v>
      </c>
      <c r="D21" s="279" t="s">
        <v>126</v>
      </c>
      <c r="E21" s="275"/>
      <c r="F21" s="276">
        <f>'数据-取费表'!B38</f>
        <v>2.5000000000000001E-2</v>
      </c>
      <c r="G21" s="277" t="s">
        <v>106</v>
      </c>
    </row>
    <row r="22" spans="1:7" s="257" customFormat="1" ht="13.5" customHeight="1">
      <c r="A22" s="949" t="s">
        <v>786</v>
      </c>
      <c r="B22" s="253" t="s">
        <v>107</v>
      </c>
      <c r="C22" s="1355">
        <f ca="1">ROUND(SUM(C23:C25),0)</f>
        <v>2677</v>
      </c>
      <c r="D22" s="278">
        <f ca="1">C26</f>
        <v>1.5E-3</v>
      </c>
      <c r="E22" s="279" t="s">
        <v>126</v>
      </c>
      <c r="F22" s="280">
        <f ca="1">'数据-取费表'!B40</f>
        <v>4.7500000000000001E-2</v>
      </c>
      <c r="G22" s="1290" t="str">
        <f>IF('数据-取费表'!B22&lt;=1,"单利计息","复利计息")</f>
        <v>复利计息</v>
      </c>
    </row>
    <row r="23" spans="1:7" s="257" customFormat="1" ht="13.5" customHeight="1">
      <c r="A23" s="952" t="s">
        <v>794</v>
      </c>
      <c r="B23" s="258" t="s">
        <v>1058</v>
      </c>
      <c r="C23" s="1356">
        <f ca="1">ROUND(IF('数据-取费表'!B22&lt;=1,C5*F22*'数据-取费表'!B23,C5*(POWER((1+F22),'数据-取费表'!B23)-1)),0)</f>
        <v>2535</v>
      </c>
      <c r="D23" s="281"/>
      <c r="E23" s="281"/>
      <c r="F23" s="282"/>
      <c r="G23" s="283" t="s">
        <v>108</v>
      </c>
    </row>
    <row r="24" spans="1:7" s="257" customFormat="1" ht="13.5" customHeight="1">
      <c r="A24" s="952" t="s">
        <v>792</v>
      </c>
      <c r="B24" s="258" t="s">
        <v>1053</v>
      </c>
      <c r="C24" s="1356">
        <f ca="1">ROUND(IF('数据-取费表'!B22&lt;=1,C19*F22*('数据-取费表'!B19/2+'数据-取费表'!B21),C19*(POWER((1+F22),('数据-取费表'!B19/2+'数据-取费表'!B21))-1)),0)</f>
        <v>123</v>
      </c>
      <c r="D24" s="281"/>
      <c r="E24" s="281"/>
      <c r="F24" s="282"/>
      <c r="G24" s="283" t="s">
        <v>109</v>
      </c>
    </row>
    <row r="25" spans="1:7" s="257" customFormat="1" ht="24">
      <c r="A25" s="952" t="s">
        <v>793</v>
      </c>
      <c r="B25" s="258" t="s">
        <v>1055</v>
      </c>
      <c r="C25" s="1356">
        <f ca="1">ROUND(IF('数据-取费表'!B22&lt;=1,C20*F22*'数据-取费表'!B23/2,C20*(POWER((1+F22),'数据-取费表'!B23/2)-1)),0)</f>
        <v>19</v>
      </c>
      <c r="D25" s="281"/>
      <c r="E25" s="284"/>
      <c r="F25" s="282"/>
      <c r="G25" s="285" t="s">
        <v>110</v>
      </c>
    </row>
    <row r="26" spans="1:7" s="257" customFormat="1">
      <c r="A26" s="952" t="s">
        <v>795</v>
      </c>
      <c r="B26" s="258" t="s">
        <v>1057</v>
      </c>
      <c r="C26" s="281">
        <f ca="1">ROUND(IF('数据-取费表'!B22&lt;=1,F21*F22*'数据-取费表'!B23/2,F21*(POWER((1+F22),'数据-取费表'!B23/2)-1)),4)</f>
        <v>1.5E-3</v>
      </c>
      <c r="D26" s="281"/>
      <c r="E26" s="284"/>
      <c r="F26" s="282"/>
      <c r="G26" s="286"/>
    </row>
    <row r="27" spans="1:7" s="257" customFormat="1" ht="24.75">
      <c r="A27" s="949" t="s">
        <v>787</v>
      </c>
      <c r="B27" s="287" t="s">
        <v>112</v>
      </c>
      <c r="C27" s="288">
        <f>C28</f>
        <v>2193</v>
      </c>
      <c r="D27" s="278">
        <f>C29</f>
        <v>2.5000000000000001E-3</v>
      </c>
      <c r="E27" s="279" t="s">
        <v>126</v>
      </c>
      <c r="F27" s="289">
        <f>'数据-取费表'!Q16</f>
        <v>0.1</v>
      </c>
      <c r="G27" s="290" t="s">
        <v>1066</v>
      </c>
    </row>
    <row r="28" spans="1:7" s="257" customFormat="1" ht="13.5" customHeight="1">
      <c r="A28" s="952" t="s">
        <v>794</v>
      </c>
      <c r="B28" s="291" t="s">
        <v>1059</v>
      </c>
      <c r="C28" s="292">
        <f>ROUND((C5+C19+C20)*F27*'数据-取费表'!B21/'数据-取费表'!B20,0)</f>
        <v>2193</v>
      </c>
      <c r="D28" s="278"/>
      <c r="E28" s="279"/>
      <c r="F28" s="289"/>
      <c r="G28" s="290"/>
    </row>
    <row r="29" spans="1:7" s="257" customFormat="1" ht="13.5" customHeight="1">
      <c r="A29" s="952" t="s">
        <v>792</v>
      </c>
      <c r="B29" s="291" t="s">
        <v>1060</v>
      </c>
      <c r="C29" s="281">
        <f>ROUND(C21*F27*'数据-取费表'!B21/'数据-取费表'!B20,4)</f>
        <v>2.5000000000000001E-3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29209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23479</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21511</v>
      </c>
      <c r="D34" s="260"/>
      <c r="E34" s="263"/>
      <c r="F34" s="300">
        <f>IF('数据-取费表'!B24=0,1,'数据-取费表'!N16)</f>
        <v>1</v>
      </c>
      <c r="G34" s="262" t="s">
        <v>116</v>
      </c>
    </row>
    <row r="35" spans="1:7" ht="13.5" customHeight="1">
      <c r="A35" s="952" t="s">
        <v>796</v>
      </c>
      <c r="B35" s="258" t="s">
        <v>60</v>
      </c>
      <c r="C35" s="263">
        <f>ROUND(C34*F35,0)</f>
        <v>645</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1000</v>
      </c>
      <c r="D37" s="260">
        <f>'数据-汇总表'!E3</f>
        <v>49991.200000000004</v>
      </c>
      <c r="E37" s="292">
        <f>'数据-取费表'!B35</f>
        <v>200</v>
      </c>
      <c r="F37" s="302"/>
      <c r="G37" s="304" t="s">
        <v>119</v>
      </c>
    </row>
    <row r="38" spans="1:7" ht="13.5" customHeight="1">
      <c r="A38" s="952" t="s">
        <v>799</v>
      </c>
      <c r="B38" s="258" t="s">
        <v>63</v>
      </c>
      <c r="C38" s="263">
        <f>ROUND(C34*F38,0)</f>
        <v>323</v>
      </c>
      <c r="D38" s="263"/>
      <c r="E38" s="263"/>
      <c r="F38" s="302">
        <f>'数据-取费表'!B36</f>
        <v>1.4999999999999999E-2</v>
      </c>
      <c r="G38" s="262" t="s">
        <v>117</v>
      </c>
    </row>
    <row r="39" spans="1:7" s="257" customFormat="1" ht="13.5" customHeight="1">
      <c r="A39" s="949" t="s">
        <v>783</v>
      </c>
      <c r="B39" s="253" t="s">
        <v>104</v>
      </c>
      <c r="C39" s="275">
        <f>ROUND(C33*F20,0)</f>
        <v>352</v>
      </c>
      <c r="D39" s="275"/>
      <c r="E39" s="275"/>
      <c r="F39" s="276"/>
      <c r="G39" s="1290" t="s">
        <v>1068</v>
      </c>
    </row>
    <row r="40" spans="1:7" s="257" customFormat="1" ht="13.5" customHeight="1">
      <c r="A40" s="949" t="s">
        <v>784</v>
      </c>
      <c r="B40" s="253" t="s">
        <v>105</v>
      </c>
      <c r="C40" s="305">
        <f>F21</f>
        <v>2.5000000000000001E-2</v>
      </c>
      <c r="D40" s="279" t="s">
        <v>129</v>
      </c>
      <c r="E40" s="275"/>
      <c r="F40" s="276"/>
      <c r="G40" s="277" t="s">
        <v>120</v>
      </c>
    </row>
    <row r="41" spans="1:7" s="257" customFormat="1" ht="13.5" customHeight="1">
      <c r="A41" s="949" t="s">
        <v>785</v>
      </c>
      <c r="B41" s="253" t="s">
        <v>107</v>
      </c>
      <c r="C41" s="275">
        <f ca="1">ROUND(SUM(C42:C43),0)</f>
        <v>1423</v>
      </c>
      <c r="D41" s="278">
        <f ca="1">C44</f>
        <v>1.5E-3</v>
      </c>
      <c r="E41" s="279" t="s">
        <v>129</v>
      </c>
      <c r="F41" s="280"/>
      <c r="G41" s="1290" t="str">
        <f>IF('数据-取费表'!B22&lt;=1,"单利计息","复利计息")</f>
        <v>复利计息</v>
      </c>
    </row>
    <row r="42" spans="1:7" ht="13.5" customHeight="1">
      <c r="A42" s="952" t="s">
        <v>794</v>
      </c>
      <c r="B42" s="258" t="s">
        <v>1058</v>
      </c>
      <c r="C42" s="281">
        <f ca="1">ROUND(IF('数据-取费表'!B22&lt;=1,C33*F22*'数据-取费表'!B21/2,C33*(POWER((1+F22),'数据-取费表'!B21/2)-1)),0)</f>
        <v>1402</v>
      </c>
      <c r="D42" s="281"/>
      <c r="E42" s="281"/>
      <c r="F42" s="282"/>
      <c r="G42" s="3138" t="s">
        <v>121</v>
      </c>
    </row>
    <row r="43" spans="1:7" ht="13.5" customHeight="1">
      <c r="A43" s="952" t="s">
        <v>792</v>
      </c>
      <c r="B43" s="258" t="s">
        <v>1061</v>
      </c>
      <c r="C43" s="281">
        <f ca="1">ROUND(IF('数据-取费表'!B22&lt;=1,C39*F22*'数据-取费表'!B21/2,C39*(POWER((1+F22),'数据-取费表'!B21/2)-1)),0)</f>
        <v>21</v>
      </c>
      <c r="D43" s="281"/>
      <c r="E43" s="281"/>
      <c r="F43" s="282"/>
      <c r="G43" s="3139"/>
    </row>
    <row r="44" spans="1:7" ht="13.5" customHeight="1">
      <c r="A44" s="952" t="s">
        <v>793</v>
      </c>
      <c r="B44" s="258" t="s">
        <v>1063</v>
      </c>
      <c r="C44" s="281">
        <f ca="1">ROUND(IF('数据-取费表'!B22&lt;=1,C40*F22*'数据-取费表'!B21/2,C40*(POWER((1+F22),'数据-取费表'!B21/2)-1)),4)</f>
        <v>1.5E-3</v>
      </c>
      <c r="D44" s="281"/>
      <c r="E44" s="281"/>
      <c r="F44" s="282"/>
      <c r="G44" s="3140"/>
    </row>
    <row r="45" spans="1:7" s="257" customFormat="1" ht="13.5" customHeight="1">
      <c r="A45" s="949" t="s">
        <v>786</v>
      </c>
      <c r="B45" s="287" t="s">
        <v>112</v>
      </c>
      <c r="C45" s="288">
        <f>C46</f>
        <v>2383</v>
      </c>
      <c r="D45" s="278">
        <f>C47</f>
        <v>2.5000000000000001E-3</v>
      </c>
      <c r="E45" s="279" t="s">
        <v>129</v>
      </c>
      <c r="F45" s="289"/>
      <c r="G45" s="290" t="s">
        <v>1069</v>
      </c>
    </row>
    <row r="46" spans="1:7" s="257" customFormat="1" ht="13.5" customHeight="1">
      <c r="A46" s="952" t="s">
        <v>794</v>
      </c>
      <c r="B46" s="291" t="s">
        <v>1062</v>
      </c>
      <c r="C46" s="292">
        <f>ROUND((C33+C39)*F27,0)</f>
        <v>2383</v>
      </c>
      <c r="D46" s="306"/>
      <c r="E46" s="279"/>
      <c r="F46" s="289"/>
      <c r="G46" s="290"/>
    </row>
    <row r="47" spans="1:7" s="257" customFormat="1" ht="13.5" customHeight="1">
      <c r="A47" s="952" t="s">
        <v>792</v>
      </c>
      <c r="B47" s="291" t="s">
        <v>1064</v>
      </c>
      <c r="C47" s="281">
        <f>ROUND(C40*F27,4)</f>
        <v>2.5000000000000001E-3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30117</v>
      </c>
      <c r="D49" s="275"/>
      <c r="E49" s="275"/>
      <c r="F49" s="307"/>
      <c r="G49" s="277" t="s">
        <v>1070</v>
      </c>
    </row>
    <row r="50" spans="1:7" s="301" customFormat="1" ht="24">
      <c r="A50" s="949" t="s">
        <v>789</v>
      </c>
      <c r="B50" s="253" t="s">
        <v>124</v>
      </c>
      <c r="C50" s="275"/>
      <c r="D50" s="275"/>
      <c r="E50" s="275"/>
      <c r="F50" s="307">
        <f>IF('数据-取费表'!B24=0,'数据-取费表'!N16,1)</f>
        <v>0.97</v>
      </c>
      <c r="G50" s="290" t="s">
        <v>125</v>
      </c>
    </row>
    <row r="51" spans="1:7" ht="16.5" customHeight="1">
      <c r="A51" s="949" t="s">
        <v>790</v>
      </c>
      <c r="B51" s="253" t="s">
        <v>132</v>
      </c>
      <c r="C51" s="275">
        <f ca="1">ROUND(C49*F50,0)</f>
        <v>29213</v>
      </c>
      <c r="D51" s="275"/>
      <c r="E51" s="275"/>
      <c r="F51" s="307"/>
      <c r="G51" s="277" t="s">
        <v>64</v>
      </c>
    </row>
    <row r="52" spans="1:7" s="251" customFormat="1" ht="16.5" thickBot="1">
      <c r="A52" s="308" t="s">
        <v>65</v>
      </c>
      <c r="B52" s="309"/>
      <c r="C52" s="310">
        <f ca="1">C31+C51</f>
        <v>58422</v>
      </c>
      <c r="D52" s="309"/>
      <c r="E52" s="309"/>
      <c r="F52" s="309"/>
      <c r="G52" s="311"/>
    </row>
    <row r="55" spans="1:7" ht="15">
      <c r="B55" s="313" t="s">
        <v>66</v>
      </c>
      <c r="C55" s="314"/>
    </row>
    <row r="56" spans="1:7">
      <c r="B56" s="316" t="s">
        <v>67</v>
      </c>
      <c r="C56" s="317">
        <f ca="1">ROUND(C51/C52,3)</f>
        <v>0.5</v>
      </c>
    </row>
    <row r="57" spans="1:7">
      <c r="B57" s="316" t="s">
        <v>68</v>
      </c>
      <c r="C57" s="318">
        <f ca="1">1-C56</f>
        <v>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74" t="s">
        <v>156</v>
      </c>
      <c r="B1" s="3274"/>
      <c r="C1" s="3274"/>
      <c r="D1" s="3274"/>
      <c r="E1" s="3274"/>
      <c r="F1" s="327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75" t="s">
        <v>169</v>
      </c>
      <c r="B2" s="3275"/>
      <c r="C2" s="3275"/>
      <c r="D2" s="3275"/>
      <c r="E2" s="3275"/>
      <c r="F2" s="327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7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5" t="s">
        <v>1634</v>
      </c>
      <c r="E3" s="1045" t="s">
        <v>1640</v>
      </c>
      <c r="F3" s="1045" t="s">
        <v>1634</v>
      </c>
      <c r="G3" s="1045" t="s">
        <v>1635</v>
      </c>
      <c r="H3" s="1045" t="s">
        <v>1634</v>
      </c>
      <c r="I3" s="1045" t="s">
        <v>1635</v>
      </c>
    </row>
    <row r="4" spans="1:9" ht="30">
      <c r="A4" s="1973" t="str">
        <f>项目基本情况!S2</f>
        <v>北京市门头沟区新城东街19号院“西长安街壹号”综合项目房地产房地产</v>
      </c>
      <c r="B4" s="1045">
        <f>项目基本情况!C17</f>
        <v>49991.200000000004</v>
      </c>
      <c r="C4" s="1045">
        <f>项目基本情况!C18</f>
        <v>12497.8</v>
      </c>
      <c r="D4" s="1045">
        <f ca="1">结果表!D118</f>
        <v>161266</v>
      </c>
      <c r="E4" s="1045">
        <f ca="1">结果表!E118</f>
        <v>32259</v>
      </c>
      <c r="F4" s="1045">
        <f ca="1">结果表!F118</f>
        <v>29131</v>
      </c>
      <c r="G4" s="1045">
        <f ca="1">结果表!G118</f>
        <v>5827</v>
      </c>
      <c r="H4" s="1045">
        <f ca="1">结果表!H118</f>
        <v>190397</v>
      </c>
      <c r="I4" s="1045">
        <f ca="1">结果表!I118</f>
        <v>38086</v>
      </c>
    </row>
    <row r="5" spans="1:9" ht="30" customHeight="1">
      <c r="A5" s="2968" t="s">
        <v>1636</v>
      </c>
      <c r="B5" s="2968"/>
      <c r="C5" s="2968"/>
      <c r="D5" s="2969" t="str">
        <f ca="1">结果表!D119</f>
        <v>壹拾陆亿壹仟贰佰陆拾陆万元整</v>
      </c>
      <c r="E5" s="2969"/>
      <c r="F5" s="2969" t="str">
        <f ca="1">结果表!F119</f>
        <v>贰亿玖仟壹佰叁拾壹万元整</v>
      </c>
      <c r="G5" s="2969"/>
      <c r="H5" s="2969" t="str">
        <f ca="1">结果表!H119</f>
        <v>壹拾玖亿零叁佰玖拾柒万元整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1636</v>
      </c>
      <c r="B7" s="2968"/>
      <c r="C7" s="2968"/>
      <c r="D7" s="2970" t="str">
        <f>结果表!D121</f>
        <v>零元整</v>
      </c>
      <c r="E7" s="2971"/>
      <c r="F7" s="2971"/>
      <c r="G7" s="2971"/>
      <c r="H7" s="2971"/>
      <c r="I7" s="2972"/>
    </row>
    <row r="8" spans="1:9" ht="15.75">
      <c r="A8" s="2967" t="str">
        <f>结果表!A122</f>
        <v/>
      </c>
      <c r="B8" s="2967"/>
      <c r="C8" s="2967"/>
      <c r="D8" s="2967" t="str">
        <f>结果表!D122</f>
        <v>——</v>
      </c>
      <c r="E8" s="2967"/>
      <c r="F8" s="2967"/>
      <c r="G8" s="2967"/>
      <c r="H8" s="2967"/>
      <c r="I8" s="2967"/>
    </row>
    <row r="9" spans="1:9" ht="15">
      <c r="A9" s="2968" t="s">
        <v>1636</v>
      </c>
      <c r="B9" s="2968"/>
      <c r="C9" s="2968"/>
      <c r="D9" s="2969" t="e">
        <f>结果表!D123</f>
        <v>#VALUE!</v>
      </c>
      <c r="E9" s="2969"/>
      <c r="F9" s="2969"/>
      <c r="G9" s="2969"/>
      <c r="H9" s="2969"/>
      <c r="I9" s="2969"/>
    </row>
    <row r="10" spans="1:9" ht="15.75">
      <c r="A10" s="2967" t="str">
        <f>结果表!A124</f>
        <v>抵押担保权已注销时的房地产抵押价值</v>
      </c>
      <c r="B10" s="2967"/>
      <c r="C10" s="2967"/>
      <c r="D10" s="2967">
        <f ca="1">结果表!D124</f>
        <v>190397</v>
      </c>
      <c r="E10" s="2967"/>
      <c r="F10" s="2967"/>
      <c r="G10" s="2967"/>
      <c r="H10" s="2967"/>
      <c r="I10" s="2967"/>
    </row>
    <row r="11" spans="1:9" ht="15">
      <c r="A11" s="2968" t="s">
        <v>1636</v>
      </c>
      <c r="B11" s="2968"/>
      <c r="C11" s="2968"/>
      <c r="D11" s="2969" t="str">
        <f ca="1">结果表!D125</f>
        <v>壹拾玖亿零叁佰玖拾柒万元整</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1636</v>
      </c>
      <c r="B13" s="2964"/>
      <c r="C13" s="2964"/>
      <c r="D13" s="2965" t="e">
        <f>结果表!D127</f>
        <v>#VALUE!</v>
      </c>
      <c r="E13" s="2965"/>
      <c r="F13" s="2965"/>
      <c r="G13" s="2965"/>
      <c r="H13" s="2965"/>
      <c r="I13" s="2965"/>
    </row>
    <row r="14" spans="1:9" ht="15" thickTop="1">
      <c r="A14" s="2966" t="s">
        <v>1641</v>
      </c>
      <c r="B14" s="2966"/>
      <c r="C14" s="2966"/>
      <c r="D14" s="2966"/>
      <c r="E14" s="2966"/>
      <c r="F14" s="2966"/>
      <c r="G14" s="2966"/>
      <c r="H14" s="2966"/>
      <c r="I14" s="2966"/>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74" t="s">
        <v>868</v>
      </c>
      <c r="B1" s="3274"/>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43488</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04" sqref="L104"/>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4" sqref="J44"/>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1" t="s">
        <v>1658</v>
      </c>
      <c r="B1" s="2981"/>
      <c r="C1" s="2981"/>
      <c r="D1" s="2981"/>
    </row>
    <row r="2" spans="1:4" ht="18">
      <c r="A2" s="2982" t="s">
        <v>1642</v>
      </c>
      <c r="B2" s="2982"/>
      <c r="C2" s="2982"/>
      <c r="D2" s="2982"/>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王鹏</v>
      </c>
      <c r="B5" s="1979">
        <f ca="1">项目基本情况!E4</f>
        <v>1120050019</v>
      </c>
      <c r="C5" s="1982"/>
      <c r="D5" s="1981" t="s">
        <v>1647</v>
      </c>
    </row>
    <row r="6" spans="1:4" ht="18">
      <c r="A6" s="2982" t="s">
        <v>1648</v>
      </c>
      <c r="B6" s="2982"/>
      <c r="C6" s="2982"/>
      <c r="D6" s="2982"/>
    </row>
    <row r="7" spans="1:4" ht="18.75">
      <c r="A7" s="1977" t="s">
        <v>1643</v>
      </c>
      <c r="B7" s="1979" t="s">
        <v>1649</v>
      </c>
      <c r="C7" s="1977" t="s">
        <v>1645</v>
      </c>
      <c r="D7" s="1977" t="s">
        <v>1646</v>
      </c>
    </row>
    <row r="8" spans="1:4" ht="56.25" customHeight="1">
      <c r="A8" s="1983" t="s">
        <v>866</v>
      </c>
      <c r="B8" s="1983" t="s">
        <v>1</v>
      </c>
      <c r="C8" s="1980"/>
      <c r="D8" s="1981" t="s">
        <v>1647</v>
      </c>
    </row>
    <row r="9" spans="1:4">
      <c r="A9" s="727"/>
      <c r="B9" s="727"/>
      <c r="C9" s="727"/>
      <c r="D9" s="727"/>
    </row>
    <row r="10" spans="1:4" ht="18.75">
      <c r="A10" s="1984" t="s">
        <v>1650</v>
      </c>
      <c r="B10" s="727"/>
      <c r="C10" s="727"/>
      <c r="D10" s="727"/>
    </row>
    <row r="11" spans="1:4" ht="30" customHeight="1">
      <c r="A11" s="2983" t="s">
        <v>1651</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7" t="s">
        <v>1652</v>
      </c>
      <c r="B16" s="2977"/>
      <c r="C16" s="2977"/>
      <c r="D16" s="2977"/>
    </row>
    <row r="17" spans="1:4" ht="144" customHeight="1">
      <c r="A17" s="2977" t="s">
        <v>1653</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1654</v>
      </c>
      <c r="B22" s="2979"/>
      <c r="C22" s="2979"/>
      <c r="D22" s="297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89" t="s">
        <v>1665</v>
      </c>
      <c r="B15" s="2984" t="s">
        <v>136</v>
      </c>
      <c r="C15" s="2985"/>
    </row>
    <row r="16" spans="1:7" ht="13.5">
      <c r="A16" s="2990"/>
      <c r="B16" s="2984" t="s">
        <v>69</v>
      </c>
      <c r="C16" s="2985"/>
    </row>
    <row r="17" spans="1:3" ht="13.5">
      <c r="A17" s="2990"/>
      <c r="B17" s="2987" t="s">
        <v>1666</v>
      </c>
      <c r="C17" s="2000" t="s">
        <v>1665</v>
      </c>
    </row>
    <row r="18" spans="1:3" ht="13.5">
      <c r="A18" s="2990"/>
      <c r="B18" s="2987"/>
      <c r="C18" s="2000" t="s">
        <v>1667</v>
      </c>
    </row>
    <row r="19" spans="1:3" ht="13.5">
      <c r="A19" s="2990"/>
      <c r="B19" s="2987"/>
      <c r="C19" s="2000" t="s">
        <v>1668</v>
      </c>
    </row>
    <row r="20" spans="1:3" ht="13.5">
      <c r="A20" s="2991"/>
      <c r="B20" s="2986" t="s">
        <v>1669</v>
      </c>
      <c r="C20" s="2985"/>
    </row>
    <row r="21" spans="1:3" ht="13.5">
      <c r="A21" s="2001" t="s">
        <v>1670</v>
      </c>
      <c r="B21" s="2002"/>
      <c r="C21" s="2003"/>
    </row>
    <row r="22" spans="1:3" ht="13.5">
      <c r="A22" s="2988" t="s">
        <v>1671</v>
      </c>
      <c r="B22" s="2986" t="s">
        <v>1672</v>
      </c>
      <c r="C22" s="2985"/>
    </row>
    <row r="23" spans="1:3" ht="13.5">
      <c r="A23" s="2988"/>
      <c r="B23" s="2986" t="s">
        <v>1673</v>
      </c>
      <c r="C23" s="2985"/>
    </row>
    <row r="24" spans="1:3" ht="13.5">
      <c r="A24" s="2988"/>
      <c r="B24" s="2986" t="s">
        <v>1674</v>
      </c>
      <c r="C24" s="2985"/>
    </row>
    <row r="25" spans="1:3" ht="13.5">
      <c r="A25" s="2988"/>
      <c r="B25" s="2987" t="s">
        <v>1675</v>
      </c>
      <c r="C25" s="2000" t="s">
        <v>1676</v>
      </c>
    </row>
    <row r="26" spans="1:3" ht="13.5">
      <c r="A26" s="2988"/>
      <c r="B26" s="2987"/>
      <c r="C26" s="2000" t="s">
        <v>1677</v>
      </c>
    </row>
    <row r="27" spans="1:3" ht="13.5">
      <c r="A27" s="2988"/>
      <c r="B27" s="2987"/>
      <c r="C27" s="2000" t="s">
        <v>1678</v>
      </c>
    </row>
    <row r="28" spans="1:3" ht="13.5">
      <c r="A28" s="2988"/>
      <c r="B28" s="2987"/>
      <c r="C28" s="2000" t="s">
        <v>1679</v>
      </c>
    </row>
    <row r="29" spans="1:3" ht="13.5">
      <c r="A29" s="2988"/>
      <c r="B29" s="2987"/>
      <c r="C29" s="2000" t="s">
        <v>1680</v>
      </c>
    </row>
    <row r="30" spans="1:3" ht="13.5">
      <c r="A30" s="2988"/>
      <c r="B30" s="2987"/>
      <c r="C30" s="2000" t="s">
        <v>1681</v>
      </c>
    </row>
    <row r="31" spans="1:3" ht="13.5">
      <c r="A31" s="2988"/>
      <c r="B31" s="2987"/>
      <c r="C31" s="2000" t="s">
        <v>1682</v>
      </c>
    </row>
    <row r="32" spans="1:3" ht="13.5">
      <c r="A32" s="2988"/>
      <c r="B32" s="2987"/>
      <c r="C32" s="2000" t="s">
        <v>1683</v>
      </c>
    </row>
    <row r="33" spans="1:3" ht="13.5">
      <c r="A33" s="2988"/>
      <c r="B33" s="2987"/>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43490</v>
      </c>
      <c r="C2" s="1020" t="s">
        <v>826</v>
      </c>
      <c r="D2" s="1020"/>
    </row>
    <row r="3" spans="1:6" ht="24" customHeight="1">
      <c r="A3" s="1021" t="s">
        <v>827</v>
      </c>
      <c r="B3" s="1022" t="s">
        <v>828</v>
      </c>
      <c r="C3" s="2346" t="s">
        <v>829</v>
      </c>
      <c r="D3" s="2349" t="s">
        <v>830</v>
      </c>
      <c r="E3" s="1023" t="s">
        <v>831</v>
      </c>
      <c r="F3" s="1022" t="s">
        <v>829</v>
      </c>
    </row>
    <row r="4" spans="1:6" ht="24" customHeight="1">
      <c r="A4" s="1702" t="s">
        <v>832</v>
      </c>
      <c r="B4" s="1023">
        <f ca="1">IF(C4&lt;B2,"已过期",1119970066)</f>
        <v>1119970066</v>
      </c>
      <c r="C4" s="2347">
        <v>43849</v>
      </c>
      <c r="D4" s="2350" t="s">
        <v>832</v>
      </c>
      <c r="E4" s="1023">
        <f ca="1">IF(F4&lt;B2,"已过期",96010014)</f>
        <v>96010014</v>
      </c>
      <c r="F4" s="1031">
        <v>47118</v>
      </c>
    </row>
    <row r="5" spans="1:6" ht="24" customHeight="1">
      <c r="A5" s="1702" t="s">
        <v>833</v>
      </c>
      <c r="B5" s="1023">
        <f ca="1">IF(C5&lt;B2,"已过期",1119970074)</f>
        <v>1119970074</v>
      </c>
      <c r="C5" s="2347">
        <v>43849</v>
      </c>
      <c r="D5" s="2350" t="s">
        <v>833</v>
      </c>
      <c r="E5" s="1023">
        <f ca="1">IF(F5&lt;B2,"已过期",2002110027)</f>
        <v>2002110027</v>
      </c>
      <c r="F5" s="1031">
        <v>46752</v>
      </c>
    </row>
    <row r="6" spans="1:6" ht="24" customHeight="1">
      <c r="A6" s="1702" t="s">
        <v>834</v>
      </c>
      <c r="B6" s="1023">
        <f ca="1">IF(C6&lt;B2,"已过期",1119970111)</f>
        <v>1119970111</v>
      </c>
      <c r="C6" s="2347">
        <v>43849</v>
      </c>
      <c r="D6" s="2350" t="s">
        <v>834</v>
      </c>
      <c r="E6" s="1023">
        <f ca="1">IF(F6&lt;B2,"已过期",94010078)</f>
        <v>94010078</v>
      </c>
      <c r="F6" s="1031">
        <v>46387</v>
      </c>
    </row>
    <row r="7" spans="1:6" ht="24" customHeight="1">
      <c r="A7" s="1702" t="s">
        <v>835</v>
      </c>
      <c r="B7" s="1023">
        <f ca="1">IF(C7&lt;B2,"已过期",1120050019)</f>
        <v>1120050019</v>
      </c>
      <c r="C7" s="2347">
        <v>44395</v>
      </c>
      <c r="D7" s="2350" t="s">
        <v>835</v>
      </c>
      <c r="E7" s="1023">
        <f ca="1">IF(F7&lt;B2,"已过期",2002110030)</f>
        <v>2002110030</v>
      </c>
      <c r="F7" s="1031">
        <v>46387</v>
      </c>
    </row>
    <row r="8" spans="1:6" ht="24" customHeight="1">
      <c r="A8" s="1702" t="s">
        <v>836</v>
      </c>
      <c r="B8" s="1023">
        <f ca="1">IF(C8&lt;B2,"已过期",1120000080)</f>
        <v>1120000080</v>
      </c>
      <c r="C8" s="2347">
        <v>43849</v>
      </c>
      <c r="D8" s="2350" t="s">
        <v>836</v>
      </c>
      <c r="E8" s="1023">
        <f ca="1">IF(F8&lt;B2,"已过期",2000110082)</f>
        <v>2000110082</v>
      </c>
      <c r="F8" s="1031">
        <v>46387</v>
      </c>
    </row>
    <row r="9" spans="1:6" ht="24" customHeight="1">
      <c r="A9" s="1702" t="s">
        <v>837</v>
      </c>
      <c r="B9" s="1023">
        <f ca="1">IF(C9&lt;B2,"已过期",1419970001)</f>
        <v>1419970001</v>
      </c>
      <c r="C9" s="2347">
        <v>43867</v>
      </c>
      <c r="D9" s="2350" t="s">
        <v>837</v>
      </c>
      <c r="E9" s="1023">
        <f ca="1">IF(F9&lt;B2,"已过期",2002110125)</f>
        <v>2002110125</v>
      </c>
      <c r="F9" s="1031">
        <v>47118</v>
      </c>
    </row>
    <row r="10" spans="1:6" ht="24" customHeight="1">
      <c r="A10" s="1702" t="s">
        <v>838</v>
      </c>
      <c r="B10" s="1023" t="str">
        <f ca="1">IF(C10&lt;B2,"已过期",1120060040)</f>
        <v>已过期</v>
      </c>
      <c r="C10" s="2347">
        <v>43483</v>
      </c>
      <c r="D10" s="2350" t="s">
        <v>838</v>
      </c>
      <c r="E10" s="1023">
        <f ca="1">IF(F10&lt;B2,"已过期",2004110096)</f>
        <v>2004110096</v>
      </c>
      <c r="F10" s="1031">
        <v>47118</v>
      </c>
    </row>
    <row r="11" spans="1:6" ht="24" customHeight="1">
      <c r="A11" s="1702" t="s">
        <v>839</v>
      </c>
      <c r="B11" s="1023">
        <f ca="1">IF(C11&lt;B2,"已过期",1120100036)</f>
        <v>1120100036</v>
      </c>
      <c r="C11" s="2347">
        <v>43622</v>
      </c>
      <c r="D11" s="2350" t="s">
        <v>839</v>
      </c>
      <c r="E11" s="1023">
        <f ca="1">IF(F11&lt;B2,"已过期",2010110070)</f>
        <v>2010110070</v>
      </c>
      <c r="F11" s="1031">
        <v>47907</v>
      </c>
    </row>
    <row r="12" spans="1:6" ht="24" customHeight="1">
      <c r="A12" s="1702"/>
      <c r="B12" s="1023"/>
      <c r="C12" s="2938"/>
      <c r="D12" s="1702"/>
      <c r="E12" s="1023"/>
      <c r="F12" s="1031"/>
    </row>
    <row r="13" spans="1:6" ht="24" customHeight="1">
      <c r="A13" s="1702" t="s">
        <v>840</v>
      </c>
      <c r="B13" s="1023">
        <f ca="1">IF(C13&lt;B2,"已过期",1120070131)</f>
        <v>1120070131</v>
      </c>
      <c r="C13" s="2347">
        <v>43814</v>
      </c>
      <c r="D13" s="2350" t="s">
        <v>840</v>
      </c>
      <c r="E13" s="1023">
        <f ca="1">IF(F13&lt;B2,"已过期",2014110011)</f>
        <v>2014110011</v>
      </c>
      <c r="F13" s="1031">
        <v>49302</v>
      </c>
    </row>
    <row r="14" spans="1:6" ht="24" customHeight="1">
      <c r="A14" s="1702" t="s">
        <v>3040</v>
      </c>
      <c r="B14" s="1023">
        <f ca="1">IF(C14&lt;B2,"已过期",1120040230)</f>
        <v>1120040230</v>
      </c>
      <c r="C14" s="2347">
        <v>43835</v>
      </c>
      <c r="D14" s="2350" t="s">
        <v>3040</v>
      </c>
      <c r="E14" s="1023">
        <f ca="1">IF(F14&lt;B2,"已过期",98030020)</f>
        <v>98030020</v>
      </c>
      <c r="F14" s="1031">
        <v>47118</v>
      </c>
    </row>
    <row r="15" spans="1:6" ht="24" customHeight="1">
      <c r="A15" s="1703" t="s">
        <v>3041</v>
      </c>
      <c r="B15" s="1023">
        <f ca="1">IF(C15&lt;B2,"已过期",1120070085)</f>
        <v>1120070085</v>
      </c>
      <c r="C15" s="2347">
        <v>43814</v>
      </c>
      <c r="D15" s="2351" t="s">
        <v>3041</v>
      </c>
      <c r="E15" s="1023">
        <f ca="1">IF(F15&lt;B2,"已过期",2004110128)</f>
        <v>2004110128</v>
      </c>
      <c r="F15" s="1024">
        <v>47118</v>
      </c>
    </row>
    <row r="16" spans="1:6" ht="24" customHeight="1">
      <c r="A16" s="1702" t="s">
        <v>3042</v>
      </c>
      <c r="B16" s="1023">
        <f ca="1">IF(C16&lt;B2,"已过期",1120140022)</f>
        <v>1120140022</v>
      </c>
      <c r="C16" s="2938">
        <v>44029</v>
      </c>
      <c r="D16" s="2350" t="s">
        <v>3042</v>
      </c>
      <c r="E16" s="1023">
        <f ca="1">IF(F16&lt;B2,"已过期",2008110059)</f>
        <v>2008110059</v>
      </c>
      <c r="F16" s="1031">
        <v>47177</v>
      </c>
    </row>
    <row r="17" spans="1:7" ht="24" customHeight="1">
      <c r="A17" s="1702"/>
      <c r="B17" s="1023"/>
      <c r="C17" s="2347"/>
      <c r="D17" s="2350" t="s">
        <v>3043</v>
      </c>
      <c r="E17" s="1023">
        <f ca="1">IF(F17&lt;B2,"已过期",2014110076)</f>
        <v>2014110076</v>
      </c>
      <c r="F17" s="1031">
        <v>49302</v>
      </c>
    </row>
    <row r="18" spans="1:7" ht="24" customHeight="1">
      <c r="A18" s="1702"/>
      <c r="B18" s="1023"/>
      <c r="C18" s="2347"/>
      <c r="D18" s="2350"/>
      <c r="E18" s="1023"/>
      <c r="F18" s="1031"/>
    </row>
    <row r="19" spans="1:7" ht="24" customHeight="1">
      <c r="A19" s="1702"/>
      <c r="B19" s="1023"/>
      <c r="C19" s="2347"/>
      <c r="D19" s="2350"/>
      <c r="E19" s="1023"/>
      <c r="F19" s="1023"/>
    </row>
    <row r="20" spans="1:7" ht="24" customHeight="1">
      <c r="A20" s="1702"/>
      <c r="B20" s="1023"/>
      <c r="C20" s="2347"/>
      <c r="D20" s="2350"/>
      <c r="E20" s="1023"/>
      <c r="F20" s="1023"/>
    </row>
    <row r="21" spans="1:7" ht="24" customHeight="1">
      <c r="A21" s="1702"/>
      <c r="B21" s="1023"/>
      <c r="C21" s="2347"/>
      <c r="D21" s="2350" t="s">
        <v>841</v>
      </c>
      <c r="E21" s="1023">
        <f ca="1">IF(F21&lt;B2,"已过期",2011110090)</f>
        <v>2011110090</v>
      </c>
      <c r="F21" s="1031">
        <v>48302</v>
      </c>
    </row>
    <row r="22" spans="1:7" ht="24" customHeight="1">
      <c r="A22" s="1702" t="s">
        <v>842</v>
      </c>
      <c r="B22" s="1023">
        <f ca="1">IF(C22&lt;B2,"已过期",1120020033)</f>
        <v>1120020033</v>
      </c>
      <c r="C22" s="2938">
        <v>44339</v>
      </c>
      <c r="D22" s="2350" t="s">
        <v>842</v>
      </c>
      <c r="E22" s="1023">
        <f ca="1">IF(F22&lt;B2,"已过期",2000110137)</f>
        <v>2000110137</v>
      </c>
      <c r="F22" s="1031">
        <v>46387</v>
      </c>
    </row>
    <row r="23" spans="1:7" ht="24" customHeight="1">
      <c r="A23" s="1702"/>
      <c r="B23" s="1023"/>
      <c r="C23" s="2347"/>
      <c r="D23" s="2350"/>
      <c r="E23" s="1023"/>
      <c r="F23" s="1023"/>
    </row>
    <row r="24" spans="1:7" s="1025" customFormat="1" ht="24" customHeight="1">
      <c r="A24" s="1703" t="s">
        <v>1329</v>
      </c>
      <c r="B24" s="1703" t="s">
        <v>1329</v>
      </c>
      <c r="C24" s="2348" t="s">
        <v>1329</v>
      </c>
      <c r="D24" s="2351" t="s">
        <v>1329</v>
      </c>
      <c r="E24" s="1703" t="s">
        <v>1329</v>
      </c>
      <c r="F24" s="1703" t="s">
        <v>1329</v>
      </c>
    </row>
    <row r="25" spans="1:7" ht="24" customHeight="1">
      <c r="A25" s="2992" t="s">
        <v>843</v>
      </c>
      <c r="B25" s="2992"/>
      <c r="C25" s="2992"/>
      <c r="D25" s="2992"/>
      <c r="E25" s="2992"/>
      <c r="F25" s="2992"/>
      <c r="G25" s="2992"/>
    </row>
    <row r="26" spans="1:7" s="1026" customFormat="1" ht="24" customHeight="1">
      <c r="A26" s="2993" t="s">
        <v>844</v>
      </c>
      <c r="B26" s="2993"/>
      <c r="C26" s="2994"/>
      <c r="D26" s="2995" t="s">
        <v>845</v>
      </c>
      <c r="E26" s="2993"/>
      <c r="F26" s="2993"/>
    </row>
    <row r="27" spans="1:7" s="1028" customFormat="1" ht="24" customHeight="1">
      <c r="A27" s="1027" t="s">
        <v>846</v>
      </c>
      <c r="B27" s="1022" t="s">
        <v>847</v>
      </c>
      <c r="C27" s="2346" t="s">
        <v>848</v>
      </c>
      <c r="D27" s="2354" t="s">
        <v>846</v>
      </c>
      <c r="E27" s="1022" t="s">
        <v>847</v>
      </c>
      <c r="F27" s="1022" t="s">
        <v>848</v>
      </c>
    </row>
    <row r="28" spans="1:7" s="1028" customFormat="1" ht="24" customHeight="1">
      <c r="A28" s="1029" t="s">
        <v>849</v>
      </c>
      <c r="B28" s="1030" t="s">
        <v>850</v>
      </c>
      <c r="C28" s="2352">
        <v>43725</v>
      </c>
      <c r="D28" s="2355" t="s">
        <v>851</v>
      </c>
      <c r="E28" s="1029" t="s">
        <v>852</v>
      </c>
      <c r="F28" s="1059">
        <v>44377</v>
      </c>
    </row>
    <row r="29" spans="1:7" s="1028" customFormat="1" ht="24" customHeight="1">
      <c r="A29" s="1029"/>
      <c r="B29" s="1029"/>
      <c r="C29" s="2353"/>
      <c r="D29" s="2355"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土地案例</vt:lpstr>
      <vt:lpstr>案例位置</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收益法（LOFT公寓）</vt:lpstr>
      <vt:lpstr>收益法（平层公寓）</vt:lpstr>
      <vt:lpstr>长安天街成交数据</vt:lpstr>
      <vt:lpstr>西长安街一号成交数据</vt:lpstr>
      <vt:lpstr>华润悦景湾成交数据</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售价</vt:lpstr>
      <vt:lpstr>估价师及机构信息!Print_Area</vt:lpstr>
      <vt:lpstr>'收益法 (元)'!Print_Area</vt:lpstr>
      <vt:lpstr>'收益法（LOFT公寓）'!Print_Area</vt:lpstr>
      <vt:lpstr>'收益法（平层公寓）'!Print_Area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2019-01-25T07:49:57Z</dcterms:modified>
</cp:coreProperties>
</file>