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假设开发法" sheetId="12" state="hidden" r:id="rId21"/>
    <sheet name="收益法" sheetId="15" state="hidden" r:id="rId22"/>
    <sheet name="比较法-仓储" sheetId="36"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土地比较法-住宅、综合" sheetId="39" state="hidden" r:id="rId32"/>
    <sheet name="土地比较法-工业" sheetId="40" state="hidden" r:id="rId33"/>
    <sheet name="典型户型修正" sheetId="31" r:id="rId34"/>
    <sheet name="成本法 (元)" sheetId="69" r:id="rId35"/>
    <sheet name="基准地价修正" sheetId="43"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中指" sheetId="82" r:id="rId47"/>
    <sheet name="租金" sheetId="83" r:id="rId48"/>
    <sheet name="Sheet1" sheetId="80" r:id="rId49"/>
  </sheets>
  <externalReferences>
    <externalReference r:id="rId50"/>
  </externalReferences>
  <definedNames>
    <definedName name="_xlnm._FilterDatabase" localSheetId="28" hidden="1">'比较法-办公'!$A$1:$L$50</definedName>
    <definedName name="_xlnm._FilterDatabase" localSheetId="22"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2">'比较法-仓储'!$A$1:$K$42,'比较法-仓储'!$A$45:$M$96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34">'成本法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P46" i="36" l="1"/>
  <c r="Q46" i="36" s="1"/>
  <c r="E47" i="36"/>
  <c r="F47" i="36" s="1"/>
  <c r="G47" i="36" s="1"/>
  <c r="H47" i="36" s="1"/>
  <c r="I47" i="36" s="1"/>
  <c r="J47" i="36" s="1"/>
  <c r="K47" i="36" s="1"/>
  <c r="L47" i="36" s="1"/>
  <c r="M47" i="36" s="1"/>
  <c r="N47" i="36" s="1"/>
  <c r="O47" i="36" s="1"/>
  <c r="P47" i="36" s="1"/>
  <c r="Q47" i="36" s="1"/>
  <c r="D47" i="36"/>
  <c r="C32" i="36"/>
  <c r="I10" i="36"/>
  <c r="G10" i="36"/>
  <c r="E10" i="36"/>
  <c r="C10" i="36"/>
  <c r="C30" i="36"/>
  <c r="D4" i="31"/>
  <c r="E4" i="31"/>
  <c r="F4" i="31"/>
  <c r="C4" i="31"/>
  <c r="D3" i="31"/>
  <c r="E3" i="31"/>
  <c r="F3" i="31"/>
  <c r="C3" i="31"/>
  <c r="E54" i="36"/>
  <c r="F54" i="36"/>
  <c r="G54" i="36"/>
  <c r="D54" i="36"/>
  <c r="B14" i="74"/>
  <c r="B25" i="31"/>
  <c r="B26" i="31"/>
  <c r="B27" i="31"/>
  <c r="B28" i="31"/>
  <c r="B29" i="31"/>
  <c r="B30" i="31"/>
  <c r="B31" i="31"/>
  <c r="B32" i="31"/>
  <c r="B33" i="31"/>
  <c r="B34" i="31"/>
  <c r="B35" i="31"/>
  <c r="B36" i="31"/>
  <c r="B37" i="31"/>
  <c r="B38" i="31"/>
  <c r="B39" i="31"/>
  <c r="B40" i="31"/>
  <c r="B41" i="31"/>
  <c r="B42" i="31"/>
  <c r="B43" i="31"/>
  <c r="B44" i="31"/>
  <c r="B45" i="31"/>
  <c r="B46" i="31"/>
  <c r="B47" i="31"/>
  <c r="A46" i="31"/>
  <c r="A47" i="31"/>
  <c r="A40" i="31"/>
  <c r="A41" i="31"/>
  <c r="A42" i="31"/>
  <c r="A43" i="31"/>
  <c r="A44" i="31"/>
  <c r="A45" i="31"/>
  <c r="A25" i="31"/>
  <c r="A26" i="31"/>
  <c r="A27" i="31"/>
  <c r="A28" i="31"/>
  <c r="A29" i="31"/>
  <c r="A30" i="31"/>
  <c r="A31" i="31"/>
  <c r="A32" i="31"/>
  <c r="A33" i="31"/>
  <c r="A34" i="31"/>
  <c r="A35" i="31"/>
  <c r="A36" i="31"/>
  <c r="A37" i="31"/>
  <c r="A38" i="31"/>
  <c r="A39" i="31"/>
  <c r="B24" i="31"/>
  <c r="A24" i="31"/>
  <c r="I13" i="3"/>
  <c r="D41" i="43" s="1"/>
  <c r="G73" i="43"/>
  <c r="G74" i="43"/>
  <c r="G75" i="43"/>
  <c r="G76" i="43"/>
  <c r="G77" i="43"/>
  <c r="G78" i="43"/>
  <c r="G79" i="43"/>
  <c r="G80" i="43"/>
  <c r="G72" i="43"/>
  <c r="G44" i="43"/>
  <c r="J49" i="67"/>
  <c r="N19" i="1"/>
  <c r="N6" i="1" s="1"/>
  <c r="Y6" i="1" l="1"/>
  <c r="C27" i="36"/>
  <c r="G19" i="6"/>
  <c r="F27" i="81"/>
  <c r="D3" i="4" l="1"/>
  <c r="G14" i="73" l="1"/>
  <c r="F14" i="73"/>
  <c r="E14" i="73"/>
  <c r="I12" i="79" l="1"/>
  <c r="AP34" i="79" l="1"/>
  <c r="AO34"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7" i="79"/>
  <c r="AD36" i="79"/>
  <c r="AD38" i="79"/>
  <c r="AR40" i="79"/>
  <c r="AR41" i="79" s="1"/>
  <c r="AR42" i="79" s="1"/>
  <c r="AR43" i="79" s="1"/>
  <c r="AR44" i="79" s="1"/>
  <c r="AR45" i="79" s="1"/>
  <c r="AR46" i="79" s="1"/>
  <c r="AR47" i="79" s="1"/>
  <c r="AR48" i="79" s="1"/>
  <c r="AR49" i="79" s="1"/>
  <c r="AR50" i="79" s="1"/>
  <c r="AR51" i="79" s="1"/>
  <c r="AR52" i="79" s="1"/>
  <c r="S34" i="79"/>
  <c r="AG34" i="79" s="1"/>
  <c r="S35" i="79"/>
  <c r="AG35" i="79" s="1"/>
  <c r="S33" i="79"/>
  <c r="AG33" i="79" s="1"/>
  <c r="W40" i="79"/>
  <c r="AK40" i="79" s="1"/>
  <c r="AH40" i="79"/>
  <c r="AR18" i="79"/>
  <c r="AR19" i="79" s="1"/>
  <c r="AR20" i="79" s="1"/>
  <c r="AR21" i="79" s="1"/>
  <c r="AR22" i="79" s="1"/>
  <c r="AR23" i="79" s="1"/>
  <c r="AR24" i="79" s="1"/>
  <c r="T33" i="79"/>
  <c r="T35" i="79"/>
  <c r="T34"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B39" i="71"/>
  <c r="B40" i="71" s="1"/>
  <c r="S40" i="71" s="1"/>
  <c r="N68" i="71"/>
  <c r="E34" i="71"/>
  <c r="C30" i="71"/>
  <c r="X31" i="71"/>
  <c r="C34" i="71"/>
  <c r="D34" i="71" s="1"/>
  <c r="X34" i="71"/>
  <c r="C38" i="71"/>
  <c r="F51" i="71"/>
  <c r="F52" i="71" s="1"/>
  <c r="V52" i="71" s="1"/>
  <c r="B28" i="71"/>
  <c r="B27" i="71" s="1"/>
  <c r="B26" i="71"/>
  <c r="D30" i="71"/>
  <c r="C47" i="71"/>
  <c r="D47" i="71"/>
  <c r="D46" i="71"/>
  <c r="D50" i="71"/>
  <c r="P28" i="71"/>
  <c r="E60" i="71"/>
  <c r="U60" i="71" s="1"/>
  <c r="U68" i="71"/>
  <c r="E67" i="71"/>
  <c r="Q28" i="71"/>
  <c r="D54"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D63" i="71"/>
  <c r="D75" i="71"/>
  <c r="C74" i="71"/>
  <c r="D74" i="71" s="1"/>
  <c r="D87" i="71"/>
  <c r="C60" i="71"/>
  <c r="D59" i="71"/>
  <c r="D55"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88"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1" i="31"/>
  <c r="S440" i="31"/>
  <c r="S439" i="31"/>
  <c r="S437" i="31"/>
  <c r="S436" i="31"/>
  <c r="S435" i="31"/>
  <c r="S433" i="31"/>
  <c r="S432" i="31"/>
  <c r="S431" i="31"/>
  <c r="S121" i="31"/>
  <c r="S120" i="31"/>
  <c r="S119" i="31"/>
  <c r="S117" i="31"/>
  <c r="S116" i="31"/>
  <c r="S115"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99" i="31"/>
  <c r="S100" i="31"/>
  <c r="S101" i="31"/>
  <c r="S103" i="31"/>
  <c r="S104" i="31"/>
  <c r="S105" i="31"/>
  <c r="S107" i="31"/>
  <c r="S108" i="31"/>
  <c r="S109" i="31"/>
  <c r="S111" i="31"/>
  <c r="S445" i="31"/>
  <c r="S447" i="31"/>
  <c r="S448" i="31"/>
  <c r="S449" i="31"/>
  <c r="S507" i="31"/>
  <c r="S508" i="31"/>
  <c r="S509" i="31"/>
  <c r="S511" i="31"/>
  <c r="S512"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E70" i="36" s="1"/>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c r="J22" i="36"/>
  <c r="AC22" i="36" s="1"/>
  <c r="Q20" i="36"/>
  <c r="Z20" i="36"/>
  <c r="Q16" i="36"/>
  <c r="Z16" i="36"/>
  <c r="Q14" i="36"/>
  <c r="Z14" i="36"/>
  <c r="Q13" i="36"/>
  <c r="Z13" i="36"/>
  <c r="Q12" i="36"/>
  <c r="Z12" i="36"/>
  <c r="Q11" i="36"/>
  <c r="Z11" i="36"/>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U34" i="34"/>
  <c r="H39" i="33"/>
  <c r="AB39" i="33" s="1"/>
  <c r="F26" i="33"/>
  <c r="AA26" i="33" s="1"/>
  <c r="U33" i="33"/>
  <c r="U35" i="33"/>
  <c r="S40" i="33"/>
  <c r="W33" i="33"/>
  <c r="W39" i="33"/>
  <c r="H39" i="37"/>
  <c r="AB39" i="37"/>
  <c r="S27" i="35"/>
  <c r="F11" i="40"/>
  <c r="AA11" i="40" s="1"/>
  <c r="H11" i="40"/>
  <c r="AB11" i="40" s="1"/>
  <c r="W8" i="40"/>
  <c r="AB39"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A14"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50" i="3"/>
  <c r="F23" i="39"/>
  <c r="AA23" i="39"/>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3" i="36"/>
  <c r="U33" i="36"/>
  <c r="AC12" i="39"/>
  <c r="W12" i="39"/>
  <c r="AC39" i="40"/>
  <c r="W39" i="40"/>
  <c r="AZ465" i="3"/>
  <c r="W12" i="33"/>
  <c r="AA32" i="36"/>
  <c r="S32" i="36"/>
  <c r="AZ473" i="3"/>
  <c r="BL14" i="3"/>
  <c r="U30" i="33"/>
  <c r="AC13" i="34"/>
  <c r="AA47" i="34"/>
  <c r="W28" i="37"/>
  <c r="S19" i="39"/>
  <c r="F12" i="33"/>
  <c r="H12" i="39"/>
  <c r="AB12" i="39" s="1"/>
  <c r="F39" i="40"/>
  <c r="S39" i="40" s="1"/>
  <c r="BA14" i="3"/>
  <c r="AZ254" i="3"/>
  <c r="AZ297" i="3"/>
  <c r="AZ157"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34" i="36"/>
  <c r="U22" i="36"/>
  <c r="S16" i="36"/>
  <c r="AA25" i="36"/>
  <c r="S24" i="36"/>
  <c r="U24"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AB27" i="33" s="1"/>
  <c r="F87" i="33"/>
  <c r="H25" i="33"/>
  <c r="U25" i="33" s="1"/>
  <c r="F25" i="33"/>
  <c r="S25" i="33" s="1"/>
  <c r="J23" i="33"/>
  <c r="AC23" i="33" s="1"/>
  <c r="F85" i="33"/>
  <c r="H23" i="33"/>
  <c r="AB23" i="33" s="1"/>
  <c r="F81" i="33"/>
  <c r="G81" i="33" s="1"/>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AA14" i="21"/>
  <c r="D120" i="9"/>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H17" i="33"/>
  <c r="U17" i="33" s="1"/>
  <c r="F17" i="33"/>
  <c r="S17" i="33" s="1"/>
  <c r="W17" i="33"/>
  <c r="S37" i="21"/>
  <c r="AB15" i="21"/>
  <c r="J23" i="21"/>
  <c r="F85" i="21"/>
  <c r="G85" i="21" s="1"/>
  <c r="H23" i="21"/>
  <c r="S13" i="21"/>
  <c r="AP7" i="1"/>
  <c r="AB45" i="21"/>
  <c r="AB9" i="21"/>
  <c r="AA32" i="21"/>
  <c r="S32" i="21"/>
  <c r="W9" i="21"/>
  <c r="AB32" i="21"/>
  <c r="U32" i="21"/>
  <c r="U32" i="39"/>
  <c r="AC32" i="39"/>
  <c r="W23" i="37"/>
  <c r="J63" i="37"/>
  <c r="K63" i="37" s="1"/>
  <c r="L63" i="37" s="1"/>
  <c r="M63" i="37" s="1"/>
  <c r="J11" i="37"/>
  <c r="AC11" i="37" s="1"/>
  <c r="H70" i="34"/>
  <c r="I70" i="34" s="1"/>
  <c r="J70" i="34" s="1"/>
  <c r="K70" i="34" s="1"/>
  <c r="L70" i="34" s="1"/>
  <c r="M70" i="34" s="1"/>
  <c r="J11" i="34"/>
  <c r="W11" i="34" s="1"/>
  <c r="W25" i="33"/>
  <c r="AB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8" i="76"/>
  <c r="B11" i="76"/>
  <c r="E2" i="68"/>
  <c r="F4" i="73"/>
  <c r="F7" i="73"/>
  <c r="E13" i="76"/>
  <c r="B10" i="76"/>
  <c r="E11" i="76"/>
  <c r="E12" i="76"/>
  <c r="E7" i="76"/>
  <c r="M6" i="15"/>
  <c r="L48" i="15"/>
  <c r="E10" i="76"/>
  <c r="F16" i="15"/>
  <c r="F6" i="67"/>
  <c r="F36" i="15"/>
  <c r="C76" i="15"/>
  <c r="M29" i="15"/>
  <c r="M24" i="15"/>
  <c r="F26" i="67"/>
  <c r="B13" i="76"/>
  <c r="M28" i="15"/>
  <c r="F43" i="67"/>
  <c r="F13" i="67"/>
  <c r="F40" i="15"/>
  <c r="F7" i="67"/>
  <c r="F38" i="15"/>
  <c r="E8" i="76"/>
  <c r="F9" i="15"/>
  <c r="D6" i="73"/>
  <c r="F38" i="67"/>
  <c r="B12" i="76"/>
  <c r="E9" i="76"/>
  <c r="F5" i="73"/>
  <c r="B9" i="76"/>
  <c r="M26" i="67"/>
  <c r="E2" i="69"/>
  <c r="L47" i="15"/>
  <c r="F6" i="73"/>
  <c r="B7" i="76"/>
  <c r="M6" i="67"/>
  <c r="F42" i="15"/>
  <c r="F6" i="15"/>
  <c r="L48" i="67"/>
  <c r="M8" i="67"/>
  <c r="F7" i="15"/>
  <c r="AO13" i="1"/>
  <c r="F3" i="73"/>
  <c r="F13" i="15"/>
  <c r="F20" i="31"/>
  <c r="M28" i="67"/>
  <c r="W18" i="36" l="1"/>
  <c r="AA22" i="36"/>
  <c r="AC20" i="36"/>
  <c r="S20" i="36"/>
  <c r="AB20" i="36"/>
  <c r="AB14" i="36"/>
  <c r="S14" i="36"/>
  <c r="W14" i="36"/>
  <c r="W29" i="36"/>
  <c r="W28" i="36"/>
  <c r="AC26" i="36"/>
  <c r="AA26" i="36"/>
  <c r="AC15" i="21"/>
  <c r="W15" i="21"/>
  <c r="W27" i="33"/>
  <c r="U36" i="33"/>
  <c r="AB36" i="33"/>
  <c r="AA23" i="21"/>
  <c r="S23" i="21"/>
  <c r="S23" i="37"/>
  <c r="AA23" i="37"/>
  <c r="AB31" i="21"/>
  <c r="U31" i="21"/>
  <c r="AB34" i="36"/>
  <c r="U34" i="36"/>
  <c r="U27" i="33"/>
  <c r="D121" i="9"/>
  <c r="D7" i="52" s="1"/>
  <c r="D6" i="52"/>
  <c r="S19" i="33"/>
  <c r="AA19" i="33"/>
  <c r="AZ322" i="3"/>
  <c r="AZ160" i="3"/>
  <c r="AZ531" i="3"/>
  <c r="AZ583" i="3"/>
  <c r="AZ568" i="3"/>
  <c r="AZ576" i="3"/>
  <c r="S44" i="34"/>
  <c r="AA14" i="37"/>
  <c r="H25" i="37"/>
  <c r="F25" i="37"/>
  <c r="AZ419" i="3"/>
  <c r="AZ458" i="3"/>
  <c r="S36" i="33"/>
  <c r="S17" i="37"/>
  <c r="W33" i="34"/>
  <c r="AA40" i="34"/>
  <c r="W27" i="40"/>
  <c r="U32" i="37"/>
  <c r="S30" i="40"/>
  <c r="AZ14" i="3"/>
  <c r="AZ345" i="3"/>
  <c r="AZ334" i="3"/>
  <c r="AZ372" i="3"/>
  <c r="AZ347" i="3"/>
  <c r="AZ337" i="3"/>
  <c r="AZ376" i="3"/>
  <c r="AZ309" i="3"/>
  <c r="AA11" i="39"/>
  <c r="AZ523" i="3"/>
  <c r="AZ547" i="3"/>
  <c r="AZ571" i="3"/>
  <c r="AZ579" i="3"/>
  <c r="AB46" i="34"/>
  <c r="AB30" i="21"/>
  <c r="BL585" i="3"/>
  <c r="H12" i="33"/>
  <c r="U12" i="33" s="1"/>
  <c r="J25" i="37"/>
  <c r="AZ199" i="3"/>
  <c r="AB33" i="40"/>
  <c r="AC31" i="33"/>
  <c r="AZ539" i="3"/>
  <c r="AZ529" i="3"/>
  <c r="AZ537" i="3"/>
  <c r="AZ518" i="3"/>
  <c r="AZ526" i="3"/>
  <c r="AZ546" i="3"/>
  <c r="AZ564" i="3"/>
  <c r="AZ580" i="3"/>
  <c r="AZ585" i="3"/>
  <c r="AB45" i="33"/>
  <c r="S11" i="36"/>
  <c r="AA29" i="35"/>
  <c r="AB17" i="34"/>
  <c r="H9" i="34"/>
  <c r="H38" i="40"/>
  <c r="G570" i="3"/>
  <c r="AA39" i="39"/>
  <c r="AC11" i="39"/>
  <c r="AZ15" i="3"/>
  <c r="F29" i="6"/>
  <c r="AZ391" i="3"/>
  <c r="AZ318" i="3"/>
  <c r="AZ364" i="3"/>
  <c r="AZ329" i="3"/>
  <c r="AZ306" i="3"/>
  <c r="AZ513" i="3"/>
  <c r="AZ502" i="3"/>
  <c r="BL587" i="3"/>
  <c r="AZ587" i="3" s="1"/>
  <c r="BL586" i="3"/>
  <c r="AZ586" i="3" s="1"/>
  <c r="J9" i="34"/>
  <c r="H12" i="34"/>
  <c r="J9" i="36"/>
  <c r="J12" i="36"/>
  <c r="J38" i="40"/>
  <c r="AZ402" i="3"/>
  <c r="BL398" i="3"/>
  <c r="G402" i="3"/>
  <c r="BL403" i="3"/>
  <c r="G406" i="3"/>
  <c r="BA408" i="3"/>
  <c r="AZ408" i="3" s="1"/>
  <c r="BA409" i="3"/>
  <c r="AZ409" i="3" s="1"/>
  <c r="BA411" i="3"/>
  <c r="AZ411" i="3" s="1"/>
  <c r="BL414" i="3"/>
  <c r="BL415" i="3"/>
  <c r="BA417" i="3"/>
  <c r="BL421" i="3"/>
  <c r="BL422" i="3"/>
  <c r="AZ422" i="3" s="1"/>
  <c r="BL425" i="3"/>
  <c r="BL426" i="3"/>
  <c r="BA428" i="3"/>
  <c r="AZ428" i="3" s="1"/>
  <c r="BA429" i="3"/>
  <c r="BA430" i="3"/>
  <c r="AZ430" i="3" s="1"/>
  <c r="BA432" i="3"/>
  <c r="BA434" i="3"/>
  <c r="BA436" i="3"/>
  <c r="BA438" i="3"/>
  <c r="G443" i="3"/>
  <c r="BA446" i="3"/>
  <c r="BA450" i="3"/>
  <c r="BA453" i="3"/>
  <c r="BA455" i="3"/>
  <c r="AZ455" i="3" s="1"/>
  <c r="BL457" i="3"/>
  <c r="BL460" i="3"/>
  <c r="BL461" i="3"/>
  <c r="BL463" i="3"/>
  <c r="BL464" i="3"/>
  <c r="BA467" i="3"/>
  <c r="BA468" i="3"/>
  <c r="G478"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BA423" i="3"/>
  <c r="AZ423" i="3" s="1"/>
  <c r="BA425" i="3"/>
  <c r="BA426" i="3"/>
  <c r="BA427" i="3"/>
  <c r="AZ427" i="3" s="1"/>
  <c r="BA433" i="3"/>
  <c r="AZ433" i="3" s="1"/>
  <c r="BA435" i="3"/>
  <c r="BL437" i="3"/>
  <c r="AZ437" i="3" s="1"/>
  <c r="G439" i="3"/>
  <c r="G440" i="3"/>
  <c r="BL441" i="3"/>
  <c r="AZ441" i="3" s="1"/>
  <c r="BL442" i="3"/>
  <c r="BL444" i="3"/>
  <c r="G446" i="3"/>
  <c r="G447" i="3"/>
  <c r="BL448" i="3"/>
  <c r="AZ448" i="3" s="1"/>
  <c r="G450" i="3"/>
  <c r="G451" i="3"/>
  <c r="BA454" i="3"/>
  <c r="BA457" i="3"/>
  <c r="AZ457" i="3" s="1"/>
  <c r="BA459" i="3"/>
  <c r="BA460" i="3"/>
  <c r="AZ460" i="3" s="1"/>
  <c r="BA461" i="3"/>
  <c r="BA464" i="3"/>
  <c r="AZ464" i="3" s="1"/>
  <c r="BL469" i="3"/>
  <c r="BL471" i="3"/>
  <c r="G477" i="3"/>
  <c r="G481" i="3"/>
  <c r="BA401" i="3"/>
  <c r="BA403" i="3"/>
  <c r="AZ403" i="3" s="1"/>
  <c r="BA404" i="3"/>
  <c r="BA405" i="3"/>
  <c r="BL410" i="3"/>
  <c r="G412" i="3"/>
  <c r="AZ444" i="3"/>
  <c r="BL452" i="3"/>
  <c r="BL456" i="3"/>
  <c r="AZ469" i="3"/>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AZ480" i="3"/>
  <c r="AZ217" i="3"/>
  <c r="AZ228" i="3"/>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BL127" i="3"/>
  <c r="AZ127" i="3" s="1"/>
  <c r="BA130" i="3"/>
  <c r="BL130" i="3"/>
  <c r="BL137" i="3"/>
  <c r="BA146" i="3"/>
  <c r="AZ146" i="3" s="1"/>
  <c r="BL161" i="3"/>
  <c r="AZ270" i="3"/>
  <c r="AZ302" i="3"/>
  <c r="BL134" i="3"/>
  <c r="G465" i="3"/>
  <c r="BA471" i="3"/>
  <c r="AZ471"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BL248" i="3"/>
  <c r="AZ248" i="3" s="1"/>
  <c r="G250" i="3"/>
  <c r="BL250" i="3"/>
  <c r="AZ250" i="3" s="1"/>
  <c r="G252" i="3"/>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AZ126" i="3" s="1"/>
  <c r="BA128" i="3"/>
  <c r="AZ128" i="3" s="1"/>
  <c r="G136" i="3"/>
  <c r="BL146" i="3"/>
  <c r="G147" i="3"/>
  <c r="AZ65" i="3"/>
  <c r="BL466" i="3"/>
  <c r="AZ466" i="3" s="1"/>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L70" i="3"/>
  <c r="BL71" i="3"/>
  <c r="BA78" i="3"/>
  <c r="BA80" i="3"/>
  <c r="G84" i="3"/>
  <c r="BL84" i="3"/>
  <c r="AZ84" i="3" s="1"/>
  <c r="BL88" i="3"/>
  <c r="AZ88" i="3" s="1"/>
  <c r="BL90" i="3"/>
  <c r="BA94" i="3"/>
  <c r="G98" i="3"/>
  <c r="F40" i="68"/>
  <c r="C21" i="68"/>
  <c r="AA34" i="71"/>
  <c r="AA30" i="71"/>
  <c r="AA37" i="71"/>
  <c r="D56" i="71"/>
  <c r="T56" i="71"/>
  <c r="N67" i="71"/>
  <c r="B66" i="71"/>
  <c r="F66" i="71"/>
  <c r="Q67" i="71"/>
  <c r="T80" i="71"/>
  <c r="C79" i="71"/>
  <c r="V24" i="71"/>
  <c r="E23" i="71"/>
  <c r="E22" i="71" s="1"/>
  <c r="E21" i="71" s="1"/>
  <c r="E20" i="71" s="1"/>
  <c r="E19" i="71" s="1"/>
  <c r="E18" i="71" s="1"/>
  <c r="E17" i="71" s="1"/>
  <c r="E16" i="71" s="1"/>
  <c r="AC29" i="39"/>
  <c r="W29" i="39"/>
  <c r="AA18" i="36"/>
  <c r="S18" i="36"/>
  <c r="D52" i="71"/>
  <c r="D51" i="71"/>
  <c r="D38" i="71"/>
  <c r="C39" i="71"/>
  <c r="F34" i="71"/>
  <c r="F35" i="71" s="1"/>
  <c r="F36" i="71" s="1"/>
  <c r="V36" i="71" s="1"/>
  <c r="AB33" i="71"/>
  <c r="AB28" i="71"/>
  <c r="AB32" i="71"/>
  <c r="C44" i="71"/>
  <c r="D43" i="71"/>
  <c r="T72" i="71"/>
  <c r="C71" i="71"/>
  <c r="U76" i="71"/>
  <c r="E75" i="71"/>
  <c r="E74" i="71"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L65" i="3"/>
  <c r="BL66" i="3"/>
  <c r="AZ66" i="3" s="1"/>
  <c r="AZ70" i="3"/>
  <c r="BL77" i="3"/>
  <c r="AZ77" i="3" s="1"/>
  <c r="BL81" i="3"/>
  <c r="BA82" i="3"/>
  <c r="AZ82" i="3" s="1"/>
  <c r="BL83" i="3"/>
  <c r="BL92" i="3"/>
  <c r="P27" i="6"/>
  <c r="C31" i="71"/>
  <c r="Y30" i="71"/>
  <c r="Z30" i="71" s="1"/>
  <c r="AA38" i="71"/>
  <c r="AA39" i="7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AZ200" i="3" s="1"/>
  <c r="BA202" i="3"/>
  <c r="BL207" i="3"/>
  <c r="BL18" i="3"/>
  <c r="G19" i="3"/>
  <c r="BL19" i="3"/>
  <c r="BA20" i="3"/>
  <c r="AZ20" i="3" s="1"/>
  <c r="BL25" i="3"/>
  <c r="BL27" i="3"/>
  <c r="AZ27" i="3" s="1"/>
  <c r="BA28" i="3"/>
  <c r="AZ28" i="3" s="1"/>
  <c r="BA31" i="3"/>
  <c r="AZ31" i="3" s="1"/>
  <c r="BA32" i="3"/>
  <c r="G38" i="3"/>
  <c r="BA38" i="3"/>
  <c r="BA41" i="3"/>
  <c r="AZ41" i="3" s="1"/>
  <c r="BA42" i="3"/>
  <c r="G47" i="3"/>
  <c r="BL48" i="3"/>
  <c r="BL54" i="3"/>
  <c r="BL55" i="3"/>
  <c r="AZ55" i="3" s="1"/>
  <c r="G58" i="3"/>
  <c r="BA59" i="3"/>
  <c r="AZ59" i="3" s="1"/>
  <c r="BL61" i="3"/>
  <c r="G64" i="3"/>
  <c r="BA64" i="3"/>
  <c r="AZ64" i="3" s="1"/>
  <c r="G67" i="3"/>
  <c r="BA67" i="3"/>
  <c r="AZ67" i="3" s="1"/>
  <c r="BA68" i="3"/>
  <c r="BA71" i="3"/>
  <c r="AZ71" i="3" s="1"/>
  <c r="BL72" i="3"/>
  <c r="AZ72" i="3" s="1"/>
  <c r="BL75" i="3"/>
  <c r="AA3" i="71"/>
  <c r="E28" i="71"/>
  <c r="AA27" i="71"/>
  <c r="AA28" i="71"/>
  <c r="Y27" i="71"/>
  <c r="Z27" i="71" s="1"/>
  <c r="Y26" i="71"/>
  <c r="Z26" i="71" s="1"/>
  <c r="C28" i="71"/>
  <c r="Y28" i="71"/>
  <c r="Z28" i="71" s="1"/>
  <c r="Y25" i="71"/>
  <c r="Z25" i="71" s="1"/>
  <c r="AA35" i="71"/>
  <c r="Y35" i="71"/>
  <c r="Z35" i="71" s="1"/>
  <c r="Y37" i="71"/>
  <c r="Z37" i="71" s="1"/>
  <c r="X36" i="71"/>
  <c r="X35" i="71"/>
  <c r="X38" i="71"/>
  <c r="D84" i="71"/>
  <c r="C83" i="71"/>
  <c r="BL68" i="3"/>
  <c r="BA69" i="3"/>
  <c r="AZ69" i="3" s="1"/>
  <c r="G72" i="3"/>
  <c r="BL73" i="3"/>
  <c r="BA74" i="3"/>
  <c r="AZ74" i="3" s="1"/>
  <c r="BA75" i="3"/>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AA18" i="35"/>
  <c r="O67" i="71"/>
  <c r="AB27" i="71"/>
  <c r="AB25" i="71"/>
  <c r="X26" i="71"/>
  <c r="C35" i="71"/>
  <c r="E38" i="71"/>
  <c r="E39" i="71" s="1"/>
  <c r="E40" i="71" s="1"/>
  <c r="U40" i="71" s="1"/>
  <c r="B34" i="71"/>
  <c r="B35" i="71" s="1"/>
  <c r="B36" i="71" s="1"/>
  <c r="S36" i="71" s="1"/>
  <c r="X33" i="71"/>
  <c r="AB37" i="71"/>
  <c r="G99" i="3"/>
  <c r="BA103" i="3"/>
  <c r="AZ103" i="3" s="1"/>
  <c r="BA104" i="3"/>
  <c r="BA106" i="3"/>
  <c r="BL108" i="3"/>
  <c r="G110" i="3"/>
  <c r="BL111" i="3"/>
  <c r="P66" i="71"/>
  <c r="C66" i="71"/>
  <c r="AB26" i="71"/>
  <c r="S28" i="71"/>
  <c r="X28" i="71"/>
  <c r="X32" i="71"/>
  <c r="F40" i="71"/>
  <c r="V40" i="71" s="1"/>
  <c r="AB38" i="71"/>
  <c r="F75" i="71"/>
  <c r="F74" i="71" s="1"/>
  <c r="G88" i="3"/>
  <c r="BA90" i="3"/>
  <c r="BL94" i="3"/>
  <c r="BA100" i="3"/>
  <c r="AZ100" i="3" s="1"/>
  <c r="BA102" i="3"/>
  <c r="AZ102" i="3" s="1"/>
  <c r="BL105" i="3"/>
  <c r="AZ105" i="3" s="1"/>
  <c r="BL107" i="3"/>
  <c r="BA111" i="3"/>
  <c r="K13" i="1"/>
  <c r="M13" i="1" s="1"/>
  <c r="O13" i="1" s="1"/>
  <c r="P13" i="1" s="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J53" i="67"/>
  <c r="J57" i="67"/>
  <c r="J55" i="67" s="1"/>
  <c r="J58" i="67" s="1"/>
  <c r="Q50" i="67" s="1"/>
  <c r="L56" i="67"/>
  <c r="I54" i="67"/>
  <c r="M7" i="15"/>
  <c r="F50" i="15"/>
  <c r="F66" i="67"/>
  <c r="L59" i="15"/>
  <c r="N59" i="15"/>
  <c r="L58" i="15"/>
  <c r="M59" i="15"/>
  <c r="F66" i="15"/>
  <c r="F64" i="15"/>
  <c r="C27" i="67"/>
  <c r="F71" i="67"/>
  <c r="B13" i="70"/>
  <c r="M7" i="67"/>
  <c r="F50" i="67"/>
  <c r="F68" i="15"/>
  <c r="C36" i="68"/>
  <c r="D9" i="69"/>
  <c r="C36" i="69"/>
  <c r="D9" i="68"/>
  <c r="J15" i="67"/>
  <c r="L47" i="67"/>
  <c r="C76" i="67"/>
  <c r="F36" i="67"/>
  <c r="F43" i="15"/>
  <c r="F8" i="15"/>
  <c r="M22" i="15"/>
  <c r="M23" i="67"/>
  <c r="M24" i="67"/>
  <c r="F9" i="67"/>
  <c r="F37" i="67"/>
  <c r="M26" i="15"/>
  <c r="F26" i="15"/>
  <c r="D7" i="73"/>
  <c r="M29" i="67"/>
  <c r="F8" i="67"/>
  <c r="M22" i="67"/>
  <c r="F37" i="15"/>
  <c r="M23" i="15"/>
  <c r="D3" i="73"/>
  <c r="D5" i="73"/>
  <c r="F42" i="67"/>
  <c r="M9" i="67"/>
  <c r="F16" i="67"/>
  <c r="F40" i="67"/>
  <c r="M8" i="15"/>
  <c r="J15" i="15"/>
  <c r="M9" i="15"/>
  <c r="D4" i="73"/>
  <c r="C16" i="15"/>
  <c r="F27" i="69" l="1"/>
  <c r="C47" i="69" s="1"/>
  <c r="D45" i="69" s="1"/>
  <c r="Q18" i="1"/>
  <c r="E26" i="43"/>
  <c r="K16" i="1"/>
  <c r="N370" i="46"/>
  <c r="G30" i="6"/>
  <c r="G31" i="6" s="1"/>
  <c r="G26" i="43"/>
  <c r="N94" i="46"/>
  <c r="J26" i="43"/>
  <c r="H16" i="1"/>
  <c r="D20" i="53"/>
  <c r="B40" i="72" s="1"/>
  <c r="J7" i="36"/>
  <c r="W7" i="36" s="1"/>
  <c r="F68" i="67"/>
  <c r="F65" i="15"/>
  <c r="F31" i="67"/>
  <c r="F51" i="67"/>
  <c r="F59" i="67" s="1"/>
  <c r="C6" i="67"/>
  <c r="C32" i="67" s="1"/>
  <c r="C27" i="15"/>
  <c r="F65" i="67"/>
  <c r="F51" i="15"/>
  <c r="F59" i="15" s="1"/>
  <c r="F31" i="15"/>
  <c r="C6" i="15"/>
  <c r="C32" i="15" s="1"/>
  <c r="F71" i="15"/>
  <c r="F64" i="67"/>
  <c r="Q71" i="67"/>
  <c r="L58" i="67"/>
  <c r="Q60" i="67" s="1"/>
  <c r="M59" i="67"/>
  <c r="L59" i="67"/>
  <c r="Q61" i="67" s="1"/>
  <c r="N59" i="67"/>
  <c r="J6" i="15"/>
  <c r="J18" i="15" s="1"/>
  <c r="C36" i="71"/>
  <c r="D35" i="71"/>
  <c r="AZ94" i="3"/>
  <c r="AZ453" i="3"/>
  <c r="AC9" i="36"/>
  <c r="W9" i="36"/>
  <c r="AB38" i="40"/>
  <c r="U38" i="40"/>
  <c r="AC25" i="37"/>
  <c r="W25" i="37"/>
  <c r="U25" i="37"/>
  <c r="AB25" i="37"/>
  <c r="V20" i="71"/>
  <c r="AZ75" i="3"/>
  <c r="T28" i="71"/>
  <c r="D28" i="71"/>
  <c r="U28" i="71" s="1"/>
  <c r="C27" i="71"/>
  <c r="D31" i="71"/>
  <c r="C32" i="71"/>
  <c r="AZ61" i="3"/>
  <c r="AZ182" i="3"/>
  <c r="AZ274" i="3"/>
  <c r="AZ243" i="3"/>
  <c r="AZ368" i="3"/>
  <c r="AZ353" i="3"/>
  <c r="AZ118" i="3"/>
  <c r="AZ332" i="3"/>
  <c r="AZ401" i="3"/>
  <c r="AZ459" i="3"/>
  <c r="AZ421" i="3"/>
  <c r="AZ429" i="3"/>
  <c r="AB12" i="34"/>
  <c r="U12" i="34"/>
  <c r="U9" i="34"/>
  <c r="AB9" i="34"/>
  <c r="J6" i="67"/>
  <c r="J18" i="67" s="1"/>
  <c r="G5" i="3"/>
  <c r="B3" i="3" s="1"/>
  <c r="E539" i="3" s="1"/>
  <c r="O65" i="71"/>
  <c r="D66" i="71"/>
  <c r="O66" i="71"/>
  <c r="D44" i="71"/>
  <c r="T44" i="71"/>
  <c r="C78" i="71"/>
  <c r="D78" i="71" s="1"/>
  <c r="D79" i="71"/>
  <c r="N65" i="71"/>
  <c r="N66" i="71"/>
  <c r="AZ405" i="3"/>
  <c r="AZ418" i="3"/>
  <c r="AC38" i="40"/>
  <c r="W38" i="40"/>
  <c r="AC9" i="34"/>
  <c r="W9" i="34"/>
  <c r="G16" i="1"/>
  <c r="F10" i="39" s="1"/>
  <c r="S10" i="39" s="1"/>
  <c r="AZ111" i="3"/>
  <c r="AZ108" i="3"/>
  <c r="C82" i="71"/>
  <c r="D82" i="71" s="1"/>
  <c r="D83" i="71"/>
  <c r="AZ25" i="3"/>
  <c r="C70" i="71"/>
  <c r="D70" i="71" s="1"/>
  <c r="D71" i="71"/>
  <c r="C40" i="71"/>
  <c r="D39" i="71"/>
  <c r="AZ19" i="3"/>
  <c r="AZ271" i="3"/>
  <c r="AZ130" i="3"/>
  <c r="AZ229" i="3"/>
  <c r="AZ218" i="3"/>
  <c r="AZ404" i="3"/>
  <c r="AZ461" i="3"/>
  <c r="AZ454" i="3"/>
  <c r="AZ435" i="3"/>
  <c r="AZ425" i="3"/>
  <c r="AZ432" i="3"/>
  <c r="AZ417" i="3"/>
  <c r="W12" i="36"/>
  <c r="AC12" i="36"/>
  <c r="AA25" i="37"/>
  <c r="S25" i="37"/>
  <c r="J7" i="37"/>
  <c r="K1" i="73"/>
  <c r="E510" i="3"/>
  <c r="E199" i="3"/>
  <c r="R6" i="3"/>
  <c r="E56" i="3"/>
  <c r="E363" i="3"/>
  <c r="E425" i="3"/>
  <c r="E23" i="3"/>
  <c r="E264" i="3"/>
  <c r="E21" i="3"/>
  <c r="E235" i="3"/>
  <c r="E522" i="3"/>
  <c r="E251" i="3"/>
  <c r="E140" i="3"/>
  <c r="E173" i="3"/>
  <c r="E405" i="3"/>
  <c r="E408" i="3"/>
  <c r="E497" i="3"/>
  <c r="E452" i="3"/>
  <c r="E104" i="3"/>
  <c r="E115" i="3"/>
  <c r="E243" i="3"/>
  <c r="E78" i="3"/>
  <c r="E220" i="3"/>
  <c r="E342" i="3"/>
  <c r="E49"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39"/>
  <c r="U10" i="39" s="1"/>
  <c r="J10" i="39"/>
  <c r="W10" i="39" s="1"/>
  <c r="D26" i="43"/>
  <c r="C25" i="43" s="1"/>
  <c r="C7" i="43"/>
  <c r="C5" i="43" s="1"/>
  <c r="D10" i="52"/>
  <c r="D125" i="9"/>
  <c r="D11" i="52" s="1"/>
  <c r="B7" i="74"/>
  <c r="C7" i="74" s="1"/>
  <c r="F67" i="39"/>
  <c r="H7" i="37"/>
  <c r="AB7" i="37" s="1"/>
  <c r="T42" i="37" s="1"/>
  <c r="G42" i="37" s="1"/>
  <c r="AA10" i="39"/>
  <c r="H7" i="33"/>
  <c r="J7" i="33"/>
  <c r="D65" i="40"/>
  <c r="E63" i="40"/>
  <c r="F48" i="35"/>
  <c r="AC7" i="37"/>
  <c r="W7" i="37"/>
  <c r="F7" i="33"/>
  <c r="E58" i="21"/>
  <c r="F7" i="37"/>
  <c r="M17" i="67"/>
  <c r="M17" i="15"/>
  <c r="P28" i="43"/>
  <c r="B66" i="40" s="1"/>
  <c r="P25" i="43"/>
  <c r="P29" i="43"/>
  <c r="P27" i="43"/>
  <c r="B70" i="39" s="1"/>
  <c r="M11" i="67"/>
  <c r="J10" i="67" s="1"/>
  <c r="F11" i="15"/>
  <c r="M11" i="15"/>
  <c r="J10" i="15" s="1"/>
  <c r="F11" i="67"/>
  <c r="F1" i="15"/>
  <c r="Q52" i="15"/>
  <c r="F1" i="67"/>
  <c r="Q52" i="67"/>
  <c r="Q60" i="15"/>
  <c r="Q73" i="15"/>
  <c r="Q74" i="15"/>
  <c r="Q61" i="15"/>
  <c r="AE11" i="1"/>
  <c r="AE9" i="1"/>
  <c r="F27" i="68"/>
  <c r="AE7" i="1"/>
  <c r="AE8" i="1"/>
  <c r="AE12" i="1"/>
  <c r="AE10" i="1"/>
  <c r="AE6" i="1"/>
  <c r="G1" i="73"/>
  <c r="C16" i="67"/>
  <c r="F41" i="67"/>
  <c r="AC7" i="36" l="1"/>
  <c r="V36" i="36" s="1"/>
  <c r="I36" i="36" s="1"/>
  <c r="U7" i="36"/>
  <c r="S7" i="36"/>
  <c r="F45" i="69"/>
  <c r="C29" i="69"/>
  <c r="D27" i="69" s="1"/>
  <c r="E428" i="3"/>
  <c r="E420" i="3"/>
  <c r="E469" i="3"/>
  <c r="E287" i="3"/>
  <c r="E332" i="3"/>
  <c r="E300" i="3"/>
  <c r="E435" i="3"/>
  <c r="C28" i="43"/>
  <c r="T13" i="43" s="1"/>
  <c r="V13" i="43" s="1"/>
  <c r="H6" i="3"/>
  <c r="E360" i="3"/>
  <c r="E534" i="3"/>
  <c r="E102" i="3"/>
  <c r="E129" i="3"/>
  <c r="E144" i="3"/>
  <c r="E76" i="3"/>
  <c r="I3" i="6"/>
  <c r="E22" i="3"/>
  <c r="E34" i="3"/>
  <c r="E75" i="3"/>
  <c r="E381" i="3"/>
  <c r="E103" i="3"/>
  <c r="E192" i="3"/>
  <c r="E541" i="3"/>
  <c r="E3" i="6"/>
  <c r="C49" i="67"/>
  <c r="J5" i="67"/>
  <c r="J24" i="67" s="1"/>
  <c r="Q73" i="67"/>
  <c r="J5" i="15"/>
  <c r="J24" i="15" s="1"/>
  <c r="F10" i="40"/>
  <c r="S10" i="40" s="1"/>
  <c r="H10" i="40"/>
  <c r="AB10" i="40" s="1"/>
  <c r="J10" i="40"/>
  <c r="AC10" i="40" s="1"/>
  <c r="C49" i="15"/>
  <c r="Q74" i="67"/>
  <c r="T40" i="71"/>
  <c r="D40" i="71"/>
  <c r="C26" i="71"/>
  <c r="D26" i="71" s="1"/>
  <c r="D27" i="71"/>
  <c r="D36" i="71"/>
  <c r="T36" i="71"/>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18" i="3"/>
  <c r="AL6" i="3"/>
  <c r="E198" i="3"/>
  <c r="E309" i="3"/>
  <c r="E63" i="3"/>
  <c r="E233" i="3"/>
  <c r="E67" i="3"/>
  <c r="E310" i="3"/>
  <c r="E267" i="3"/>
  <c r="E64" i="3"/>
  <c r="E409" i="3"/>
  <c r="E389" i="3"/>
  <c r="E241" i="3"/>
  <c r="E95" i="3"/>
  <c r="E417" i="3"/>
  <c r="E554" i="3"/>
  <c r="E449" i="3"/>
  <c r="E442" i="3"/>
  <c r="E575" i="3"/>
  <c r="E536" i="3"/>
  <c r="T32" i="71"/>
  <c r="D32" i="71"/>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AB10" i="39"/>
  <c r="AA10" i="40"/>
  <c r="AC10" i="39"/>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6" i="37"/>
  <c r="H46" i="37" s="1"/>
  <c r="G47" i="37"/>
  <c r="H47" i="37" s="1"/>
  <c r="I46" i="37"/>
  <c r="J46" i="37" s="1"/>
  <c r="G48" i="35"/>
  <c r="U7" i="33"/>
  <c r="AB7" i="33"/>
  <c r="T48" i="33" s="1"/>
  <c r="G48" i="33" s="1"/>
  <c r="C53" i="67"/>
  <c r="C10" i="67"/>
  <c r="C5" i="67" s="1"/>
  <c r="C38" i="67" s="1"/>
  <c r="C53" i="15"/>
  <c r="C10" i="15"/>
  <c r="C5" i="15" s="1"/>
  <c r="C38" i="15" s="1"/>
  <c r="M27" i="15"/>
  <c r="F41" i="15"/>
  <c r="M27" i="67"/>
  <c r="U10" i="40" l="1"/>
  <c r="C40" i="43"/>
  <c r="E40" i="43" s="1"/>
  <c r="T3" i="43"/>
  <c r="V3" i="43" s="1"/>
  <c r="T9" i="43"/>
  <c r="V9" i="43" s="1"/>
  <c r="T15" i="43"/>
  <c r="V15" i="43" s="1"/>
  <c r="T10" i="43"/>
  <c r="V10" i="43" s="1"/>
  <c r="C38" i="43"/>
  <c r="E38" i="43" s="1"/>
  <c r="C33" i="43"/>
  <c r="C34" i="43" s="1"/>
  <c r="E34" i="43" s="1"/>
  <c r="T12" i="43"/>
  <c r="V12" i="43" s="1"/>
  <c r="C42" i="43"/>
  <c r="E42" i="43" s="1"/>
  <c r="T2" i="43"/>
  <c r="V2" i="43" s="1"/>
  <c r="T7" i="43"/>
  <c r="V7" i="43" s="1"/>
  <c r="C41" i="43"/>
  <c r="G41" i="43" s="1"/>
  <c r="I41" i="43" s="1"/>
  <c r="T5" i="43"/>
  <c r="V5" i="43" s="1"/>
  <c r="T4" i="43"/>
  <c r="V4" i="43" s="1"/>
  <c r="T14" i="43"/>
  <c r="V14" i="43" s="1"/>
  <c r="T11" i="43"/>
  <c r="V11" i="43" s="1"/>
  <c r="C37" i="43"/>
  <c r="G37" i="43" s="1"/>
  <c r="I37" i="43" s="1"/>
  <c r="T6" i="43"/>
  <c r="V6" i="43" s="1"/>
  <c r="T8" i="43"/>
  <c r="V8" i="43" s="1"/>
  <c r="T16" i="43"/>
  <c r="V16" i="43" s="1"/>
  <c r="F25" i="12"/>
  <c r="C26" i="12" s="1"/>
  <c r="D25" i="12" s="1"/>
  <c r="W10" i="40"/>
  <c r="C48" i="67"/>
  <c r="C60" i="67" s="1"/>
  <c r="C48" i="15"/>
  <c r="C66" i="15" s="1"/>
  <c r="F22" i="68"/>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E61" i="40"/>
  <c r="H26" i="6"/>
  <c r="P14" i="1"/>
  <c r="P16" i="1" s="1"/>
  <c r="C11" i="12" s="1"/>
  <c r="N16" i="1"/>
  <c r="L16" i="1"/>
  <c r="G42" i="43"/>
  <c r="I42" i="43" s="1"/>
  <c r="H67" i="39"/>
  <c r="G69" i="39"/>
  <c r="E37" i="43"/>
  <c r="G38" i="43"/>
  <c r="I38" i="43" s="1"/>
  <c r="E39" i="43"/>
  <c r="G39" i="43"/>
  <c r="I39" i="43" s="1"/>
  <c r="E54" i="34"/>
  <c r="F54" i="34" s="1"/>
  <c r="E53" i="34"/>
  <c r="F53" i="34" s="1"/>
  <c r="R49" i="33"/>
  <c r="E48" i="33"/>
  <c r="I53" i="33" s="1"/>
  <c r="J53" i="33" s="1"/>
  <c r="I52" i="33"/>
  <c r="J52" i="33" s="1"/>
  <c r="E40" i="36"/>
  <c r="F40" i="36" s="1"/>
  <c r="I54" i="34"/>
  <c r="J54" i="34" s="1"/>
  <c r="G52" i="33"/>
  <c r="H52" i="33" s="1"/>
  <c r="G53" i="33"/>
  <c r="H53" i="33" s="1"/>
  <c r="H48" i="35"/>
  <c r="C49" i="34"/>
  <c r="C50" i="34"/>
  <c r="I41" i="36"/>
  <c r="J41" i="36" s="1"/>
  <c r="R43" i="37"/>
  <c r="E42" i="37"/>
  <c r="G63" i="40"/>
  <c r="F65" i="40"/>
  <c r="G58" i="21"/>
  <c r="D10" i="69"/>
  <c r="C34" i="69"/>
  <c r="D10" i="68"/>
  <c r="C17" i="67"/>
  <c r="C14" i="67"/>
  <c r="C17" i="15"/>
  <c r="C6" i="69" l="1"/>
  <c r="C7" i="69" s="1"/>
  <c r="F41" i="68"/>
  <c r="G40" i="43"/>
  <c r="I40" i="43" s="1"/>
  <c r="C31" i="43" s="1"/>
  <c r="E41" i="43"/>
  <c r="C30" i="43" s="1"/>
  <c r="B2" i="43" s="1"/>
  <c r="B3" i="43" s="1"/>
  <c r="C44" i="11"/>
  <c r="D41" i="11" s="1"/>
  <c r="D30" i="6"/>
  <c r="C66" i="67"/>
  <c r="C26" i="11"/>
  <c r="D22" i="11" s="1"/>
  <c r="C26" i="68"/>
  <c r="D22" i="68" s="1"/>
  <c r="C60" i="15"/>
  <c r="C44" i="68"/>
  <c r="D41" i="68"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H27" i="36" s="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U27" i="36" l="1"/>
  <c r="AB27" i="36"/>
  <c r="T36" i="36" s="1"/>
  <c r="C25" i="68"/>
  <c r="C22" i="68" s="1"/>
  <c r="C31" i="68" s="1"/>
  <c r="C27" i="12"/>
  <c r="C25" i="12" s="1"/>
  <c r="C32" i="12" s="1"/>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G36" i="36" l="1"/>
  <c r="G41" i="36" s="1"/>
  <c r="H41" i="36" s="1"/>
  <c r="R37" i="36"/>
  <c r="C52" i="68"/>
  <c r="B2" i="68" s="1"/>
  <c r="B3" i="68" s="1"/>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35" i="9"/>
  <c r="D34" i="9"/>
  <c r="D2" i="21"/>
  <c r="G40" i="36" l="1"/>
  <c r="H40" i="36" s="1"/>
  <c r="E41" i="36"/>
  <c r="F41" i="36" s="1"/>
  <c r="C36" i="36"/>
  <c r="C37" i="36"/>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D2" i="35"/>
  <c r="L51" i="15"/>
  <c r="D2" i="36"/>
  <c r="D102" i="9" l="1"/>
  <c r="D21" i="9"/>
  <c r="C8" i="71"/>
  <c r="D9" i="71"/>
  <c r="Q57" i="67"/>
  <c r="Q62" i="67" s="1"/>
  <c r="Q66" i="67"/>
  <c r="Q75" i="67" s="1"/>
  <c r="B3" i="67"/>
  <c r="L57" i="15"/>
  <c r="L60" i="15" s="1"/>
  <c r="Q57" i="15" s="1"/>
  <c r="Q67" i="15"/>
  <c r="B2" i="36"/>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D20" i="9"/>
  <c r="AO7" i="1"/>
  <c r="AO12" i="1"/>
  <c r="AO6" i="1"/>
  <c r="AO10" i="1"/>
  <c r="AO11" i="1"/>
  <c r="AO8" i="1"/>
  <c r="AO9" i="1"/>
  <c r="C21" i="9" l="1"/>
  <c r="C102" i="9"/>
  <c r="D22" i="9"/>
  <c r="G19" i="9"/>
  <c r="G21" i="9" s="1"/>
  <c r="B3" i="36"/>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R24" i="31"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S24" i="31"/>
  <c r="R46" i="31"/>
  <c r="S46" i="31" s="1"/>
  <c r="R30" i="31"/>
  <c r="S30" i="31" s="1"/>
  <c r="R37" i="31"/>
  <c r="S37" i="31" s="1"/>
  <c r="R44" i="31"/>
  <c r="S44" i="31" s="1"/>
  <c r="R28" i="31"/>
  <c r="S28" i="31" s="1"/>
  <c r="R35" i="31"/>
  <c r="S35" i="31" s="1"/>
  <c r="R42" i="31"/>
  <c r="S42" i="31" s="1"/>
  <c r="R26" i="31"/>
  <c r="S26" i="31" s="1"/>
  <c r="R33" i="31"/>
  <c r="S33" i="31" s="1"/>
  <c r="R40" i="31"/>
  <c r="S40" i="31" s="1"/>
  <c r="R47" i="31"/>
  <c r="S47" i="31" s="1"/>
  <c r="R31" i="31"/>
  <c r="S31" i="31" s="1"/>
  <c r="R38" i="31"/>
  <c r="S38" i="31" s="1"/>
  <c r="R45" i="31"/>
  <c r="S45" i="31" s="1"/>
  <c r="R29" i="31"/>
  <c r="S29" i="31" s="1"/>
  <c r="R36" i="31"/>
  <c r="S36" i="31" s="1"/>
  <c r="R43" i="31"/>
  <c r="S43" i="31" s="1"/>
  <c r="R27" i="31"/>
  <c r="S27" i="31" s="1"/>
  <c r="R34" i="31"/>
  <c r="S34" i="31" s="1"/>
  <c r="R41" i="31"/>
  <c r="S41" i="31" s="1"/>
  <c r="R25" i="31"/>
  <c r="S25" i="31" s="1"/>
  <c r="R32" i="31"/>
  <c r="S32" i="31" s="1"/>
  <c r="R39" i="31"/>
  <c r="S39" i="31" s="1"/>
  <c r="D6" i="71"/>
  <c r="C5" i="71"/>
  <c r="D5" i="71" s="1"/>
  <c r="M24" i="43" s="1"/>
  <c r="C42" i="40"/>
  <c r="C43" i="40"/>
  <c r="E47" i="40"/>
  <c r="F47" i="40" s="1"/>
  <c r="E46" i="40"/>
  <c r="F46" i="40" s="1"/>
  <c r="I47" i="40"/>
  <c r="J47" i="40" s="1"/>
  <c r="S22" i="31" l="1"/>
  <c r="D14" i="74" s="1"/>
  <c r="G14" i="74"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E14" i="74" s="1"/>
  <c r="B20" i="31"/>
  <c r="B21" i="31" s="1"/>
  <c r="F14" i="74"/>
  <c r="B5" i="74"/>
  <c r="D5" i="74" s="1"/>
  <c r="B6" i="74" l="1"/>
  <c r="D6" i="74" s="1"/>
  <c r="I118" i="9" l="1"/>
  <c r="G118" i="9"/>
  <c r="I4" i="52" l="1"/>
  <c r="H118" i="9"/>
  <c r="G4" i="52"/>
  <c r="B52" i="72" s="1"/>
  <c r="F118" i="9"/>
  <c r="H102" i="9"/>
  <c r="D7" i="53" s="1"/>
  <c r="B21" i="72" s="1"/>
  <c r="C105" i="9"/>
  <c r="E118" i="9"/>
  <c r="C5" i="74" l="1"/>
  <c r="F4" i="52"/>
  <c r="B51" i="72" s="1"/>
  <c r="F119" i="9"/>
  <c r="F5" i="52" s="1"/>
  <c r="B53" i="72" s="1"/>
  <c r="H4" i="52"/>
  <c r="H119" i="9"/>
  <c r="H5" i="52" s="1"/>
  <c r="H101" i="9"/>
  <c r="C104" i="9"/>
  <c r="E4" i="52"/>
  <c r="B48" i="72" s="1"/>
  <c r="D118" i="9"/>
  <c r="D4" i="52" l="1"/>
  <c r="B47" i="72" s="1"/>
  <c r="D119" i="9"/>
  <c r="D5" i="52" s="1"/>
  <c r="B49" i="72" s="1"/>
  <c r="D45" i="9"/>
  <c r="H107" i="9"/>
  <c r="M48" i="9"/>
  <c r="D5" i="53"/>
  <c r="H108" i="9" l="1"/>
  <c r="M49" i="9"/>
  <c r="D13" i="53"/>
  <c r="D122" i="9"/>
  <c r="D53" i="9"/>
  <c r="D55" i="9"/>
  <c r="M53" i="9" s="1"/>
  <c r="C78" i="9"/>
  <c r="C73" i="9" s="1"/>
  <c r="D52" i="9"/>
  <c r="C85" i="9"/>
  <c r="C72" i="9"/>
  <c r="C64" i="9"/>
  <c r="C63" i="9" s="1"/>
  <c r="C67" i="9" s="1"/>
  <c r="C93" i="9"/>
  <c r="C86" i="9" s="1"/>
  <c r="B20" i="72"/>
  <c r="D6" i="53"/>
  <c r="B22" i="72" s="1"/>
  <c r="D14" i="53" l="1"/>
  <c r="B32" i="72" s="1"/>
  <c r="B30" i="72"/>
  <c r="C79" i="9"/>
  <c r="C80" i="9" s="1"/>
  <c r="E80" i="9" s="1"/>
  <c r="E81" i="9" s="1"/>
  <c r="L68" i="9"/>
  <c r="M68" i="9" s="1"/>
  <c r="L66" i="9"/>
  <c r="M66" i="9" s="1"/>
  <c r="L65" i="9"/>
  <c r="M65" i="9" s="1"/>
  <c r="L67" i="9"/>
  <c r="M67" i="9" s="1"/>
  <c r="L64" i="9"/>
  <c r="M64" i="9" s="1"/>
  <c r="L63" i="9"/>
  <c r="M63" i="9" s="1"/>
  <c r="D123" i="9"/>
  <c r="D9" i="52" s="1"/>
  <c r="D8" i="52"/>
  <c r="D59" i="9"/>
  <c r="M55" i="9" s="1"/>
  <c r="C68" i="9"/>
  <c r="D54" i="9" s="1"/>
  <c r="C95" i="9"/>
  <c r="C96" i="9" s="1"/>
  <c r="E96" i="9" s="1"/>
  <c r="E97" i="9" s="1"/>
  <c r="D15" i="53"/>
  <c r="B31" i="72" s="1"/>
  <c r="C6" i="74"/>
  <c r="C81" i="9" l="1"/>
  <c r="C97" i="9"/>
  <c r="D58" i="9" s="1"/>
  <c r="D56" i="9" s="1"/>
  <c r="M54" i="9" s="1"/>
  <c r="N57" i="9" s="1"/>
  <c r="P57" i="9" s="1"/>
  <c r="M69" i="9"/>
  <c r="N69"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<sst xmlns="http://schemas.openxmlformats.org/spreadsheetml/2006/main" count="8034" uniqueCount="3496">
  <si>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</si>
  <si>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</si>
  <si>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</si>
  <si>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</si>
  <si>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</si>
  <si>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</si>
  <si>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</si>
  <si>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</si>
  <si>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</si>
  <si>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</si>
  <si>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</si>
  <si>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</si>
  <si>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</si>
  <si>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</si>
  <si>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</si>
  <si>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</si>
  <si>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</si>
  <si>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</si>
  <si>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</si>
  <si>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</si>
  <si>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</si>
  <si>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</si>
  <si>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</si>
  <si>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</si>
  <si>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</si>
  <si>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</si>
  <si>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</si>
  <si>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</si>
  <si>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</si>
  <si>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</si>
  <si>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</si>
  <si>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</si>
  <si>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</si>
  <si>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</si>
  <si>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</si>
  <si>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</si>
  <si>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</si>
  <si>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</si>
  <si>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</si>
  <si>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</si>
  <si>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</si>
  <si>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</si>
  <si>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</si>
  <si>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</si>
  <si>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</si>
  <si>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</si>
  <si>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</si>
  <si>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</si>
  <si>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</si>
  <si>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</si>
  <si>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</si>
  <si>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</si>
  <si>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</si>
  <si>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</si>
  <si>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</si>
  <si>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</si>
  <si>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</si>
  <si>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</si>
  <si>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</si>
  <si>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</si>
  <si>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</si>
  <si>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</si>
  <si>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</si>
  <si>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</si>
  <si>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</si>
  <si>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</si>
  <si>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</si>
  <si>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</si>
  <si>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</si>
  <si>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</si>
  <si>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</si>
  <si>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</si>
  <si>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</si>
  <si>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</si>
  <si>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</si>
  <si>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</si>
  <si>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</si>
  <si>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</si>
  <si>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</si>
  <si>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</si>
  <si>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</si>
  <si>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</si>
  <si>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</si>
  <si>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</si>
  <si>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</si>
  <si>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</si>
  <si>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</si>
  <si>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</si>
  <si>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</si>
  <si>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</si>
  <si>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</si>
  <si>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</si>
  <si>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</si>
  <si>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</si>
  <si>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</si>
  <si>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</si>
  <si>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</si>
  <si>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</si>
  <si>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</si>
  <si>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</si>
  <si>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</si>
  <si>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</si>
  <si>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</si>
  <si>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</si>
  <si>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</si>
  <si>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</si>
  <si>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</si>
  <si>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</si>
  <si>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</si>
  <si>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</si>
  <si>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</si>
  <si>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</si>
  <si>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</si>
  <si>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</si>
  <si>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</si>
  <si>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</si>
  <si>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</si>
  <si>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</si>
  <si>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</si>
  <si>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</si>
  <si>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</si>
  <si>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</si>
  <si>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</si>
  <si>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</si>
  <si>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</si>
  <si>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</si>
  <si>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</si>
  <si>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</si>
  <si>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</si>
  <si>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</si>
  <si>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</si>
  <si>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</si>
  <si>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</si>
  <si>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</si>
  <si>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</si>
  <si>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</si>
  <si>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</si>
  <si>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</si>
  <si>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</si>
  <si>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</si>
  <si>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</si>
  <si>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</si>
  <si>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</si>
  <si>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</si>
  <si>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</si>
  <si>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</si>
  <si>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</si>
  <si>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</si>
  <si>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</si>
  <si>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</si>
  <si>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</si>
  <si>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</si>
  <si>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</si>
  <si>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</si>
  <si>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</si>
  <si>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</si>
  <si>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</si>
  <si>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</si>
  <si>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</si>
  <si>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</si>
  <si>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</si>
  <si>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</si>
  <si>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</si>
  <si>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</si>
  <si>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</si>
  <si>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</si>
  <si>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</si>
  <si>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</si>
  <si>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</si>
  <si>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</si>
  <si>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</si>
  <si>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</si>
  <si>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</si>
  <si>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</si>
  <si>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</si>
  <si>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</si>
  <si>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</si>
  <si>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</si>
  <si>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</si>
  <si>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</si>
  <si>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</si>
  <si>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</si>
  <si>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</si>
  <si>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</si>
  <si>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</si>
  <si>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</si>
  <si>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</si>
  <si>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</si>
  <si>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</si>
  <si>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</si>
  <si>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</si>
  <si>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</si>
  <si>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</si>
  <si>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</si>
  <si>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</si>
  <si>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</si>
  <si>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</si>
  <si>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</si>
  <si>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</si>
  <si>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</si>
  <si>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</si>
  <si>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</si>
  <si>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</si>
  <si>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</si>
  <si>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</si>
  <si>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</si>
  <si>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</si>
  <si>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</si>
  <si>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</si>
  <si>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</si>
  <si>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</si>
  <si>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</si>
  <si>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</si>
  <si>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</si>
  <si>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</si>
  <si>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</si>
  <si>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</si>
  <si>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</si>
  <si>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</si>
  <si>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</si>
  <si>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</si>
  <si>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</si>
  <si>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</si>
  <si>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</si>
  <si>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</si>
  <si>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</si>
  <si>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</si>
  <si>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</si>
  <si>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</si>
  <si>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</si>
  <si>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</si>
  <si>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</si>
  <si>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</si>
  <si>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</si>
  <si>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</si>
  <si>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</si>
  <si>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</si>
  <si>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</si>
  <si>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</si>
  <si>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</si>
  <si>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</si>
  <si>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</si>
  <si>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</si>
  <si>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</si>
  <si>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</si>
  <si>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</si>
  <si>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</si>
  <si>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</si>
  <si>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</si>
  <si>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</si>
  <si>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</si>
  <si>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</si>
  <si>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</si>
  <si>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</si>
  <si>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</si>
  <si>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</si>
  <si>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</si>
  <si>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</si>
  <si>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</si>
  <si>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</si>
  <si>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</si>
  <si>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</si>
  <si>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</si>
  <si>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</si>
  <si>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</si>
  <si>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</si>
  <si>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</si>
  <si>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</si>
  <si>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</si>
  <si>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</si>
  <si>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</si>
  <si>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</si>
  <si>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</si>
  <si>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</si>
  <si>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</si>
  <si>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</si>
  <si>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</si>
  <si>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</si>
  <si>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</si>
  <si>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</si>
  <si>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</si>
  <si>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</si>
  <si>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</si>
  <si>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</si>
  <si>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</si>
  <si>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</si>
  <si>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</si>
  <si>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</si>
  <si>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</si>
  <si>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</si>
  <si>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</si>
  <si>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</si>
  <si>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</si>
  <si>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</si>
  <si>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</si>
  <si>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</si>
  <si>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</si>
  <si>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</si>
  <si>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</si>
  <si>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</si>
  <si>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</si>
  <si>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</si>
  <si>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</si>
  <si>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</si>
  <si>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</si>
  <si>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</si>
  <si>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</si>
  <si>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</si>
  <si>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</si>
  <si>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</si>
  <si>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</si>
  <si>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</si>
  <si>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</si>
  <si>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</si>
  <si>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</si>
  <si>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</si>
  <si>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</si>
  <si>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</si>
  <si>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</si>
  <si>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</si>
  <si>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</si>
  <si>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</si>
  <si>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</si>
  <si>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</si>
  <si>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</si>
  <si>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</si>
  <si>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</si>
  <si>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</si>
  <si>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</si>
  <si>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</si>
  <si>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</si>
  <si>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</si>
  <si>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</si>
  <si>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</si>
  <si>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</si>
  <si>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</si>
  <si>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</si>
  <si>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</si>
  <si>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</si>
  <si>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</si>
  <si>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</si>
  <si>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</si>
  <si>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</si>
  <si>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</si>
  <si>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</si>
  <si>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</si>
  <si>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</si>
  <si>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</si>
  <si>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</si>
  <si>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</si>
  <si>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</si>
  <si>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</si>
  <si>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</si>
  <si>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</si>
  <si>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</si>
  <si>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</si>
  <si>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</si>
  <si>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</si>
  <si>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</si>
  <si>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</si>
  <si>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</si>
  <si>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</si>
  <si>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</si>
  <si>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</si>
  <si>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</si>
  <si>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</si>
  <si>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</si>
  <si>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</si>
  <si>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</si>
  <si>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</si>
  <si>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</si>
  <si>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</si>
  <si>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</si>
  <si>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</si>
  <si>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</si>
  <si>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</si>
  <si>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</si>
  <si>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</si>
  <si>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</si>
  <si>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</si>
  <si>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</si>
  <si>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</si>
  <si>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</si>
  <si>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</si>
  <si>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</si>
  <si>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</si>
  <si>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</si>
  <si>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</si>
  <si>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</si>
  <si>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</si>
  <si>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</si>
  <si>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</si>
  <si>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</si>
  <si>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</si>
  <si>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</si>
  <si>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</si>
  <si>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</si>
  <si>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</si>
  <si>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</si>
  <si>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</si>
  <si>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</si>
  <si>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</si>
  <si>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</si>
  <si>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</si>
  <si>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</si>
  <si>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</si>
  <si>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</si>
  <si>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</si>
  <si>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</si>
  <si>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</si>
  <si>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</si>
  <si>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</si>
  <si>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</si>
  <si>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</si>
  <si>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</si>
  <si>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</si>
  <si>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</si>
  <si>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</si>
  <si>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</si>
  <si>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</si>
  <si>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</si>
  <si>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</si>
  <si>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</si>
  <si>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</si>
  <si>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</si>
  <si>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</si>
  <si>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</si>
  <si>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</si>
  <si>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</si>
  <si>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</si>
  <si>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</si>
  <si>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</si>
  <si>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</si>
  <si>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</si>
  <si>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</si>
  <si>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</si>
  <si>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</si>
  <si>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</si>
  <si>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</si>
  <si>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</si>
  <si>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</si>
  <si>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</si>
  <si>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</si>
  <si>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</si>
  <si>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</si>
  <si>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</si>
  <si>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</si>
  <si>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</si>
  <si>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</si>
  <si>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</si>
  <si>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</si>
  <si>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</si>
  <si>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</si>
  <si>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</si>
  <si>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</si>
  <si>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</si>
  <si>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</si>
  <si>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</si>
  <si>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</si>
  <si>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</si>
  <si>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</si>
  <si>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</si>
  <si>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</si>
  <si>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</si>
  <si>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</si>
  <si>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</si>
  <si>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</si>
  <si>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</si>
  <si>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</si>
  <si>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</si>
  <si>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</si>
  <si>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</si>
  <si>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</si>
  <si>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</si>
  <si>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</si>
  <si>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</si>
  <si>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</si>
  <si>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</si>
  <si>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</si>
  <si>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</si>
  <si>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</si>
  <si>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</si>
  <si>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</si>
  <si>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</si>
  <si>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</si>
  <si>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</si>
  <si>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</si>
  <si>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</si>
  <si>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</si>
  <si>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</si>
  <si>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</si>
  <si>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</si>
  <si>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</si>
  <si>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</si>
  <si>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</si>
  <si>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</si>
  <si>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</si>
  <si>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</si>
  <si>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</si>
  <si>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</si>
  <si>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</si>
  <si>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</si>
  <si>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</si>
  <si>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</si>
  <si>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</si>
  <si>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</si>
  <si>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</si>
  <si>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</si>
  <si>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</si>
  <si>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</si>
  <si>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</si>
  <si>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</si>
  <si>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</si>
  <si>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</si>
  <si>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</si>
  <si>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</si>
  <si>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</si>
  <si>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</si>
  <si>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</si>
  <si>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</si>
  <si>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</si>
  <si>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</si>
  <si>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</si>
  <si>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</si>
  <si>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</si>
  <si>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</si>
  <si>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</si>
  <si>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</si>
  <si>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</si>
  <si>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</si>
  <si>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</si>
  <si>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</si>
  <si>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</si>
  <si>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</si>
  <si>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</si>
  <si>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</si>
  <si>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</si>
  <si>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</si>
  <si>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</si>
  <si>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</si>
  <si>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</si>
  <si>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</si>
  <si>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</si>
  <si>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</si>
  <si>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</si>
  <si>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</si>
  <si>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</si>
  <si>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</si>
  <si>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</si>
  <si>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</si>
  <si>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</si>
  <si>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</si>
  <si>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</si>
  <si>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</si>
  <si>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</si>
  <si>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</si>
  <si>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</si>
  <si>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</si>
  <si>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</si>
  <si>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</si>
  <si>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</si>
  <si>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</si>
  <si>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</si>
  <si>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</si>
  <si>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</si>
  <si>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</si>
  <si>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</si>
  <si>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</si>
  <si>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</si>
  <si>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</si>
  <si>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</si>
  <si>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</si>
  <si>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</si>
  <si>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</si>
  <si>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</si>
  <si>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</si>
  <si>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</si>
  <si>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</si>
  <si>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</si>
  <si>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</si>
  <si>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</si>
  <si>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</si>
  <si>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</si>
  <si>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</si>
  <si>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</si>
  <si>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</si>
  <si>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</si>
  <si>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</si>
  <si>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</si>
  <si>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</si>
  <si>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</si>
  <si>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</si>
  <si>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</si>
  <si>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</si>
  <si>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</si>
  <si>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</si>
  <si>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</si>
  <si>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</si>
  <si>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</si>
  <si>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</si>
  <si>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</si>
  <si>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</si>
  <si>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</si>
  <si>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</si>
  <si>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</si>
  <si>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</si>
  <si>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</si>
  <si>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</si>
  <si>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</si>
  <si>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</si>
  <si>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</si>
  <si>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</si>
  <si>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</si>
  <si>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</si>
  <si>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</si>
  <si>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</si>
  <si>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</si>
  <si>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</si>
  <si>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</si>
  <si>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</si>
  <si>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</si>
  <si>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</si>
  <si>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</si>
  <si>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</si>
  <si>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</si>
  <si>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</si>
  <si>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</si>
  <si>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</si>
  <si>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</si>
  <si>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</si>
  <si>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</si>
  <si>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</si>
  <si>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</si>
  <si>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</si>
  <si>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</si>
  <si>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</si>
  <si>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</si>
  <si>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</si>
  <si>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</si>
  <si>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</si>
  <si>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</si>
  <si>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</si>
  <si>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</si>
  <si>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</si>
  <si>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</si>
  <si>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</si>
  <si>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</si>
  <si>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</si>
  <si>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</si>
  <si>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</si>
  <si>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</si>
  <si>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</si>
  <si>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</si>
  <si>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</si>
  <si>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</si>
  <si>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</si>
  <si>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</si>
  <si>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</si>
  <si>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</si>
  <si>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</si>
  <si>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</si>
  <si>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</si>
  <si>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</si>
  <si>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</si>
  <si>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</si>
  <si>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</si>
  <si>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</si>
  <si>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</si>
  <si>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</si>
  <si>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</si>
  <si>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</si>
  <si>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</si>
  <si>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</si>
  <si>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</si>
  <si>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</si>
  <si>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</si>
  <si>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</si>
  <si>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</si>
  <si>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</si>
  <si>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</si>
  <si>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</si>
  <si>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</si>
  <si>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</si>
  <si>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</si>
  <si>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</si>
  <si>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</si>
  <si>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</si>
  <si>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</si>
  <si>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</si>
  <si>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</si>
  <si>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</si>
  <si>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</si>
  <si>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</si>
  <si>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</si>
  <si>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</si>
  <si>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</si>
  <si>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</si>
  <si>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</si>
  <si>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</si>
  <si>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</si>
  <si>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</si>
  <si>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</si>
  <si>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</si>
  <si>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</si>
  <si>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</si>
  <si>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</si>
  <si>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</si>
  <si>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</si>
  <si>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</si>
  <si>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</si>
  <si>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</si>
  <si>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</si>
  <si>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</si>
  <si>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</si>
  <si>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</si>
  <si>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</si>
  <si>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</si>
  <si>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</si>
  <si>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</si>
  <si>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</si>
  <si>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</si>
  <si>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</si>
  <si>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</si>
  <si>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</si>
  <si>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</si>
  <si>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</si>
  <si>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</si>
  <si>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</si>
  <si>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</si>
  <si>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</si>
  <si>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</si>
  <si>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</si>
  <si>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</si>
  <si>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</si>
  <si>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</si>
  <si>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</si>
  <si>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</si>
  <si>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</si>
  <si>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</si>
  <si>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</si>
  <si>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</si>
  <si>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</si>
  <si>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</si>
  <si>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</si>
  <si>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</si>
  <si>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</si>
  <si>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</si>
  <si>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</si>
  <si>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</si>
  <si>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</si>
  <si>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</si>
  <si>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</si>
  <si>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</si>
  <si>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</si>
  <si>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</si>
  <si>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</si>
  <si>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</si>
  <si>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</si>
  <si>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</si>
  <si>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</si>
  <si>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</si>
  <si>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</si>
  <si>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</si>
  <si>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</si>
  <si>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</si>
  <si>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</si>
  <si>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</si>
  <si>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</si>
  <si>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</si>
  <si>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</si>
  <si>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</si>
  <si>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</si>
  <si>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</si>
  <si>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</si>
  <si>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</si>
  <si>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</si>
  <si>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</si>
  <si>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</si>
  <si>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</si>
  <si>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</si>
  <si>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</si>
  <si>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</si>
  <si>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</si>
  <si>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</si>
  <si>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</si>
  <si>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</si>
  <si>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</si>
  <si>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</si>
  <si>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</si>
  <si>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</si>
  <si>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</si>
  <si>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</si>
  <si>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</si>
  <si>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</si>
  <si>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</si>
  <si>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</si>
  <si>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</si>
  <si>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</si>
  <si>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</si>
  <si>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</si>
  <si>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</si>
  <si>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</si>
  <si>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</si>
  <si>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</si>
  <si>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</si>
  <si>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</si>
  <si>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</si>
  <si>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</si>
  <si>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</si>
  <si>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</si>
  <si>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</si>
  <si>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</si>
  <si>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</si>
  <si>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</si>
  <si>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</si>
  <si>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</si>
  <si>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</si>
  <si>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</si>
  <si>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</si>
  <si>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</si>
  <si>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</si>
  <si>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</si>
  <si>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</si>
  <si>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</si>
  <si>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</si>
  <si>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</si>
  <si>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</si>
  <si>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</si>
  <si>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</si>
  <si>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</si>
  <si>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</si>
  <si>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</si>
  <si>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</si>
  <si>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</si>
  <si>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</si>
  <si>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</si>
  <si>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</si>
  <si>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</si>
  <si>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</si>
  <si>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</si>
  <si>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</si>
  <si>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</si>
  <si>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</si>
  <si>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</si>
  <si>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</si>
  <si>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</si>
  <si>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</si>
  <si>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</si>
  <si>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</si>
  <si>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</si>
  <si>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</si>
  <si>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</si>
  <si>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</si>
  <si>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</si>
  <si>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</si>
  <si>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</si>
  <si>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</si>
  <si>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</si>
  <si>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</si>
  <si>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</si>
  <si>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</si>
  <si>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</si>
  <si>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</si>
  <si>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</si>
  <si>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</si>
  <si>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</si>
  <si>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</si>
  <si>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</si>
  <si>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</si>
  <si>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</si>
  <si>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</si>
  <si>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</si>
  <si>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</si>
  <si>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</si>
  <si>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</si>
  <si>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</si>
  <si>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</si>
  <si>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</si>
  <si>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</si>
  <si>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</si>
  <si>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</si>
  <si>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</si>
  <si>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</si>
  <si>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</si>
  <si>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</si>
  <si>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</si>
  <si>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</si>
  <si>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</si>
  <si>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</si>
  <si>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</si>
  <si>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</si>
  <si>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</si>
  <si>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</si>
  <si>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</si>
  <si>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</si>
  <si>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</si>
  <si>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</si>
  <si>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</si>
  <si>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</si>
  <si>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</si>
  <si>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</si>
  <si>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</si>
  <si>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</si>
  <si>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</si>
  <si>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</si>
  <si>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</si>
  <si>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</si>
  <si>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</si>
  <si>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</si>
  <si>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</si>
  <si>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</si>
  <si>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</si>
  <si>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</si>
  <si>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</si>
  <si>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</si>
  <si>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</si>
  <si>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</si>
  <si>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</si>
  <si>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</si>
  <si>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</si>
  <si>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</si>
  <si>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</si>
  <si>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</si>
  <si>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</si>
  <si>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</si>
  <si>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</si>
  <si>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</si>
  <si>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</si>
  <si>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</si>
  <si>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</si>
  <si>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</si>
  <si>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</si>
  <si>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</si>
  <si>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</si>
  <si>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</si>
  <si>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</si>
  <si>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</si>
  <si>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</si>
  <si>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</si>
  <si>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</si>
  <si>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</si>
  <si>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</si>
  <si>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</si>
  <si>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</si>
  <si>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</si>
  <si>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</si>
  <si>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</si>
  <si>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</si>
  <si>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</si>
  <si>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</si>
  <si>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</si>
  <si>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</si>
  <si>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</si>
  <si>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</si>
  <si>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</si>
  <si>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</si>
  <si>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</si>
  <si>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</si>
  <si>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</si>
  <si>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</si>
  <si>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</si>
  <si>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</si>
  <si>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</si>
  <si>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</si>
  <si>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</si>
  <si>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</si>
  <si>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</si>
  <si>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</si>
  <si>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</si>
  <si>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</si>
  <si>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</si>
  <si>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</si>
  <si>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</si>
  <si>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</si>
  <si>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</si>
  <si>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</si>
  <si>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</si>
  <si>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</si>
  <si>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</si>
  <si>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</si>
  <si>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</si>
  <si>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</si>
  <si>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</si>
  <si>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</si>
  <si>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</si>
  <si>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</si>
  <si>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</si>
  <si>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</si>
  <si>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</si>
  <si>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</si>
  <si>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</si>
  <si>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</si>
  <si>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</si>
  <si>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</si>
  <si>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</si>
  <si>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</si>
  <si>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</si>
  <si>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</si>
  <si>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</si>
  <si>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</si>
  <si>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</si>
  <si>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</si>
  <si>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</si>
  <si>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</si>
  <si>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</si>
  <si>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</si>
  <si>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</si>
  <si>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</si>
  <si>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</si>
  <si>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</si>
  <si>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</si>
  <si>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</si>
  <si>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</si>
  <si>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</si>
  <si>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</si>
  <si>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</si>
  <si>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</si>
  <si>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</si>
  <si>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</si>
  <si>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</si>
  <si>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</si>
  <si>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</si>
  <si>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</si>
  <si>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</si>
  <si>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</si>
  <si>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</si>
  <si>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</si>
  <si>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</si>
  <si>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</si>
  <si>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</si>
  <si>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</si>
  <si>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</si>
  <si>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</si>
  <si>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</si>
  <si>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</si>
  <si>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</si>
  <si>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</si>
  <si>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</si>
  <si>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</si>
  <si>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</si>
  <si>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</si>
  <si>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</si>
  <si>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</si>
  <si>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</si>
  <si>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</si>
  <si>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</si>
  <si>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</si>
  <si>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</si>
  <si>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</si>
  <si>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</si>
  <si>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</si>
  <si>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</si>
  <si>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</si>
  <si>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</si>
  <si>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</si>
  <si>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</si>
  <si>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</si>
  <si>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</si>
  <si>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</si>
  <si>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</si>
  <si>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</si>
  <si>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</si>
  <si>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</si>
  <si>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</si>
  <si>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</si>
  <si>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</si>
  <si>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</si>
  <si>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</si>
  <si>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</si>
  <si>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</si>
  <si>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</si>
  <si>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</si>
  <si>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</si>
  <si>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</si>
  <si>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</si>
  <si>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</si>
  <si>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</si>
  <si>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</si>
  <si>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</si>
  <si>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</si>
  <si>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</si>
  <si>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</si>
  <si>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</si>
  <si>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</si>
  <si>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</si>
  <si>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</si>
  <si>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</si>
  <si>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</si>
  <si>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</si>
  <si>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</si>
  <si>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</si>
  <si>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</si>
  <si>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</si>
  <si>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</si>
  <si>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</si>
  <si>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</si>
  <si>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</si>
  <si>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</si>
  <si>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</si>
  <si>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</si>
  <si>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</si>
  <si>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</si>
  <si>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</si>
  <si>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</si>
  <si>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</si>
  <si>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</si>
  <si>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</si>
  <si>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</si>
  <si>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</si>
  <si>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</si>
  <si>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</si>
  <si>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</si>
  <si>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</si>
  <si>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</si>
  <si>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</si>
  <si>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</si>
  <si>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</si>
  <si>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</si>
  <si>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</si>
  <si>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</si>
  <si>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</si>
  <si>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</si>
  <si>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</si>
  <si>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</si>
  <si>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</si>
  <si>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</si>
  <si>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</si>
  <si>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</si>
  <si>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</si>
  <si>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</si>
  <si>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</si>
  <si>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</si>
  <si>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</si>
  <si>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</si>
  <si>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</si>
  <si>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</si>
  <si>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</si>
  <si>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</si>
  <si>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</si>
  <si>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</si>
  <si>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</si>
  <si>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</si>
  <si>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</si>
  <si>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</si>
  <si>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</si>
  <si>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</si>
  <si>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</si>
  <si>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</si>
  <si>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</si>
  <si>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</si>
  <si>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</si>
  <si>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</si>
  <si>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</si>
  <si>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</si>
  <si>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</si>
  <si>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</si>
  <si>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</si>
  <si>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</si>
  <si>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</si>
  <si>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</si>
  <si>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</si>
  <si>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</si>
  <si>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</si>
  <si>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</si>
  <si>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</si>
  <si>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</si>
  <si>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</si>
  <si>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</si>
  <si>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</si>
  <si>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</si>
  <si>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</si>
  <si>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</si>
  <si>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</si>
  <si>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</si>
  <si>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</si>
  <si>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</si>
  <si>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</si>
  <si>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</si>
  <si>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</si>
  <si>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</si>
  <si>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</si>
  <si>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</si>
  <si>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</si>
  <si>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</si>
  <si>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</si>
  <si>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</si>
  <si>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</si>
  <si>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</si>
  <si>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</si>
  <si>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</si>
  <si>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</si>
  <si>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</si>
  <si>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</si>
  <si>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</si>
  <si>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</si>
  <si>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</si>
  <si>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</si>
  <si>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</si>
  <si>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</si>
  <si>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</si>
  <si>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</si>
  <si>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</si>
  <si>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</si>
  <si>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</si>
  <si>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</si>
  <si>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</si>
  <si>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</si>
  <si>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</si>
  <si>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</si>
  <si>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</si>
  <si>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</si>
  <si>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</si>
  <si>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</si>
  <si>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</si>
  <si>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</si>
  <si>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</si>
  <si>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</si>
  <si>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</si>
  <si>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</si>
  <si>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</si>
  <si>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</si>
  <si>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</si>
  <si>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</si>
  <si>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</si>
  <si>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</si>
  <si>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</si>
  <si>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</si>
  <si>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</si>
  <si>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</si>
  <si>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</si>
  <si>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</si>
  <si>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</si>
  <si>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</si>
  <si>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</si>
  <si>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</si>
  <si>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</si>
  <si>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</si>
  <si>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</si>
  <si>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</si>
  <si>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</si>
  <si>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</si>
  <si>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</si>
  <si>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</si>
  <si>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</si>
  <si>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</si>
  <si>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</si>
  <si>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</si>
  <si>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</si>
  <si>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</si>
  <si>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</si>
  <si>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</si>
  <si>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</si>
  <si>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</si>
  <si>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</si>
  <si>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</si>
  <si>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</si>
  <si>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</si>
  <si>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</si>
  <si>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</si>
  <si>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</si>
  <si>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</si>
  <si>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</si>
  <si>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</si>
  <si>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</si>
  <si>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</si>
  <si>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</si>
  <si>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</si>
  <si>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</si>
  <si>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</si>
  <si>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</si>
  <si>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</si>
  <si>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</si>
  <si>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</si>
  <si>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</si>
  <si>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</si>
  <si>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</si>
  <si>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</si>
  <si>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</si>
  <si>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</si>
  <si>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</si>
  <si>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</si>
  <si>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</si>
  <si>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</si>
  <si>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</si>
  <si>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</si>
  <si>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</si>
  <si>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</si>
  <si>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</si>
  <si>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</si>
  <si>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</si>
  <si>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</si>
  <si>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</si>
  <si>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</si>
  <si>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</si>
  <si>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</si>
  <si>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</si>
  <si>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</si>
  <si>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</si>
  <si>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</si>
  <si>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</si>
  <si>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</si>
  <si>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</si>
  <si>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</si>
  <si>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</si>
  <si>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</si>
  <si>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</si>
  <si>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</si>
  <si>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</si>
  <si>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</si>
  <si>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</si>
  <si>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</si>
  <si>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</si>
  <si>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</si>
  <si>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</si>
  <si>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</si>
  <si>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</si>
  <si>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</si>
  <si>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</si>
  <si>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</si>
  <si>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</si>
  <si>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</si>
  <si>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</si>
  <si>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</si>
  <si>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</si>
  <si>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</si>
  <si>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</si>
  <si>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</si>
  <si>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</si>
  <si>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</si>
  <si>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</si>
  <si>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</si>
  <si>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</si>
  <si>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</si>
  <si>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</si>
  <si>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</si>
  <si>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</si>
  <si>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</si>
  <si>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</si>
  <si>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</si>
  <si>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</si>
  <si>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</si>
  <si>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</si>
  <si>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</si>
  <si>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</si>
  <si>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</si>
  <si>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</si>
  <si>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</si>
  <si>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</si>
  <si>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</si>
  <si>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</si>
  <si>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</si>
  <si>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</si>
  <si>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</si>
  <si>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</si>
  <si>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</si>
  <si>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</si>
  <si>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</si>
  <si>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</si>
  <si>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</si>
  <si>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</si>
  <si>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</si>
  <si>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</si>
  <si>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</si>
  <si>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</si>
  <si>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</si>
  <si>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</si>
  <si>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</si>
  <si>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</si>
  <si>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</si>
  <si>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</si>
  <si>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</si>
  <si>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</si>
  <si>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</si>
  <si>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</si>
  <si>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</si>
  <si>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</si>
  <si>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</si>
  <si>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</si>
  <si>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</si>
  <si>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</si>
  <si>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</si>
  <si>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</si>
  <si>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</si>
  <si>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</si>
  <si>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</si>
  <si>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</si>
  <si>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</si>
  <si>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</si>
  <si>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</si>
  <si>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</si>
  <si>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</si>
  <si>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</si>
  <si>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</si>
  <si>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</si>
  <si>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</si>
  <si>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</si>
  <si>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</si>
  <si>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</si>
  <si>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</si>
  <si>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</si>
  <si>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</si>
  <si>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</si>
  <si>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</si>
  <si>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</si>
  <si>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</si>
  <si>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</si>
  <si>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</si>
  <si>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</si>
  <si>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</si>
  <si>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</si>
  <si>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</si>
  <si>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</si>
  <si>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</si>
  <si>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</si>
  <si>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</si>
  <si>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</si>
  <si>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</si>
  <si>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</si>
  <si>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</si>
  <si>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</si>
  <si>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</si>
  <si>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</si>
  <si>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</si>
  <si>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</si>
  <si>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</si>
  <si>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</si>
  <si>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</si>
  <si>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</si>
  <si>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</si>
  <si>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</si>
  <si>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</si>
  <si>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</si>
  <si>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</si>
  <si>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</si>
  <si>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</si>
  <si>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</si>
  <si>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</si>
  <si>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</si>
  <si>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</si>
  <si>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</si>
  <si>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</si>
  <si>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</si>
  <si>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</si>
  <si>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</si>
  <si>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</si>
  <si>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</si>
  <si>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</si>
  <si>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</si>
  <si>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</si>
  <si>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</si>
  <si>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</si>
  <si>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</si>
  <si>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</si>
  <si>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</si>
  <si>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</si>
  <si>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</si>
  <si>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</si>
  <si>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</si>
  <si>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</si>
  <si>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</si>
  <si>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</si>
  <si>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</si>
  <si>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</si>
  <si>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</si>
  <si>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</si>
  <si>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</si>
  <si>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</si>
  <si>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</si>
  <si>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</si>
  <si>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</si>
  <si>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</si>
  <si>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</si>
  <si>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</si>
  <si>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</si>
  <si>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</si>
  <si>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</si>
  <si>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</si>
  <si>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</si>
  <si>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</si>
  <si>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</si>
  <si>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</si>
  <si>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</si>
  <si>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</si>
  <si>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</si>
  <si>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</si>
  <si>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</si>
  <si>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</si>
  <si>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</si>
  <si>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</si>
  <si>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</si>
  <si>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</si>
  <si>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</si>
  <si>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</si>
  <si>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</si>
  <si>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</si>
  <si>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</si>
  <si>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</si>
  <si>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</si>
  <si>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</si>
  <si>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</si>
  <si>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</si>
  <si>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</si>
  <si>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</si>
  <si>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</si>
  <si>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</si>
  <si>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</si>
  <si>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</si>
  <si>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</si>
  <si>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</si>
  <si>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</si>
  <si>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</si>
  <si>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</si>
  <si>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</si>
  <si>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</si>
  <si>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</si>
  <si>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</si>
  <si>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</si>
  <si>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</si>
  <si>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</si>
  <si>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</si>
  <si>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</si>
  <si>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</si>
  <si>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</si>
  <si>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</si>
  <si>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</si>
  <si>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</si>
  <si>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</si>
  <si>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</si>
  <si>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</si>
  <si>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</si>
  <si>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</si>
  <si>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</si>
  <si>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</si>
  <si>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</si>
  <si>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</si>
  <si>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</si>
  <si>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</si>
  <si>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</si>
  <si>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</si>
  <si>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</si>
  <si>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</si>
  <si>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</si>
  <si>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</si>
  <si>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</si>
  <si>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</si>
  <si>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</si>
  <si>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</si>
  <si>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</si>
  <si>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</si>
  <si>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</si>
  <si>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</si>
  <si>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</si>
  <si>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</si>
  <si>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</si>
  <si>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</si>
  <si>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</si>
  <si>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</si>
  <si>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</si>
  <si>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</si>
  <si>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</si>
  <si>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</si>
  <si>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</si>
  <si>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</si>
  <si>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</si>
  <si>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</si>
  <si>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</si>
  <si>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</si>
  <si>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</si>
  <si>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</si>
  <si>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</si>
  <si>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</si>
  <si>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</si>
  <si>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</si>
  <si>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</si>
  <si>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</si>
  <si>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</si>
  <si>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</si>
  <si>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</si>
  <si>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</si>
  <si>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</si>
  <si>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</si>
  <si>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</si>
  <si>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</si>
  <si>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</si>
  <si>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</si>
  <si>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</si>
  <si>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</si>
  <si>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</si>
  <si>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</si>
  <si>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</si>
  <si>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</si>
  <si>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</si>
  <si>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</si>
  <si>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</si>
  <si>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</si>
  <si>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</si>
  <si>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</si>
  <si>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</si>
  <si>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</si>
  <si>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</si>
  <si>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</si>
  <si>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</si>
  <si>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</si>
  <si>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</si>
  <si>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</si>
  <si>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</si>
  <si>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</si>
  <si>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</si>
  <si>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</si>
  <si>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</si>
  <si>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</si>
  <si>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</si>
  <si>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</si>
  <si>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</si>
  <si>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</si>
  <si>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</si>
  <si>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</si>
  <si>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</si>
  <si>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</si>
  <si>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</si>
  <si>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</si>
  <si>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</si>
  <si>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</si>
  <si>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</si>
  <si>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</si>
  <si>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</si>
  <si>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</si>
  <si>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</si>
  <si>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</si>
  <si>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</si>
  <si>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</si>
  <si>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</si>
  <si>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</si>
  <si>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</si>
  <si>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</si>
  <si>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</si>
  <si>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</si>
  <si>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</si>
  <si>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</si>
  <si>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</si>
  <si>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</si>
  <si>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</si>
  <si>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</si>
  <si>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</si>
  <si>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</si>
  <si>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</si>
  <si>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</si>
  <si>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</si>
  <si>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</si>
  <si>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</si>
  <si>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</si>
  <si>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</si>
  <si>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</si>
  <si>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</si>
  <si>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</si>
  <si>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</si>
  <si>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</si>
  <si>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</si>
  <si>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</si>
  <si>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</si>
  <si>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</si>
  <si>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</si>
  <si>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</si>
  <si>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</si>
  <si>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</si>
  <si>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</si>
  <si>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</si>
  <si>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</si>
  <si>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</si>
  <si>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</si>
  <si>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</si>
  <si>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</si>
  <si>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</si>
  <si>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</si>
  <si>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</si>
  <si>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</si>
  <si>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</si>
  <si>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</si>
  <si>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</si>
  <si>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</si>
  <si>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</si>
  <si>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</si>
  <si>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</si>
  <si>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</si>
  <si>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</si>
  <si>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</si>
  <si>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</si>
  <si>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</si>
  <si>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</si>
  <si>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</si>
  <si>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</si>
  <si>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</si>
  <si>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</si>
  <si>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</si>
  <si>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</si>
  <si>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</si>
  <si>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</si>
  <si>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</si>
  <si>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</si>
  <si>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</si>
  <si>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</si>
  <si>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</si>
  <si>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</si>
  <si>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</si>
  <si>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</si>
  <si>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</si>
  <si>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</si>
  <si>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</si>
  <si>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</si>
  <si>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</si>
  <si>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</si>
  <si>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</si>
  <si>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</si>
  <si>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</si>
  <si>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</si>
  <si>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</si>
  <si>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</si>
  <si>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</si>
  <si>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</si>
  <si>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</si>
  <si>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</si>
  <si>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</si>
  <si>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</si>
  <si>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</si>
  <si>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</si>
  <si>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</si>
  <si>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</si>
  <si>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</si>
  <si>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</si>
  <si>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</si>
  <si>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</si>
  <si>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</si>
  <si>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</si>
  <si>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</si>
  <si>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</si>
  <si>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</si>
  <si>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</si>
  <si>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</si>
  <si>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</si>
  <si>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</si>
  <si>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</si>
  <si>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</si>
  <si>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</si>
  <si>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</si>
  <si>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</si>
  <si>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</si>
  <si>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</si>
  <si>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</si>
  <si>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</si>
  <si>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</si>
  <si>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</si>
  <si>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</si>
  <si>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</si>
  <si>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</si>
  <si>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</si>
  <si>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</si>
  <si>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</si>
  <si>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</si>
  <si>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</si>
  <si>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</si>
  <si>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</si>
  <si>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</si>
  <si>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</si>
  <si>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</si>
  <si>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</si>
  <si>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</si>
  <si>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</si>
  <si>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</si>
  <si>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</si>
  <si>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</si>
  <si>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</si>
  <si>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</si>
  <si>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</si>
  <si>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</si>
  <si>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</si>
  <si>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</si>
  <si>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</si>
  <si>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</si>
  <si>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</si>
  <si>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</si>
  <si>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</si>
  <si>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</si>
  <si>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</si>
  <si>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</si>
  <si>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</si>
  <si>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</si>
  <si>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</si>
  <si>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</si>
  <si>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</si>
  <si>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</si>
  <si>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</si>
  <si>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</si>
  <si>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</si>
  <si>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</si>
  <si>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</si>
  <si>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</si>
  <si>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</si>
  <si>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</si>
  <si>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</si>
  <si>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</si>
  <si>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</si>
  <si>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</si>
  <si>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</si>
  <si>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</si>
  <si>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</si>
  <si>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</si>
  <si>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</si>
  <si>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</si>
  <si>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</si>
  <si>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</si>
  <si>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</si>
  <si>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</si>
  <si>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</si>
  <si>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</si>
  <si>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</si>
  <si>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</si>
  <si>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</si>
  <si>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</si>
  <si>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</si>
  <si>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</si>
  <si>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</si>
  <si>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</si>
  <si>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</si>
  <si>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</si>
  <si>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</si>
  <si>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</si>
  <si>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</si>
  <si>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</si>
  <si>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</si>
  <si>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</si>
  <si>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</si>
  <si>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</si>
  <si>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</si>
  <si>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</si>
  <si>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</si>
  <si>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</si>
  <si>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</si>
  <si>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</si>
  <si>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</si>
  <si>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</si>
  <si>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</si>
  <si>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</si>
  <si>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</si>
  <si>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</si>
  <si>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</si>
  <si>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</si>
  <si>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</si>
  <si>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</si>
  <si>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</si>
  <si>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</si>
  <si>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</si>
  <si>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</si>
  <si>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</si>
  <si>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</si>
  <si>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</si>
  <si>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</si>
  <si>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</si>
  <si>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</si>
  <si>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</si>
  <si>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</si>
  <si>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</si>
  <si>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</si>
  <si>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</si>
  <si>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</si>
  <si>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</si>
  <si>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</si>
  <si>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</si>
  <si>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</si>
  <si>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</si>
  <si>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</si>
  <si>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</si>
  <si>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</si>
  <si>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</si>
  <si>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</si>
  <si>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</si>
  <si>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</si>
  <si>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</si>
  <si>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</si>
  <si>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</si>
  <si>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</si>
  <si>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</si>
  <si>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</si>
  <si>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</si>
  <si>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</si>
  <si>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</si>
  <si>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</si>
  <si>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</si>
  <si>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</si>
  <si>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</si>
  <si>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</si>
  <si>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</si>
  <si>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</si>
  <si>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</si>
  <si>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</si>
  <si>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</si>
  <si>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</si>
  <si>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</si>
  <si>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</si>
  <si>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</si>
  <si>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</si>
  <si>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</si>
  <si>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</si>
  <si>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</si>
  <si>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</si>
  <si>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</si>
  <si>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</si>
  <si>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</si>
  <si>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</si>
  <si>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</si>
  <si>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</si>
  <si>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</si>
  <si>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</si>
  <si>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</si>
  <si>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</si>
  <si>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</si>
  <si>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</si>
  <si>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</si>
  <si>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</si>
  <si>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</si>
  <si>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</si>
  <si>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</si>
  <si>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</si>
  <si>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</si>
  <si>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</si>
  <si>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</si>
  <si>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</si>
  <si>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</si>
  <si>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</si>
  <si>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</si>
  <si>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</si>
  <si>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</si>
  <si>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</si>
  <si>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</si>
  <si>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</si>
  <si>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</si>
  <si>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</si>
  <si>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</si>
  <si>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</si>
  <si>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</si>
  <si>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</si>
  <si>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</si>
  <si>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</si>
  <si>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</si>
  <si>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</si>
  <si>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</si>
  <si>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</si>
  <si>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</si>
  <si>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</si>
  <si>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</si>
  <si>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</si>
  <si>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</si>
  <si>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</si>
  <si>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</si>
  <si>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</si>
  <si>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</si>
  <si>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</si>
  <si>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</si>
  <si>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</si>
  <si>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</si>
  <si>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</si>
  <si>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</si>
  <si>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</si>
  <si>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</si>
  <si>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</si>
  <si>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</si>
  <si>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</si>
  <si>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</si>
  <si>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</si>
  <si>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</si>
  <si>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</si>
  <si>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</si>
  <si>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</si>
  <si>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</si>
  <si>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</si>
  <si>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</si>
  <si>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</si>
  <si>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</si>
  <si>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</si>
  <si>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</si>
  <si>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</si>
  <si>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</si>
  <si>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</si>
  <si>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</si>
  <si>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</si>
  <si>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</si>
  <si>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</si>
  <si>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</si>
  <si>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</si>
  <si>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</si>
  <si>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</si>
  <si>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</si>
  <si>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</si>
  <si>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</si>
  <si>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</si>
  <si>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</si>
  <si>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</si>
  <si>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</si>
  <si>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</si>
  <si>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</si>
  <si>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</si>
  <si>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</si>
  <si>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</si>
  <si>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</si>
  <si>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</si>
  <si>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</si>
  <si>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</si>
  <si>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</si>
  <si>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</si>
  <si>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</si>
  <si>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</si>
  <si>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</si>
  <si>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</si>
  <si>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</si>
  <si>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</si>
  <si>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</si>
  <si>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</si>
  <si>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</si>
  <si>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</si>
  <si>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</si>
  <si>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</si>
  <si>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</si>
  <si>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</si>
  <si>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</si>
  <si>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</si>
  <si>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</si>
  <si>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</si>
  <si>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</si>
  <si>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</si>
  <si>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</si>
  <si>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</si>
  <si>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</si>
  <si>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</si>
  <si>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</si>
  <si>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</si>
  <si>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</si>
  <si>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</si>
  <si>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</si>
  <si>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</si>
  <si>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</si>
  <si>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</si>
  <si>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</si>
  <si>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</si>
  <si>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</si>
  <si>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</si>
  <si>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</si>
  <si>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</si>
  <si>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</si>
  <si>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</si>
  <si>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</si>
  <si>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</si>
  <si>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</si>
  <si>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</si>
  <si>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</si>
  <si>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</si>
  <si>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</si>
  <si>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</si>
  <si>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</si>
  <si>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</si>
  <si>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</si>
  <si>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</si>
  <si>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</si>
  <si>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</si>
  <si>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</si>
  <si>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</si>
  <si>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</si>
  <si>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</si>
  <si>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</si>
  <si>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</si>
  <si>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</si>
  <si>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</si>
  <si>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</si>
  <si>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</si>
  <si>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</si>
  <si>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</si>
  <si>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</si>
  <si>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</si>
  <si>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</si>
  <si>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</si>
  <si>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</si>
  <si>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</si>
  <si>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</si>
  <si>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</si>
  <si>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</si>
  <si>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</si>
  <si>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</si>
  <si>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</si>
  <si>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</si>
  <si>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</si>
  <si>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</si>
  <si>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</si>
  <si>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</si>
  <si>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</si>
  <si>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</si>
  <si>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</si>
  <si>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</si>
  <si>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</si>
  <si>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</si>
  <si>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</si>
  <si>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</si>
  <si>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</si>
  <si>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</si>
  <si>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</si>
  <si>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</si>
  <si>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</si>
  <si>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</si>
  <si>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</si>
  <si>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</si>
  <si>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</si>
  <si>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</si>
  <si>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</si>
  <si>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</si>
  <si>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</si>
  <si>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</si>
  <si>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</si>
  <si>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</si>
  <si>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</si>
  <si>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</si>
  <si>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</si>
  <si>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</si>
  <si>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</si>
  <si>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</si>
  <si>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</si>
  <si>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</si>
  <si>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</si>
  <si>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</si>
  <si>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</si>
  <si>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</si>
  <si>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</si>
  <si>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</si>
  <si>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</si>
  <si>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</si>
  <si>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</si>
  <si>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</si>
  <si>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</si>
  <si>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</si>
  <si>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</si>
  <si>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</si>
  <si>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</si>
  <si>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</si>
  <si>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</si>
  <si>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</si>
  <si>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</si>
  <si>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</si>
  <si>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</si>
  <si>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</si>
  <si>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</si>
  <si>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</si>
  <si>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</si>
  <si>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</si>
  <si>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</si>
  <si>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</si>
  <si>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</si>
  <si>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</si>
  <si>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</si>
  <si>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</si>
  <si>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</si>
  <si>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</si>
  <si>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</si>
  <si>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</si>
  <si>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</si>
  <si>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</si>
  <si>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</si>
  <si>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</si>
  <si>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</si>
  <si>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</si>
  <si>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</si>
  <si>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</si>
  <si>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</si>
  <si>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</si>
  <si>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</si>
  <si>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</si>
  <si>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</si>
  <si>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</si>
  <si>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</si>
  <si>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</si>
  <si>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</si>
  <si>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</si>
  <si>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</si>
  <si>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</si>
  <si>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</si>
  <si>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</si>
  <si>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</si>
  <si>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</si>
  <si>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</si>
  <si>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</si>
  <si>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</si>
  <si>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</si>
  <si>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</si>
  <si>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</si>
  <si>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</si>
  <si>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</si>
  <si>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</si>
  <si>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</si>
  <si>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</si>
  <si>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</si>
  <si>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</si>
  <si>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</si>
  <si>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</si>
  <si>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</si>
  <si>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</si>
  <si>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</si>
  <si>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</si>
  <si>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</si>
  <si>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</si>
  <si>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</si>
  <si>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</si>
  <si>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</si>
  <si>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</si>
  <si>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</si>
  <si>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</si>
  <si>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</si>
  <si>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</si>
  <si>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</si>
  <si>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</si>
  <si>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</si>
  <si>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</si>
  <si>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</si>
  <si>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</si>
  <si>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</si>
  <si>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</si>
  <si>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</si>
  <si>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</si>
  <si>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</si>
  <si>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</si>
  <si>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</si>
  <si>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</si>
  <si>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</si>
  <si>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</si>
  <si>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</si>
  <si>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</si>
  <si>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</si>
  <si>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</si>
  <si>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</si>
  <si>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</si>
  <si>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</si>
  <si>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</si>
  <si>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</si>
  <si>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</si>
  <si>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</si>
  <si>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</si>
  <si>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</si>
  <si>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</si>
  <si>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</si>
  <si>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</si>
  <si>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</si>
  <si>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</si>
  <si>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</si>
  <si>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</si>
  <si>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</si>
  <si>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</si>
  <si>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</si>
  <si>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</si>
  <si>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</si>
  <si>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</si>
  <si>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</si>
  <si>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</si>
  <si>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</si>
  <si>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</si>
  <si>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</si>
  <si>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</si>
  <si>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</si>
  <si>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</si>
  <si>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</si>
  <si>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</si>
  <si>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</si>
  <si>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</si>
  <si>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</si>
  <si>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</si>
  <si>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</si>
  <si>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</si>
  <si>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</si>
  <si>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</si>
  <si>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</si>
  <si>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</si>
  <si>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</si>
  <si>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</si>
  <si>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</si>
  <si>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</si>
  <si>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</si>
  <si>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</si>
  <si>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</si>
  <si>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</si>
  <si>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</si>
  <si>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</si>
  <si>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</si>
  <si>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</si>
  <si>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</si>
  <si>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</si>
  <si>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</si>
  <si>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</si>
  <si>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</si>
  <si>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</si>
  <si>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</si>
  <si>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</si>
  <si>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</si>
  <si>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</si>
  <si>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</si>
  <si>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</si>
  <si>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</si>
  <si>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</si>
  <si>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</si>
  <si>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</si>
  <si>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</si>
  <si>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</si>
  <si>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</si>
  <si>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</si>
  <si>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</si>
  <si>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</si>
  <si>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</si>
  <si>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</si>
  <si>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</si>
  <si>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</si>
  <si>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</si>
  <si>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</si>
  <si>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</si>
  <si>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</si>
  <si>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</si>
  <si>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</si>
  <si>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</si>
  <si>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</si>
  <si>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</si>
  <si>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</si>
  <si>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</si>
  <si>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</si>
  <si>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</si>
  <si>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</si>
  <si>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</si>
  <si>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</si>
  <si>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</si>
  <si>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</si>
  <si>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</si>
  <si>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</si>
  <si>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</si>
  <si>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</si>
  <si>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</si>
  <si>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</si>
  <si>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</si>
  <si>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</si>
  <si>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</si>
  <si>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</si>
  <si>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</si>
  <si>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</si>
  <si>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</si>
  <si>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</si>
  <si>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</si>
  <si>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</si>
  <si>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</si>
  <si>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</si>
  <si>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</si>
  <si>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</si>
  <si>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</si>
  <si>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</si>
  <si>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</si>
  <si>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</si>
  <si>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</si>
  <si>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</si>
  <si>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</si>
  <si>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</si>
  <si>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</si>
  <si>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</si>
  <si>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</si>
  <si>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</si>
  <si>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</si>
  <si>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</si>
  <si>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</si>
  <si>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</si>
  <si>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</si>
  <si>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</si>
  <si>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</si>
  <si>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</si>
  <si>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</si>
  <si>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</si>
  <si>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</si>
  <si>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</si>
  <si>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</si>
  <si>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</si>
  <si>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</si>
  <si>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</si>
  <si>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</si>
  <si>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</si>
  <si>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</si>
  <si>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</si>
  <si>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</si>
  <si>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</si>
  <si>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</si>
  <si>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</si>
  <si>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</si>
  <si>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</si>
  <si>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</si>
  <si>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</si>
  <si>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</si>
  <si>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</si>
  <si>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</si>
  <si>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</si>
  <si>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</si>
  <si>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</si>
  <si>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</si>
  <si>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</si>
  <si>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</si>
  <si>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</si>
  <si>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</si>
  <si>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</si>
  <si>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</si>
  <si>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</si>
  <si>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</si>
  <si>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</si>
  <si>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</si>
  <si>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</si>
  <si>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</si>
  <si>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</si>
  <si>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</si>
  <si>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</si>
  <si>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</si>
  <si>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</si>
  <si>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</si>
  <si>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</si>
  <si>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</si>
  <si>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</si>
  <si>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</si>
  <si>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</si>
  <si>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</si>
  <si>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</si>
  <si>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</si>
  <si>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</si>
  <si>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</si>
  <si>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</si>
  <si>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</si>
  <si>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</si>
  <si>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</si>
  <si>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</si>
  <si>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</si>
  <si>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</si>
  <si>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</si>
  <si>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</si>
  <si>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</si>
  <si>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</si>
  <si>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</si>
  <si>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</si>
  <si>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</si>
  <si>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</si>
  <si>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</si>
  <si>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</si>
  <si>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</si>
  <si>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</si>
  <si>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</si>
  <si>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</si>
  <si>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</si>
  <si>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</si>
  <si>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</si>
  <si>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</si>
  <si>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</si>
  <si>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</si>
  <si>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</si>
  <si>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</si>
  <si>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</si>
  <si>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</si>
  <si>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</si>
  <si>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</si>
  <si>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</si>
  <si>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</si>
  <si>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</si>
  <si>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</si>
  <si>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</si>
  <si>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</si>
  <si>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</si>
  <si>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</si>
  <si>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</si>
  <si>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</si>
  <si>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</si>
  <si>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</si>
  <si>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</si>
  <si>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</si>
  <si>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</si>
  <si>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</si>
  <si>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</si>
  <si>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</si>
  <si>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</si>
  <si>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</si>
  <si>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</si>
  <si>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</si>
  <si>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</si>
  <si>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</si>
  <si>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</si>
  <si>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</si>
  <si>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</si>
  <si>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</si>
  <si>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</si>
  <si>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</si>
  <si>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</si>
  <si>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</si>
  <si>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</si>
  <si>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</si>
  <si>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</si>
  <si>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</si>
  <si>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</si>
  <si>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</si>
  <si>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</si>
  <si>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</si>
  <si>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</si>
  <si>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</si>
  <si>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</si>
  <si>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</si>
  <si>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</si>
  <si>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</si>
  <si>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</si>
  <si>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</si>
  <si>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</si>
  <si>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</si>
  <si>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</si>
  <si>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</si>
  <si>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</si>
  <si>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</si>
  <si>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</si>
  <si>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</si>
  <si>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</si>
  <si>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</si>
  <si>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</si>
  <si>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</si>
  <si>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</si>
  <si>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</si>
  <si>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</si>
  <si>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</si>
  <si>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</si>
  <si>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</si>
  <si>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</si>
  <si>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</si>
  <si>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</si>
  <si>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</si>
  <si>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</si>
  <si>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</si>
  <si>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</si>
  <si>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</si>
  <si>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</si>
  <si>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</si>
  <si>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</si>
  <si>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</si>
  <si>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</si>
  <si>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</si>
  <si>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</si>
  <si>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</si>
  <si>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</si>
  <si>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</si>
  <si>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</si>
  <si>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</si>
  <si>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</si>
  <si>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</si>
  <si>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</si>
  <si>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</si>
  <si>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</si>
  <si>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</si>
  <si>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</si>
  <si>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</si>
  <si>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</si>
  <si>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</si>
  <si>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</si>
  <si>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</si>
  <si>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</si>
  <si>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</si>
  <si>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</si>
  <si>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</si>
  <si>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</si>
  <si>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</si>
  <si>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</si>
  <si>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</si>
  <si>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</si>
  <si>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</si>
  <si>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</si>
  <si>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</si>
  <si>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</si>
  <si>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</si>
  <si>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</si>
  <si>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</si>
  <si>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</si>
  <si>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</si>
  <si>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</si>
  <si>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</si>
  <si>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</si>
  <si>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</si>
  <si>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</si>
  <si>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</si>
  <si>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</si>
  <si>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</si>
  <si>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</si>
  <si>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</si>
  <si>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</si>
  <si>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</si>
  <si>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</si>
  <si>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</si>
  <si>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</si>
  <si>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</si>
  <si>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</si>
  <si>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</si>
  <si>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</si>
  <si>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</si>
  <si>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</si>
  <si>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</si>
  <si>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</si>
  <si>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</si>
  <si>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</si>
  <si>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</si>
  <si>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</si>
  <si>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</si>
  <si>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</si>
  <si>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</si>
  <si>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</si>
  <si>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</si>
  <si>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</si>
  <si>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</si>
  <si>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</si>
  <si>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</si>
  <si>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</si>
  <si>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</si>
  <si>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</si>
  <si>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</si>
  <si>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</si>
  <si>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</si>
  <si>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</si>
  <si>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</si>
  <si>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</si>
  <si>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</si>
  <si>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</si>
  <si>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</si>
  <si>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</si>
  <si>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</si>
  <si>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</si>
  <si>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</si>
  <si>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</si>
  <si>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</si>
  <si>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</si>
  <si>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</si>
  <si>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</si>
  <si>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</si>
  <si>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</si>
  <si>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</si>
  <si>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</si>
  <si>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</si>
  <si>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</si>
  <si>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</si>
  <si>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</si>
  <si>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</si>
  <si>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</si>
  <si>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</si>
  <si>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</si>
  <si>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</si>
  <si>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</si>
  <si>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</si>
  <si>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</si>
  <si>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</si>
  <si>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</si>
  <si>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</si>
  <si>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</si>
  <si>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</si>
  <si>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</si>
  <si>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</si>
  <si>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</si>
  <si>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</si>
  <si>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</si>
  <si>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</si>
  <si>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</si>
  <si>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</si>
  <si>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</si>
  <si>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</si>
  <si>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</si>
  <si>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</si>
  <si>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</si>
  <si>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</si>
  <si>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</si>
  <si>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</si>
  <si>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</si>
  <si>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</si>
  <si>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</si>
  <si>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</si>
  <si>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</si>
  <si>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</si>
  <si>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</si>
  <si>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</si>
  <si>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</si>
  <si>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</si>
  <si>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</si>
  <si>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</si>
  <si>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</si>
  <si>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</si>
  <si>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</si>
  <si>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</si>
  <si>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</si>
  <si>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</si>
  <si>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</si>
  <si>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</si>
  <si>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</si>
  <si>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</si>
  <si>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</si>
  <si>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</si>
  <si>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</si>
  <si>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</si>
  <si>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</si>
  <si>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</si>
  <si>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</si>
  <si>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</si>
  <si>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</si>
  <si>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</si>
  <si>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</si>
  <si>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</si>
  <si>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</si>
  <si>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</si>
  <si>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</si>
  <si>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</si>
  <si>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</si>
  <si>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</si>
  <si>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</si>
  <si>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</si>
  <si>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</si>
  <si>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</si>
  <si>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</si>
  <si>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</si>
  <si>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</si>
  <si>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</si>
  <si>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</si>
  <si>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</si>
  <si>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</si>
  <si>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</si>
  <si>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</si>
  <si>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</si>
  <si>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</si>
  <si>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</si>
  <si>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</si>
  <si>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</si>
  <si>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</si>
  <si>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</si>
  <si>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</si>
  <si>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</si>
  <si>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</si>
  <si>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</si>
  <si>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</si>
  <si>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</si>
  <si>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</si>
  <si>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</si>
  <si>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</si>
  <si>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</si>
  <si>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</si>
  <si>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</si>
  <si>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</si>
  <si>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</si>
  <si>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</si>
  <si>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</si>
  <si>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</si>
  <si>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</si>
  <si>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</si>
  <si>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</si>
  <si>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</si>
  <si>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</si>
  <si>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</si>
  <si>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</si>
  <si>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</si>
  <si>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</si>
  <si>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</si>
  <si>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</si>
  <si>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</si>
  <si>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</si>
  <si>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</si>
  <si>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</si>
  <si>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</si>
  <si>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</si>
  <si>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</si>
  <si>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</si>
  <si>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</si>
  <si>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</si>
  <si>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</si>
  <si>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</si>
  <si>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</si>
  <si>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</si>
  <si>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</si>
  <si>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</si>
  <si>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</si>
  <si>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</si>
  <si>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</si>
  <si>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</si>
  <si>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</si>
  <si>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</si>
  <si>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</si>
  <si>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</si>
  <si>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</si>
  <si>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</si>
  <si>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</si>
  <si>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</si>
  <si>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</si>
  <si>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</si>
  <si>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</si>
  <si>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</si>
  <si>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</si>
  <si>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</si>
  <si>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</si>
  <si>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</si>
  <si>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</si>
  <si>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</si>
  <si>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</si>
  <si>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</si>
  <si>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</si>
  <si>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</si>
  <si>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</si>
  <si>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</si>
  <si>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</si>
  <si>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</si>
  <si>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</si>
  <si>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</si>
  <si>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</si>
  <si>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</si>
  <si>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</si>
  <si>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</si>
  <si>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</si>
  <si>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</si>
  <si>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</si>
  <si>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</si>
  <si>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</si>
  <si>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</si>
  <si>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</si>
  <si>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</si>
  <si>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</si>
  <si>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</si>
  <si>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</si>
  <si>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</si>
  <si>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</si>
  <si>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</si>
  <si>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</si>
  <si>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</si>
  <si>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</si>
  <si>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</si>
  <si>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</si>
  <si>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</si>
  <si>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</si>
  <si>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</si>
  <si>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</si>
  <si>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</si>
  <si>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</si>
  <si>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</si>
  <si>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</si>
  <si>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</si>
  <si>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</si>
  <si>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</si>
  <si>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</si>
  <si>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</si>
  <si>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</si>
  <si>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</si>
  <si>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</si>
  <si>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</si>
  <si>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</si>
  <si>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</si>
  <si>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</si>
  <si>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</si>
  <si>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</si>
  <si>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</si>
  <si>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</si>
  <si>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</si>
  <si>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</si>
  <si>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</si>
  <si>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</si>
  <si>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</si>
  <si>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</si>
  <si>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</si>
  <si>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</si>
  <si>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</si>
  <si>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</si>
  <si>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</si>
  <si>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</si>
  <si>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</si>
  <si>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</si>
  <si>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</si>
  <si>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</si>
  <si>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</si>
  <si>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</si>
  <si>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</si>
  <si>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</si>
  <si>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</si>
  <si>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</si>
  <si>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</si>
  <si>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</si>
  <si>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</si>
  <si>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</si>
  <si>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</si>
  <si>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</si>
  <si>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</si>
  <si>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</si>
  <si>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</si>
  <si>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</si>
  <si>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</si>
  <si>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</si>
  <si>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</si>
  <si>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</si>
  <si>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</si>
  <si>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</si>
  <si>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</si>
  <si>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</si>
  <si>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</si>
  <si>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</si>
  <si>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</si>
  <si>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</si>
  <si>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</si>
  <si>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</si>
  <si>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</si>
  <si>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</si>
  <si>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</si>
  <si>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</si>
  <si>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</si>
  <si>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</si>
  <si>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</si>
  <si>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</si>
  <si>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</si>
  <si>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</si>
  <si>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</si>
  <si>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</si>
  <si>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</si>
  <si>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</si>
  <si>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</si>
  <si>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</si>
  <si>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</si>
  <si>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</si>
  <si>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</si>
  <si>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</si>
  <si>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</si>
  <si>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</si>
  <si>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</si>
  <si>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</si>
  <si>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</si>
  <si>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</si>
  <si>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</si>
  <si>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</si>
  <si>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</si>
  <si>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</si>
  <si>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</si>
  <si>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</si>
  <si>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</si>
  <si>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</si>
  <si>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</si>
  <si>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</si>
  <si>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</si>
  <si>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</si>
  <si>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</si>
  <si>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</si>
  <si>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</si>
  <si>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</si>
  <si>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</si>
  <si>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</si>
  <si>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</si>
  <si>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</si>
  <si>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</si>
  <si>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</si>
  <si>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</si>
  <si>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</si>
  <si>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</si>
  <si>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</si>
  <si>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</si>
  <si>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</si>
  <si>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</si>
  <si>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</si>
  <si>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</si>
  <si>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</si>
  <si>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</si>
  <si>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</si>
  <si>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</si>
  <si>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</si>
  <si>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</si>
  <si>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</si>
  <si>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</si>
  <si>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</si>
  <si>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</si>
  <si>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</si>
  <si>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</si>
  <si>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</si>
  <si>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</si>
  <si>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</si>
  <si>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</si>
  <si>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</si>
  <si>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</si>
  <si>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</si>
  <si>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</si>
  <si>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</si>
  <si>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</si>
  <si>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</si>
  <si>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</si>
  <si>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</si>
  <si>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</si>
  <si>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</si>
  <si>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</si>
  <si>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</si>
  <si>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</si>
  <si>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</si>
  <si>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</si>
  <si>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</si>
  <si>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</si>
  <si>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</si>
  <si>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</si>
  <si>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</si>
  <si>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</si>
  <si>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</si>
  <si>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</si>
  <si>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</si>
  <si>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</si>
  <si>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</si>
  <si>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</si>
  <si>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</si>
  <si>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</si>
  <si>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</si>
  <si>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</si>
  <si>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</si>
  <si>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</si>
  <si>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</si>
  <si>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</si>
  <si>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</si>
  <si>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</si>
  <si>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</si>
  <si>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</si>
  <si>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</si>
  <si>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</si>
  <si>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</si>
  <si>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</si>
  <si>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</si>
  <si>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</si>
  <si>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</si>
  <si>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</si>
  <si>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</si>
  <si>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</si>
  <si>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</si>
  <si>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</si>
  <si>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</si>
  <si>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</si>
  <si>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</si>
  <si>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</si>
  <si>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</si>
  <si>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</si>
  <si>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</si>
  <si>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</si>
  <si>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</si>
  <si>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</si>
  <si>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</si>
  <si>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</si>
  <si>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</si>
  <si>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</si>
  <si>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</si>
  <si>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</si>
  <si>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</si>
  <si>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</si>
  <si>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</si>
  <si>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</si>
  <si>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</si>
  <si>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</si>
  <si>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</si>
  <si>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</si>
  <si>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</si>
  <si>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</si>
  <si>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</si>
  <si>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</si>
  <si>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</si>
  <si>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</si>
  <si>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</si>
  <si>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</si>
  <si>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</si>
  <si>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</si>
  <si>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</si>
  <si>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</si>
  <si>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</si>
  <si>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</si>
  <si>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</si>
  <si>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</si>
  <si>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</si>
  <si>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</si>
  <si>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</si>
  <si>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</si>
  <si>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</si>
  <si>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</si>
  <si>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</si>
  <si>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</si>
  <si>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</si>
  <si>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</si>
  <si>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</si>
  <si>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</si>
  <si>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</si>
  <si>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</si>
  <si>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</si>
  <si>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</si>
  <si>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</si>
  <si>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</si>
  <si>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</si>
  <si>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</si>
  <si>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</si>
  <si>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</si>
  <si>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</si>
  <si>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</si>
  <si>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</si>
  <si>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</si>
  <si>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</si>
  <si>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</si>
  <si>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</si>
  <si>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</si>
  <si>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</si>
  <si>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</si>
  <si>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</si>
  <si>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</si>
  <si>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</si>
  <si>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</si>
  <si>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</si>
  <si>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</si>
  <si>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</si>
  <si>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</si>
  <si>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</si>
  <si>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</si>
  <si>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</si>
  <si>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</si>
  <si>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</si>
  <si>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</si>
  <si>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</si>
  <si>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</si>
  <si>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</si>
  <si>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</si>
  <si>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</si>
  <si>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</si>
  <si>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</si>
  <si>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</si>
  <si>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</si>
  <si>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</si>
  <si>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</si>
  <si>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</si>
  <si>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</si>
  <si>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</si>
  <si>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</si>
  <si>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</si>
  <si>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</si>
  <si>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</si>
  <si>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</si>
  <si>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</si>
  <si>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</si>
  <si>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</si>
  <si>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</si>
  <si>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</si>
  <si>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</si>
  <si>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</si>
  <si>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</si>
  <si>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</si>
  <si>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</si>
  <si>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</si>
  <si>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</si>
  <si>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</si>
  <si>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</si>
  <si>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</si>
  <si>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</si>
  <si>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</si>
  <si>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</si>
  <si>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</si>
  <si>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</si>
  <si>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</si>
  <si>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</si>
  <si>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</si>
  <si>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</si>
  <si>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</si>
  <si>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</si>
  <si>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</si>
  <si>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</si>
  <si>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</si>
  <si>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</si>
  <si>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</si>
  <si>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</si>
  <si>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</si>
  <si>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</si>
  <si>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</si>
  <si>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</si>
  <si>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</si>
  <si>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</si>
  <si>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</si>
  <si>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</si>
  <si>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</si>
  <si>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</si>
  <si>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</si>
  <si>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</si>
  <si>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</si>
  <si>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</si>
  <si>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</si>
  <si>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</si>
  <si>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</si>
  <si>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</si>
  <si>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</si>
  <si>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</si>
  <si>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</si>
  <si>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</si>
  <si>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</si>
  <si>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</si>
  <si>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</si>
  <si>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</si>
  <si>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</si>
  <si>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</si>
  <si>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</si>
  <si>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</si>
  <si>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</si>
  <si>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</si>
  <si>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</si>
  <si>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</si>
  <si>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</si>
  <si>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</si>
  <si>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</si>
  <si>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</si>
  <si>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</si>
  <si>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</si>
  <si>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</si>
  <si>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</si>
  <si>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</si>
  <si>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</si>
  <si>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</si>
  <si>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</si>
  <si>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</si>
  <si>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</si>
  <si>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</si>
  <si>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</si>
  <si>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</si>
  <si>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</si>
  <si>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</si>
  <si>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</si>
  <si>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</si>
  <si>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</si>
  <si>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</si>
  <si>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</si>
  <si>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</si>
  <si>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</si>
  <si>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</si>
  <si>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</si>
  <si>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</si>
  <si>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</si>
  <si>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</si>
  <si>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</si>
  <si>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</si>
  <si>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</si>
  <si>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</si>
  <si>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</si>
  <si>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</si>
  <si>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</si>
  <si>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</si>
  <si>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</si>
  <si>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</si>
  <si>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</si>
  <si>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</si>
  <si>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</si>
  <si>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</si>
  <si>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</si>
  <si>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</si>
  <si>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</si>
  <si>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</si>
  <si>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</si>
  <si>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</si>
  <si>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</si>
  <si>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</si>
  <si>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</si>
  <si>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</si>
  <si>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</si>
  <si>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</si>
  <si>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</si>
  <si>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</si>
  <si>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</si>
  <si>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</si>
  <si>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</si>
  <si>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</si>
  <si>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</si>
  <si>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</si>
  <si>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</si>
  <si>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</si>
  <si>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</si>
  <si>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</si>
  <si>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</si>
  <si>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</si>
  <si>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</si>
  <si>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</si>
  <si>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</si>
  <si>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</si>
  <si>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</si>
  <si>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</si>
  <si>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</si>
  <si>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</si>
  <si>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</si>
  <si>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</si>
  <si>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</si>
  <si>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</si>
  <si>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</si>
  <si>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</si>
  <si>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</si>
  <si>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</si>
  <si>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</si>
  <si>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</si>
  <si>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</si>
  <si>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</si>
  <si>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</si>
  <si>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</si>
  <si>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</si>
  <si>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</si>
  <si>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</si>
  <si>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</si>
  <si>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</si>
  <si>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</si>
  <si>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</si>
  <si>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</si>
  <si>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</si>
  <si>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</si>
  <si>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</si>
  <si>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</si>
  <si>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</si>
  <si>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</si>
  <si>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</si>
  <si>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</si>
  <si>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</si>
  <si>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</si>
  <si>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</si>
  <si>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</si>
  <si>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</si>
  <si>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</si>
  <si>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</si>
  <si>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</si>
  <si>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</si>
  <si>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</si>
  <si>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</si>
  <si>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</si>
  <si>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</si>
  <si>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</si>
  <si>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</si>
  <si>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</si>
  <si>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</si>
  <si>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</si>
  <si>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</si>
  <si>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</si>
  <si>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</si>
  <si>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</si>
  <si>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</si>
  <si>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</si>
  <si>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</si>
  <si>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</si>
  <si>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</si>
  <si>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</si>
  <si>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</si>
  <si>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</si>
  <si>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</si>
  <si>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</si>
  <si>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</si>
  <si>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</si>
  <si>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</si>
  <si>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</si>
  <si>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</si>
  <si>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</si>
  <si>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</si>
  <si>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</si>
  <si>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</si>
  <si>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</si>
  <si>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</si>
  <si>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</si>
  <si>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</si>
  <si>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</si>
  <si>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</si>
  <si>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</si>
  <si>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</si>
  <si>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</si>
  <si>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</si>
  <si>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</si>
  <si>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</si>
  <si>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</si>
  <si>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</si>
  <si>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</si>
  <si>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</si>
  <si>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</si>
  <si>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</si>
  <si>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</si>
  <si>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</si>
  <si>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</si>
  <si>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</si>
  <si>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</si>
  <si>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</si>
  <si>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</si>
  <si>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</si>
  <si>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</si>
  <si>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</si>
  <si>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</si>
  <si>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</si>
  <si>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</si>
  <si>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</si>
  <si>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</si>
  <si>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</si>
  <si>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</si>
  <si>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</si>
  <si>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</si>
  <si>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</si>
  <si>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</si>
  <si>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</si>
  <si>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</si>
  <si>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</si>
  <si>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</si>
  <si>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</si>
  <si>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</si>
  <si>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</si>
  <si>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</si>
  <si>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</si>
  <si>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</si>
  <si>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</si>
  <si>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</si>
  <si>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</si>
  <si>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</si>
  <si>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</si>
  <si>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</si>
  <si>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</si>
  <si>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</si>
  <si>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</si>
  <si>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</si>
  <si>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</si>
  <si>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</si>
  <si>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</si>
  <si>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</si>
  <si>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</si>
  <si>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</si>
  <si>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</si>
  <si>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</si>
  <si>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</si>
  <si>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</si>
  <si>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</si>
  <si>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</si>
  <si>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</si>
  <si>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</si>
  <si>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企业</t>
  </si>
  <si>
    <r>
      <rPr>
        <sz val="10"/>
        <color theme="9" tint="-0.249977111117893"/>
        <rFont val="宋体"/>
        <family val="3"/>
        <charset val="134"/>
      </rPr>
      <t>西城区马连道路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等</t>
    </r>
    <r>
      <rPr>
        <sz val="10"/>
        <color theme="9" tint="-0.249977111117893"/>
        <rFont val="Arial"/>
        <family val="2"/>
      </rPr>
      <t>[24]</t>
    </r>
    <r>
      <rPr>
        <sz val="10"/>
        <color theme="9" tint="-0.249977111117893"/>
        <rFont val="宋体"/>
        <family val="3"/>
        <charset val="134"/>
      </rPr>
      <t>库房用房</t>
    </r>
    <phoneticPr fontId="6" type="noConversion"/>
  </si>
  <si>
    <t>居住项目</t>
  </si>
  <si>
    <t>无</t>
  </si>
  <si>
    <t>否</t>
  </si>
  <si>
    <t>现房</t>
  </si>
  <si>
    <t>城镇住宅用地</t>
  </si>
  <si>
    <t>自定义容积率</t>
  </si>
  <si>
    <t>楼号</t>
    <phoneticPr fontId="134" type="noConversion"/>
  </si>
  <si>
    <t>4号楼</t>
    <phoneticPr fontId="134" type="noConversion"/>
  </si>
  <si>
    <t>房屋总层数</t>
    <phoneticPr fontId="134" type="noConversion"/>
  </si>
  <si>
    <t>20（-02）</t>
    <phoneticPr fontId="134" type="noConversion"/>
  </si>
  <si>
    <t>所在层数</t>
    <phoneticPr fontId="134" type="noConversion"/>
  </si>
  <si>
    <t>部位及房号</t>
    <phoneticPr fontId="134" type="noConversion"/>
  </si>
  <si>
    <t>建筑面积</t>
    <phoneticPr fontId="134" type="noConversion"/>
  </si>
  <si>
    <t>规划用途</t>
    <phoneticPr fontId="134" type="noConversion"/>
  </si>
  <si>
    <t>库房</t>
    <phoneticPr fontId="134" type="noConversion"/>
  </si>
  <si>
    <t>合计</t>
    <phoneticPr fontId="134" type="noConversion"/>
  </si>
  <si>
    <t>成新度</t>
  </si>
  <si>
    <t>是</t>
  </si>
  <si>
    <t>地下</t>
  </si>
  <si>
    <t>广安门外街道</t>
    <phoneticPr fontId="3" type="noConversion"/>
  </si>
  <si>
    <t>收益法 (元)</t>
  </si>
  <si>
    <t>押一</t>
  </si>
  <si>
    <t>钢混</t>
  </si>
  <si>
    <t>非生产用房</t>
  </si>
  <si>
    <t>不临65条商业街</t>
  </si>
  <si>
    <t>有</t>
  </si>
  <si>
    <t>500-1000米</t>
  </si>
  <si>
    <t>与级别开发程度一致</t>
  </si>
  <si>
    <t>通路</t>
  </si>
  <si>
    <t>通电</t>
  </si>
  <si>
    <t>通讯</t>
  </si>
  <si>
    <t>通上水</t>
  </si>
  <si>
    <t>通下水</t>
  </si>
  <si>
    <t>通热</t>
  </si>
  <si>
    <t>燃气</t>
  </si>
  <si>
    <t>平整</t>
  </si>
  <si>
    <t>较好</t>
  </si>
  <si>
    <t>较差</t>
  </si>
  <si>
    <t>好</t>
  </si>
  <si>
    <t>未包含在土地购买价格中</t>
  </si>
  <si>
    <t>已包含在土地取得成本中</t>
  </si>
  <si>
    <t>成本法 (元)</t>
  </si>
  <si>
    <t>成本比率</t>
  </si>
  <si>
    <t>01库房</t>
  </si>
  <si>
    <t>01库房</t>
    <phoneticPr fontId="7" type="noConversion"/>
  </si>
  <si>
    <t>楼面单价</t>
  </si>
  <si>
    <r>
      <rPr>
        <sz val="10"/>
        <color indexed="8"/>
        <rFont val="宋体"/>
        <family val="3"/>
        <charset val="134"/>
      </rPr>
      <t>负</t>
    </r>
    <r>
      <rPr>
        <sz val="10"/>
        <color indexed="8"/>
        <rFont val="Arial"/>
        <family val="2"/>
      </rPr>
      <t>2</t>
    </r>
    <r>
      <rPr>
        <sz val="10"/>
        <color indexed="8"/>
        <rFont val="宋体"/>
        <family val="3"/>
        <charset val="134"/>
      </rPr>
      <t>层</t>
    </r>
    <phoneticPr fontId="24" type="noConversion"/>
  </si>
  <si>
    <t>负2层</t>
  </si>
  <si>
    <t>单套模式</t>
  </si>
  <si>
    <t>售价</t>
  </si>
  <si>
    <t>正常</t>
  </si>
  <si>
    <t>地下仓储</t>
  </si>
  <si>
    <t>地下仓储</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</si>
  <si>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</si>
  <si>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</si>
  <si>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</si>
  <si>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</si>
  <si>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</si>
  <si>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</si>
  <si>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</si>
  <si>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</si>
  <si>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</si>
  <si>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</si>
  <si>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</si>
  <si>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</si>
  <si>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有</t>
    <phoneticPr fontId="31" type="noConversion"/>
  </si>
  <si>
    <t>无</t>
    <phoneticPr fontId="31" type="noConversion"/>
  </si>
  <si>
    <t>七通</t>
  </si>
  <si>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</si>
  <si>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r>
      <rPr>
        <sz val="11"/>
        <color indexed="8"/>
        <rFont val="宋体"/>
        <family val="3"/>
        <charset val="134"/>
      </rPr>
      <t>负</t>
    </r>
    <r>
      <rPr>
        <sz val="11"/>
        <color indexed="8"/>
        <rFont val="Arial"/>
        <family val="2"/>
      </rPr>
      <t>2</t>
    </r>
    <r>
      <rPr>
        <sz val="11"/>
        <color indexed="8"/>
        <rFont val="宋体"/>
        <family val="3"/>
        <charset val="134"/>
      </rPr>
      <t>层</t>
    </r>
    <phoneticPr fontId="31" type="noConversion"/>
  </si>
  <si>
    <r>
      <rPr>
        <sz val="11"/>
        <color indexed="8"/>
        <rFont val="宋体"/>
        <family val="3"/>
        <charset val="134"/>
      </rPr>
      <t>负</t>
    </r>
    <r>
      <rPr>
        <sz val="11"/>
        <color indexed="8"/>
        <rFont val="Arial"/>
        <family val="2"/>
      </rPr>
      <t>3</t>
    </r>
    <r>
      <rPr>
        <sz val="11"/>
        <color indexed="8"/>
        <rFont val="宋体"/>
        <family val="3"/>
        <charset val="134"/>
      </rPr>
      <t>层</t>
    </r>
    <phoneticPr fontId="31" type="noConversion"/>
  </si>
  <si>
    <t>负3层</t>
  </si>
  <si>
    <t>首创·天阅山河</t>
    <phoneticPr fontId="3" type="noConversion"/>
  </si>
  <si>
    <t>建成年代</t>
    <phoneticPr fontId="31" type="noConversion"/>
  </si>
  <si>
    <t>端礼著</t>
    <phoneticPr fontId="31" type="noConversion"/>
  </si>
  <si>
    <r>
      <t>2025</t>
    </r>
    <r>
      <rPr>
        <sz val="11"/>
        <color indexed="8"/>
        <rFont val="宋体"/>
        <family val="3"/>
        <charset val="134"/>
      </rPr>
      <t>年</t>
    </r>
    <r>
      <rPr>
        <sz val="11"/>
        <color indexed="8"/>
        <rFont val="Arial"/>
        <family val="2"/>
      </rPr>
      <t>6</t>
    </r>
    <r>
      <rPr>
        <sz val="11"/>
        <color indexed="8"/>
        <rFont val="宋体"/>
        <family val="3"/>
        <charset val="134"/>
      </rPr>
      <t>月交房</t>
    </r>
    <phoneticPr fontId="31" type="noConversion"/>
  </si>
  <si>
    <t>北京金茂府</t>
    <phoneticPr fontId="3" type="noConversion"/>
  </si>
  <si>
    <t>比较法-仓储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</si>
</sst>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Font="1" applyAlignment="1">
      <alignment horizontal="left" vertical="center"/>
    </xf>
    <xf numFmtId="0" fontId="128"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676274</xdr:colOff>
      <xdr:row>29</xdr:row>
      <xdr:rowOff>25472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963274" cy="4826072"/>
        </a:xfrm>
        <a:prstGeom prst="rect">
          <a:avLst/>
        </a:prstGeom>
      </xdr:spPr>
    </xdr:pic>
    <xdr:clientData/>
  </xdr:twoCellAnchor>
  <xdr:twoCellAnchor editAs="oneCell">
    <xdr:from>
      <xdr:col>16</xdr:col>
      <xdr:colOff>125766</xdr:colOff>
      <xdr:row>30</xdr:row>
      <xdr:rowOff>19050</xdr:rowOff>
    </xdr:from>
    <xdr:to>
      <xdr:col>25</xdr:col>
      <xdr:colOff>589671</xdr:colOff>
      <xdr:row>59</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11098566" y="5162550"/>
          <a:ext cx="6636105" cy="4981575"/>
        </a:xfrm>
        <a:prstGeom prst="rect">
          <a:avLst/>
        </a:prstGeom>
      </xdr:spPr>
    </xdr:pic>
    <xdr:clientData/>
  </xdr:twoCellAnchor>
  <xdr:twoCellAnchor editAs="oneCell">
    <xdr:from>
      <xdr:col>0</xdr:col>
      <xdr:colOff>0</xdr:colOff>
      <xdr:row>31</xdr:row>
      <xdr:rowOff>0</xdr:rowOff>
    </xdr:from>
    <xdr:to>
      <xdr:col>16</xdr:col>
      <xdr:colOff>122439</xdr:colOff>
      <xdr:row>59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11095239" cy="4847619"/>
        </a:xfrm>
        <a:prstGeom prst="rect">
          <a:avLst/>
        </a:prstGeom>
      </xdr:spPr>
    </xdr:pic>
    <xdr:clientData/>
  </xdr:twoCellAnchor>
  <xdr:twoCellAnchor editAs="oneCell">
    <xdr:from>
      <xdr:col>0</xdr:col>
      <xdr:colOff>0</xdr:colOff>
      <xdr:row>60</xdr:row>
      <xdr:rowOff>0</xdr:rowOff>
    </xdr:from>
    <xdr:to>
      <xdr:col>16</xdr:col>
      <xdr:colOff>236725</xdr:colOff>
      <xdr:row>89</xdr:row>
      <xdr:rowOff>161284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287000"/>
          <a:ext cx="11209525" cy="5133334"/>
        </a:xfrm>
        <a:prstGeom prst="rect">
          <a:avLst/>
        </a:prstGeom>
      </xdr:spPr>
    </xdr:pic>
    <xdr:clientData/>
  </xdr:twoCellAnchor>
  <xdr:twoCellAnchor editAs="oneCell">
    <xdr:from>
      <xdr:col>16</xdr:col>
      <xdr:colOff>20834</xdr:colOff>
      <xdr:row>0</xdr:row>
      <xdr:rowOff>123825</xdr:rowOff>
    </xdr:from>
    <xdr:to>
      <xdr:col>31</xdr:col>
      <xdr:colOff>208171</xdr:colOff>
      <xdr:row>29</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10993634" y="123825"/>
          <a:ext cx="10474337" cy="4848225"/>
        </a:xfrm>
        <a:prstGeom prst="rect">
          <a:avLst/>
        </a:prstGeom>
      </xdr:spPr>
    </xdr:pic>
    <xdr:clientData/>
  </xdr:twoCellAnchor>
  <xdr:twoCellAnchor editAs="oneCell">
    <xdr:from>
      <xdr:col>0</xdr:col>
      <xdr:colOff>0</xdr:colOff>
      <xdr:row>91</xdr:row>
      <xdr:rowOff>0</xdr:rowOff>
    </xdr:from>
    <xdr:to>
      <xdr:col>16</xdr:col>
      <xdr:colOff>246248</xdr:colOff>
      <xdr:row>119</xdr:row>
      <xdr:rowOff>123210</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5601950"/>
          <a:ext cx="11219048" cy="4923810"/>
        </a:xfrm>
        <a:prstGeom prst="rect">
          <a:avLst/>
        </a:prstGeom>
      </xdr:spPr>
    </xdr:pic>
    <xdr:clientData/>
  </xdr:twoCellAnchor>
  <xdr:twoCellAnchor editAs="oneCell">
    <xdr:from>
      <xdr:col>0</xdr:col>
      <xdr:colOff>0</xdr:colOff>
      <xdr:row>120</xdr:row>
      <xdr:rowOff>0</xdr:rowOff>
    </xdr:from>
    <xdr:to>
      <xdr:col>16</xdr:col>
      <xdr:colOff>503391</xdr:colOff>
      <xdr:row>150</xdr:row>
      <xdr:rowOff>161262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0574000"/>
          <a:ext cx="11476191" cy="5304762"/>
        </a:xfrm>
        <a:prstGeom prst="rect">
          <a:avLst/>
        </a:prstGeom>
      </xdr:spPr>
    </xdr:pic>
    <xdr:clientData/>
  </xdr:twoCellAnchor>
  <xdr:twoCellAnchor editAs="oneCell">
    <xdr:from>
      <xdr:col>16</xdr:col>
      <xdr:colOff>180975</xdr:colOff>
      <xdr:row>151</xdr:row>
      <xdr:rowOff>104775</xdr:rowOff>
    </xdr:from>
    <xdr:to>
      <xdr:col>26</xdr:col>
      <xdr:colOff>408690</xdr:colOff>
      <xdr:row>181</xdr:row>
      <xdr:rowOff>27942</xdr:rowOff>
    </xdr:to>
    <xdr:pic>
      <xdr:nvPicPr>
        <xdr:cNvPr id="12" name="图片 11"/>
        <xdr:cNvPicPr>
          <a:picLocks noChangeAspect="1"/>
        </xdr:cNvPicPr>
      </xdr:nvPicPr>
      <xdr:blipFill>
        <a:blip xmlns:r="http://schemas.openxmlformats.org/officeDocument/2006/relationships" r:embed="rId8"/>
        <a:stretch>
          <a:fillRect/>
        </a:stretch>
      </xdr:blipFill>
      <xdr:spPr>
        <a:xfrm>
          <a:off x="11153775" y="25993725"/>
          <a:ext cx="7085715" cy="5066667"/>
        </a:xfrm>
        <a:prstGeom prst="rect">
          <a:avLst/>
        </a:prstGeom>
      </xdr:spPr>
    </xdr:pic>
    <xdr:clientData/>
  </xdr:twoCellAnchor>
  <xdr:twoCellAnchor editAs="oneCell">
    <xdr:from>
      <xdr:col>0</xdr:col>
      <xdr:colOff>0</xdr:colOff>
      <xdr:row>152</xdr:row>
      <xdr:rowOff>1</xdr:rowOff>
    </xdr:from>
    <xdr:to>
      <xdr:col>16</xdr:col>
      <xdr:colOff>121190</xdr:colOff>
      <xdr:row>180</xdr:row>
      <xdr:rowOff>152401</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26060401"/>
          <a:ext cx="11093990" cy="495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503306</xdr:colOff>
      <xdr:row>32</xdr:row>
      <xdr:rowOff>27886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61906" cy="55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113001</xdr:colOff>
      <xdr:row>35</xdr:row>
      <xdr:rowOff>113558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400001" cy="5942858"/>
        </a:xfrm>
        <a:prstGeom prst="rect">
          <a:avLst/>
        </a:prstGeom>
      </xdr:spPr>
    </xdr:pic>
    <xdr:clientData/>
  </xdr:twoCellAnchor>
  <xdr:twoCellAnchor editAs="oneCell">
    <xdr:from>
      <xdr:col>0</xdr:col>
      <xdr:colOff>0</xdr:colOff>
      <xdr:row>38</xdr:row>
      <xdr:rowOff>0</xdr:rowOff>
    </xdr:from>
    <xdr:to>
      <xdr:col>15</xdr:col>
      <xdr:colOff>93953</xdr:colOff>
      <xdr:row>72</xdr:row>
      <xdr:rowOff>151653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10380953" cy="5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北京市西城区马连道路15号院4号楼-2层01等[24]库房用房房地产抵押价值预评估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受贵公司委托，我公司对北京市西城区马连道路15号院4号楼-2层01等[24]库房用房房地产抵押价值进行了预评估。</v>
      </c>
    </row>
    <row r="7" spans="1:2" s="1203" customFormat="1">
      <c r="A7" s="1201" t="s">
        <v>566</v>
      </c>
      <c r="B7" s="1202" t="str">
        <f>'预评函-1'!A7</f>
        <v>估价对象为北京市西城区马连道路15号院4号楼-2层01等[24]库房用房房地产，为所有。根据《国有土地使用证》[]，估价对象（分摊）出让国有建设用地使用权面积为0平方米，建筑面积为40.63平方米。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马连道路15号院4号楼-2层01等[24]库房用房房地产,属开发建设的居住项目，该项目尚在开发建设中。根据《国有土地使用证》[]，估价对象（分摊）出让国有建设用地使用权面积为0平方米，规划建筑面积为40.63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西城区马连道路15号院4号楼-2层01等[24]库房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2025年5月27日（评估专业人员实地查勘之日）</v>
      </c>
    </row>
    <row r="13" spans="1:2" s="1203" customFormat="1">
      <c r="A13" s="1201" t="s">
        <v>529</v>
      </c>
      <c r="B13" s="1202" t="str">
        <f>'预评函-1'!A18</f>
        <v>本次估价的“房地产价值”是指在正常市场情况下，在价值时点2025年5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v>
      </c>
    </row>
    <row r="21" spans="1:2" s="1203" customFormat="1">
      <c r="A21" s="1201" t="s">
        <v>537</v>
      </c>
      <c r="B21" s="1202">
        <f ca="1">'预评函-2'!D7</f>
        <v>8955</v>
      </c>
    </row>
    <row r="22" spans="1:2" s="1203" customFormat="1">
      <c r="A22" s="1201" t="s">
        <v>538</v>
      </c>
      <c r="B22" s="1202" t="str">
        <f ca="1">'预评函-2'!D6</f>
        <v>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v>
      </c>
    </row>
    <row r="31" spans="1:2" s="1203" customFormat="1">
      <c r="A31" s="1201" t="s">
        <v>576</v>
      </c>
      <c r="B31" s="1202">
        <f ca="1">'预评函-2'!D15</f>
        <v>8955</v>
      </c>
    </row>
    <row r="32" spans="1:2" s="1203" customFormat="1">
      <c r="A32" s="1201" t="s">
        <v>543</v>
      </c>
      <c r="B32" s="1202" t="str">
        <f ca="1">'预评函-2'!D14</f>
        <v>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北京市西城区马连道路15号院4号楼-2层01等[24]库房用房房地产</v>
      </c>
    </row>
    <row r="42" spans="1:2" s="1203" customFormat="1">
      <c r="A42" s="1201" t="s">
        <v>590</v>
      </c>
      <c r="B42" s="1202" t="str">
        <f>'预评函-3'!B2</f>
        <v>建筑面积</v>
      </c>
    </row>
    <row r="43" spans="1:2" s="1203" customFormat="1">
      <c r="A43" s="1201" t="s">
        <v>591</v>
      </c>
      <c r="B43" s="1202">
        <f>'预评函-3'!B4</f>
        <v>40.630000000000003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24</v>
      </c>
    </row>
    <row r="48" spans="1:2" s="1203" customFormat="1">
      <c r="A48" s="1201" t="s">
        <v>549</v>
      </c>
      <c r="B48" s="1202">
        <f ca="1">'预评函-3'!E4</f>
        <v>5964</v>
      </c>
    </row>
    <row r="49" spans="1:2" s="1203" customFormat="1">
      <c r="A49" s="1201" t="s">
        <v>550</v>
      </c>
      <c r="B49" s="1202" t="str">
        <f ca="1">'预评函-3'!D5</f>
        <v>贰拾肆万元整</v>
      </c>
    </row>
    <row r="50" spans="1:2" s="1203" customFormat="1">
      <c r="A50" s="1201" t="s">
        <v>574</v>
      </c>
      <c r="B50" s="1202" t="str">
        <f>'预评函-3'!F2</f>
        <v>在建建筑物价值</v>
      </c>
    </row>
    <row r="51" spans="1:2" s="1203" customFormat="1">
      <c r="A51" s="1201" t="s">
        <v>551</v>
      </c>
      <c r="B51" s="1202">
        <f ca="1">'预评函-3'!F4</f>
        <v>12</v>
      </c>
    </row>
    <row r="52" spans="1:2" s="1203" customFormat="1">
      <c r="A52" s="1201" t="s">
        <v>552</v>
      </c>
      <c r="B52" s="1202">
        <f ca="1">'预评函-3'!G4</f>
        <v>2991</v>
      </c>
    </row>
    <row r="53" spans="1:2" s="1203" customFormat="1">
      <c r="A53" s="1201" t="s">
        <v>580</v>
      </c>
      <c r="B53" s="1202" t="str">
        <f ca="1">'预评函-3'!F5</f>
        <v>壹拾贰万元整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5" sqref="I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2292</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马连道路15号院4号楼-2层01等[24]库房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08" t="s">
        <v>2579</v>
      </c>
      <c r="J2" s="3508"/>
      <c r="K2" s="3508"/>
      <c r="L2" s="3508"/>
      <c r="M2" s="3508"/>
      <c r="N2" s="3508"/>
      <c r="O2" s="3508"/>
      <c r="P2" s="3508"/>
      <c r="Q2" s="3508"/>
      <c r="R2" s="3508"/>
    </row>
    <row r="3" spans="1:18">
      <c r="A3" s="3020" t="s">
        <v>2500</v>
      </c>
      <c r="B3" s="3021">
        <f>项目基本情况!D3</f>
        <v>45804</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1.56</v>
      </c>
      <c r="D5" s="3025">
        <f>IF(ISERROR(ROUND(POWER(1+E5,A5-C5)*(POWER(1+E5,C5)-1)/(POWER(1+E5,A5)-1),3)),0,ROUND(POWER(1+E5,A5-C5)*(POWER(1+E5,C5)-1)/(POWER(1+E5,A5)-1),4))</f>
        <v>7.4999999999999997E-2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11.57</v>
      </c>
      <c r="D6" s="3025">
        <f>IF(ISERROR(ROUND(POWER(1+E6,A6-C6)*(POWER(1+E6,C6)-1)/(POWER(1+E6,A6)-1),3)),0,ROUND(POWER(1+E6,A6-C6)*(POWER(1+E6,C6)-1)/(POWER(1+E6,A6)-1),4))</f>
        <v>0.42449999999999999</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31.58</v>
      </c>
      <c r="D7" s="3025">
        <f>IF(ISERROR(ROUND(POWER(1+E7,A7-C7)*(POWER(1+E7,C7)-1)/(POWER(1+E7,A7)-1),3)),0,ROUND(POWER(1+E7,A7-C7)*(POWER(1+E7,C7)-1)/(POWER(1+E7,A7)-1),4))</f>
        <v>0.75890000000000002</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4.25" thickBot="1">
      <c r="A18" s="3031" t="s">
        <v>2515</v>
      </c>
      <c r="B18" s="3032">
        <f>ROUND(B17*F11/F12,2)</f>
        <v>5541.87</v>
      </c>
      <c r="C18" s="3032">
        <f>ROUND(F11/F12,4)</f>
        <v>1.1521999999999999</v>
      </c>
      <c r="D18" s="3033"/>
      <c r="E18" s="3033"/>
      <c r="F18" s="3034"/>
    </row>
    <row r="19" spans="1:14" ht="14.25" thickBot="1"/>
    <row r="20" spans="1:14" s="3069" customFormat="1" ht="14.2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4.2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16" sqref="M1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9" t="str">
        <f>IF(B10="北京市","北京市",C10)&amp;F10&amp;IF(结果表!G1="在建","出让国有建设用地使用权及在建建筑物",IF(结果表!G1="土地","出让国有建设用地使用权",))&amp;B9&amp;"预评估"</f>
        <v>北京市西城区马连道路15号院4号楼-2层01等[24]库房用房房地产抵押价值预评估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北京市西城区马连道路15号院4号楼-2层01等[24]库房用房房地产抵押价值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北京市西城区马连道路15号院4号楼-2层01等[24]库房用房房地产</v>
      </c>
      <c r="T2" s="1745"/>
      <c r="U2" s="1745"/>
      <c r="V2" s="1745"/>
      <c r="W2" s="1745"/>
      <c r="X2" s="1745"/>
      <c r="Y2" s="1745"/>
      <c r="Z2" s="1745"/>
      <c r="AA2" s="1745"/>
      <c r="AB2" s="1745"/>
    </row>
    <row r="3" spans="1:30">
      <c r="A3" s="302" t="s">
        <v>2169</v>
      </c>
      <c r="B3" s="2373">
        <v>45804</v>
      </c>
      <c r="C3" s="2374" t="s">
        <v>2170</v>
      </c>
      <c r="D3" s="2373">
        <f>B3</f>
        <v>45804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3411</v>
      </c>
      <c r="C4" s="2376">
        <f ca="1">SUMIF(注册房地产估价师,B4,估价师及机构信息!B3:B24)</f>
        <v>1419970001</v>
      </c>
      <c r="D4" s="2375" t="s">
        <v>3412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3413</v>
      </c>
      <c r="C8" s="2390"/>
      <c r="D8" s="3512" t="s">
        <v>2176</v>
      </c>
      <c r="E8" s="2391" t="s">
        <v>3414</v>
      </c>
      <c r="F8" s="2392"/>
      <c r="G8" s="2663"/>
      <c r="H8" s="2663"/>
      <c r="I8" s="2663"/>
      <c r="J8" s="2439"/>
      <c r="K8" s="2614"/>
      <c r="L8" s="2613"/>
      <c r="M8" s="2613"/>
      <c r="N8" s="2439"/>
      <c r="O8" s="2450"/>
      <c r="P8" s="2439"/>
      <c r="Q8" s="2439"/>
      <c r="R8" s="2439"/>
    </row>
    <row r="9" spans="1:30" ht="13.5" thickBot="1">
      <c r="A9" s="2393" t="s">
        <v>2177</v>
      </c>
      <c r="B9" s="2394" t="s">
        <v>3414</v>
      </c>
      <c r="C9" s="2395"/>
      <c r="D9" s="3513"/>
      <c r="E9" s="2394" t="s">
        <v>43</v>
      </c>
      <c r="F9" s="2396"/>
      <c r="G9" s="2665"/>
      <c r="H9" s="2665"/>
      <c r="I9" s="2665"/>
      <c r="J9" s="2439"/>
      <c r="K9" s="2616"/>
      <c r="L9" s="2613"/>
      <c r="M9" s="2613"/>
      <c r="N9" s="2439"/>
      <c r="O9" s="2450"/>
      <c r="P9" s="2439"/>
      <c r="Q9" s="2439"/>
      <c r="R9" s="2439"/>
    </row>
    <row r="10" spans="1:30" ht="13.5" thickTop="1">
      <c r="A10" s="2397" t="s">
        <v>2178</v>
      </c>
      <c r="B10" s="2398" t="s">
        <v>3415</v>
      </c>
      <c r="C10" s="2399"/>
      <c r="D10" s="2382"/>
      <c r="E10" s="2400" t="s">
        <v>2179</v>
      </c>
      <c r="F10" s="2666" t="s">
        <v>3417</v>
      </c>
      <c r="G10" s="2667"/>
      <c r="H10" s="2668"/>
      <c r="I10" s="2669"/>
      <c r="J10" s="2439"/>
      <c r="K10" s="2616"/>
      <c r="L10" s="2613"/>
      <c r="M10" s="2613"/>
      <c r="N10" s="2439"/>
      <c r="O10" s="2450"/>
      <c r="P10" s="2439"/>
      <c r="Q10" s="2439"/>
      <c r="R10" s="2439"/>
    </row>
    <row r="11" spans="1:30">
      <c r="A11" s="2401" t="s">
        <v>2180</v>
      </c>
      <c r="B11" s="2402" t="s">
        <v>3416</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2575</v>
      </c>
      <c r="J12" s="3062"/>
      <c r="K12" s="2613"/>
      <c r="L12" s="2613"/>
      <c r="M12" s="2439"/>
      <c r="N12" s="2450"/>
      <c r="O12" s="2439"/>
      <c r="P12" s="2439"/>
      <c r="Q12" s="2439"/>
      <c r="AD12" s="1745"/>
    </row>
    <row r="13" spans="1:30">
      <c r="A13" s="3423" t="s">
        <v>3331</v>
      </c>
      <c r="B13" s="2407" t="s">
        <v>2189</v>
      </c>
      <c r="C13" s="856">
        <v>56490</v>
      </c>
      <c r="D13" s="856"/>
      <c r="E13" s="856"/>
      <c r="F13" s="856">
        <v>56490</v>
      </c>
      <c r="G13" s="856">
        <v>56490</v>
      </c>
      <c r="H13" s="856"/>
      <c r="I13" s="856"/>
      <c r="J13" s="3062"/>
      <c r="K13" s="2613"/>
      <c r="L13" s="2613"/>
      <c r="M13" s="2439"/>
      <c r="N13" s="2450"/>
      <c r="O13" s="2439"/>
      <c r="P13" s="2439"/>
      <c r="Q13" s="2439"/>
      <c r="AD13" s="1745"/>
    </row>
    <row r="14" spans="1:30">
      <c r="A14" s="1081"/>
      <c r="B14" s="2407" t="s">
        <v>2190</v>
      </c>
      <c r="C14" s="2408">
        <v>50</v>
      </c>
      <c r="D14" s="2408"/>
      <c r="E14" s="2408"/>
      <c r="F14" s="2408">
        <v>50</v>
      </c>
      <c r="G14" s="2408">
        <v>50</v>
      </c>
      <c r="H14" s="2408"/>
      <c r="I14" s="2408"/>
      <c r="J14" s="3063"/>
      <c r="K14" s="2613"/>
      <c r="L14" s="2613"/>
      <c r="M14" s="2439"/>
      <c r="N14" s="2450"/>
      <c r="O14" s="2439"/>
      <c r="P14" s="2439"/>
      <c r="Q14" s="2439"/>
      <c r="AD14" s="1745"/>
    </row>
    <row r="15" spans="1:30">
      <c r="A15" s="320"/>
      <c r="B15" s="2409" t="s">
        <v>2191</v>
      </c>
      <c r="C15" s="2410">
        <f>IF(A13="出让",IF(C13="","",ROUNDDOWN(MIN((C13-$D$3)/365,C14),2)),C14)</f>
        <v>29.27</v>
      </c>
      <c r="D15" s="2410" t="str">
        <f>IF(A13="出让",IF(D13="","",ROUNDDOWN(MIN((D13-$D$3)/365,D14),2)),D14)</f>
        <v/>
      </c>
      <c r="E15" s="2410" t="str">
        <f>IF(A13="出让",IF(E13="","",ROUNDDOWN(MIN((E13-$D$3)/365,E14),2)),E14)</f>
        <v/>
      </c>
      <c r="F15" s="2410">
        <f>IF(A13="出让",IF(F13="","",ROUNDDOWN(MIN((F13-$D$3)/365,F14),2)),F14)</f>
        <v>29.27</v>
      </c>
      <c r="G15" s="2410">
        <f>IF(A13="出让",IF(G13="","",ROUNDDOWN(MIN((G13-$D$3)/365,G14),2)),G14)</f>
        <v>29.27</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9"/>
      <c r="C16" s="3520"/>
      <c r="D16" s="3521"/>
      <c r="E16" s="2413" t="s">
        <v>2193</v>
      </c>
      <c r="F16" s="3522"/>
      <c r="G16" s="3523"/>
      <c r="H16" s="3523"/>
      <c r="I16" s="3524"/>
      <c r="J16" s="2439"/>
      <c r="K16" s="2617"/>
      <c r="L16" s="2451"/>
      <c r="M16" s="2451"/>
      <c r="N16" s="2509"/>
      <c r="O16" s="2451"/>
      <c r="P16" s="2509"/>
      <c r="Q16" s="2439"/>
      <c r="R16" s="2439"/>
    </row>
    <row r="17" spans="1:28">
      <c r="A17" s="313" t="s">
        <v>2194</v>
      </c>
      <c r="B17" s="302" t="s">
        <v>2195</v>
      </c>
      <c r="C17" s="8">
        <f>'数据-汇总表'!E3</f>
        <v>40.630000000000003</v>
      </c>
      <c r="D17" s="2322" t="s">
        <v>2196</v>
      </c>
      <c r="E17" s="3525" t="s">
        <v>2197</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8" t="s">
        <v>2201</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5" t="s">
        <v>2205</v>
      </c>
      <c r="C20" s="3516"/>
      <c r="D20" s="3517" t="s">
        <v>2206</v>
      </c>
      <c r="E20" s="3518"/>
      <c r="F20" s="2647" t="s">
        <v>1056</v>
      </c>
      <c r="G20" s="2664"/>
      <c r="H20" s="2664"/>
      <c r="I20" s="2664"/>
      <c r="J20" s="2439"/>
      <c r="K20" s="351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2" t="s">
        <v>2213</v>
      </c>
      <c r="B27" s="320" t="s">
        <v>2214</v>
      </c>
      <c r="C27" s="2416" t="s">
        <v>3418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2"/>
      <c r="B28" s="302" t="s">
        <v>2215</v>
      </c>
      <c r="C28" s="2418" t="s">
        <v>3419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2"/>
      <c r="B29" s="302" t="s">
        <v>2216</v>
      </c>
      <c r="C29" s="2420" t="s">
        <v>3420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3"/>
      <c r="B30" s="302" t="s">
        <v>2217</v>
      </c>
      <c r="C30" s="3534"/>
      <c r="D30" s="3535"/>
      <c r="E30" s="2664"/>
      <c r="F30" s="2664"/>
      <c r="G30" s="2664"/>
      <c r="H30" s="2664"/>
      <c r="I30" s="2664"/>
      <c r="J30" s="2439"/>
      <c r="K30" s="2616"/>
      <c r="L30" s="2613"/>
      <c r="M30" s="2613"/>
      <c r="N30" s="2439"/>
      <c r="O30" s="2450"/>
      <c r="P30" s="2439"/>
      <c r="Q30" s="2439"/>
      <c r="R30" s="2439"/>
      <c r="S30" s="2439"/>
      <c r="T30" s="2439"/>
      <c r="U30" s="2439"/>
      <c r="V30" s="2439"/>
    </row>
    <row r="31" spans="1:28">
      <c r="A31" s="3536" t="s">
        <v>2218</v>
      </c>
      <c r="B31" s="2422" t="s">
        <v>3421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1" t="s">
        <v>2227</v>
      </c>
      <c r="T34" s="2428" t="str">
        <f>NUMBERSTRING(7-K34,1)&amp;"通"</f>
        <v>七通</v>
      </c>
      <c r="U34" s="2439"/>
      <c r="V34" s="2439"/>
    </row>
    <row r="35" spans="1:30">
      <c r="A35" s="2429"/>
      <c r="B35" s="3538" t="s">
        <v>2228</v>
      </c>
      <c r="C35" s="3538"/>
      <c r="D35" s="3538"/>
      <c r="E35" s="353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2578</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t="s">
        <v>186</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40.630000000000003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40.630000000000003</v>
      </c>
      <c r="H5" s="13">
        <f t="shared" ref="H5:AT5" si="0">SUM(H13:H656)</f>
        <v>40.630000000000003</v>
      </c>
      <c r="I5" s="13">
        <f t="shared" si="0"/>
        <v>40.630000000000003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40.630000000000003</v>
      </c>
      <c r="BA5" s="15">
        <f t="shared" si="1"/>
        <v>40.630000000000003</v>
      </c>
      <c r="BB5" s="15">
        <f t="shared" si="1"/>
        <v>40.630000000000003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3436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3435</v>
      </c>
      <c r="E13" s="13">
        <f>IF($C$3="是",ROUND($A$3*G13/$B$3,2),ROUND($A$3*(G13-AT13)/$B$3,2))</f>
        <v>0</v>
      </c>
      <c r="F13" s="29"/>
      <c r="G13" s="30">
        <f>H13+AC13+AT13</f>
        <v>40.630000000000003</v>
      </c>
      <c r="H13" s="17">
        <f>SUMIF(I$12:AB$12,"总值",I13:AB13)</f>
        <v>40.630000000000003</v>
      </c>
      <c r="I13" s="1626">
        <f>清单!F3</f>
        <v>40.630000000000003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40.630000000000003</v>
      </c>
      <c r="BA13" s="13">
        <f>SUM(BB13:BK13)</f>
        <v>40.630000000000003</v>
      </c>
      <c r="BB13" s="13">
        <f>IF($D13="是",I13-J13,0)</f>
        <v>40.630000000000003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7"/>
  <sheetViews>
    <sheetView workbookViewId="0">
      <selection activeCell="K15" sqref="K15"/>
    </sheetView>
  </sheetViews>
  <sheetFormatPr defaultRowHeight="13.5"/>
  <cols>
    <col min="1" max="2" width="9" style="3254"/>
    <col min="3" max="3" width="11.25" style="3254" customWidth="1"/>
    <col min="4" max="4" width="9" style="3254"/>
    <col min="5" max="5" width="11.25" style="3254" customWidth="1"/>
    <col min="6" max="6" width="12" style="3254" customWidth="1"/>
    <col min="7" max="16384" width="9" style="3254"/>
  </cols>
  <sheetData>
    <row r="2" spans="2:7">
      <c r="B2" s="3806" t="s">
        <v>3424</v>
      </c>
      <c r="C2" s="3806" t="s">
        <v>3426</v>
      </c>
      <c r="D2" s="3806" t="s">
        <v>3428</v>
      </c>
      <c r="E2" s="3806" t="s">
        <v>3429</v>
      </c>
      <c r="F2" s="3806" t="s">
        <v>3430</v>
      </c>
      <c r="G2" s="3806" t="s">
        <v>3431</v>
      </c>
    </row>
    <row r="3" spans="2:7">
      <c r="B3" s="3806" t="s">
        <v>3425</v>
      </c>
      <c r="C3" s="3806" t="s">
        <v>3427</v>
      </c>
      <c r="D3" s="3254">
        <v>-2</v>
      </c>
      <c r="E3" s="3254">
        <v>1</v>
      </c>
      <c r="F3" s="3254">
        <v>40.630000000000003</v>
      </c>
      <c r="G3" s="3806" t="s">
        <v>3432</v>
      </c>
    </row>
    <row r="4" spans="2:7">
      <c r="B4" s="3806" t="s">
        <v>3425</v>
      </c>
      <c r="C4" s="3806" t="s">
        <v>3427</v>
      </c>
      <c r="D4" s="3254">
        <v>-2</v>
      </c>
      <c r="E4" s="3254">
        <v>2</v>
      </c>
      <c r="F4" s="3254">
        <v>40.630000000000003</v>
      </c>
      <c r="G4" s="3806" t="s">
        <v>3432</v>
      </c>
    </row>
    <row r="5" spans="2:7">
      <c r="B5" s="3806" t="s">
        <v>3425</v>
      </c>
      <c r="C5" s="3806" t="s">
        <v>3427</v>
      </c>
      <c r="D5" s="3254">
        <v>-2</v>
      </c>
      <c r="E5" s="3254">
        <v>3</v>
      </c>
      <c r="F5" s="3254">
        <v>31.1</v>
      </c>
      <c r="G5" s="3806" t="s">
        <v>3432</v>
      </c>
    </row>
    <row r="6" spans="2:7">
      <c r="B6" s="3806" t="s">
        <v>3425</v>
      </c>
      <c r="C6" s="3806" t="s">
        <v>3427</v>
      </c>
      <c r="D6" s="3254">
        <v>-2</v>
      </c>
      <c r="E6" s="3254">
        <v>4</v>
      </c>
      <c r="F6" s="3254">
        <v>28.39</v>
      </c>
      <c r="G6" s="3806" t="s">
        <v>3432</v>
      </c>
    </row>
    <row r="7" spans="2:7">
      <c r="B7" s="3806" t="s">
        <v>3425</v>
      </c>
      <c r="C7" s="3806" t="s">
        <v>3427</v>
      </c>
      <c r="D7" s="3254">
        <v>-2</v>
      </c>
      <c r="E7" s="3254">
        <v>5</v>
      </c>
      <c r="F7" s="3254">
        <v>36.08</v>
      </c>
      <c r="G7" s="3806" t="s">
        <v>3432</v>
      </c>
    </row>
    <row r="8" spans="2:7">
      <c r="B8" s="3806" t="s">
        <v>3425</v>
      </c>
      <c r="C8" s="3806" t="s">
        <v>3427</v>
      </c>
      <c r="D8" s="3254">
        <v>-2</v>
      </c>
      <c r="E8" s="3254">
        <v>6</v>
      </c>
      <c r="F8" s="3254">
        <v>42.63</v>
      </c>
      <c r="G8" s="3806" t="s">
        <v>3432</v>
      </c>
    </row>
    <row r="9" spans="2:7">
      <c r="B9" s="3806" t="s">
        <v>3425</v>
      </c>
      <c r="C9" s="3806" t="s">
        <v>3427</v>
      </c>
      <c r="D9" s="3254">
        <v>-2</v>
      </c>
      <c r="E9" s="3254">
        <v>7</v>
      </c>
      <c r="F9" s="3254">
        <v>8.26</v>
      </c>
      <c r="G9" s="3806" t="s">
        <v>3432</v>
      </c>
    </row>
    <row r="10" spans="2:7">
      <c r="B10" s="3806" t="s">
        <v>3425</v>
      </c>
      <c r="C10" s="3806" t="s">
        <v>3427</v>
      </c>
      <c r="D10" s="3254">
        <v>-2</v>
      </c>
      <c r="E10" s="3254">
        <v>8</v>
      </c>
      <c r="F10" s="3254">
        <v>33.26</v>
      </c>
      <c r="G10" s="3806" t="s">
        <v>3432</v>
      </c>
    </row>
    <row r="11" spans="2:7">
      <c r="B11" s="3806" t="s">
        <v>3425</v>
      </c>
      <c r="C11" s="3806" t="s">
        <v>3427</v>
      </c>
      <c r="D11" s="3254">
        <v>-2</v>
      </c>
      <c r="E11" s="3254">
        <v>9</v>
      </c>
      <c r="F11" s="3254">
        <v>56.84</v>
      </c>
      <c r="G11" s="3806" t="s">
        <v>3432</v>
      </c>
    </row>
    <row r="12" spans="2:7">
      <c r="B12" s="3806" t="s">
        <v>3425</v>
      </c>
      <c r="C12" s="3806" t="s">
        <v>3427</v>
      </c>
      <c r="D12" s="3254">
        <v>-2</v>
      </c>
      <c r="E12" s="3254">
        <v>10</v>
      </c>
      <c r="F12" s="3254">
        <v>30.93</v>
      </c>
      <c r="G12" s="3806" t="s">
        <v>3432</v>
      </c>
    </row>
    <row r="13" spans="2:7">
      <c r="B13" s="3806" t="s">
        <v>3425</v>
      </c>
      <c r="C13" s="3806" t="s">
        <v>3427</v>
      </c>
      <c r="D13" s="3254">
        <v>-2</v>
      </c>
      <c r="E13" s="3254">
        <v>11</v>
      </c>
      <c r="F13" s="3254">
        <v>53.88</v>
      </c>
      <c r="G13" s="3806" t="s">
        <v>3432</v>
      </c>
    </row>
    <row r="14" spans="2:7">
      <c r="B14" s="3806" t="s">
        <v>3425</v>
      </c>
      <c r="C14" s="3806" t="s">
        <v>3427</v>
      </c>
      <c r="D14" s="3254">
        <v>-2</v>
      </c>
      <c r="E14" s="3254">
        <v>12</v>
      </c>
      <c r="F14" s="3254">
        <v>29.7</v>
      </c>
      <c r="G14" s="3806" t="s">
        <v>3432</v>
      </c>
    </row>
    <row r="15" spans="2:7">
      <c r="B15" s="3806" t="s">
        <v>3425</v>
      </c>
      <c r="C15" s="3806" t="s">
        <v>3427</v>
      </c>
      <c r="D15" s="3254">
        <v>-2</v>
      </c>
      <c r="E15" s="3254">
        <v>13</v>
      </c>
      <c r="F15" s="3254">
        <v>31.01</v>
      </c>
      <c r="G15" s="3806" t="s">
        <v>3432</v>
      </c>
    </row>
    <row r="16" spans="2:7">
      <c r="B16" s="3806" t="s">
        <v>3425</v>
      </c>
      <c r="C16" s="3806" t="s">
        <v>3427</v>
      </c>
      <c r="D16" s="3254">
        <v>-2</v>
      </c>
      <c r="E16" s="3254">
        <v>14</v>
      </c>
      <c r="F16" s="3254">
        <v>37.57</v>
      </c>
      <c r="G16" s="3806" t="s">
        <v>3432</v>
      </c>
    </row>
    <row r="17" spans="2:7">
      <c r="B17" s="3806" t="s">
        <v>3425</v>
      </c>
      <c r="C17" s="3806" t="s">
        <v>3427</v>
      </c>
      <c r="D17" s="3254">
        <v>-2</v>
      </c>
      <c r="E17" s="3254">
        <v>15</v>
      </c>
      <c r="F17" s="3254">
        <v>40.299999999999997</v>
      </c>
      <c r="G17" s="3806" t="s">
        <v>3432</v>
      </c>
    </row>
    <row r="18" spans="2:7">
      <c r="B18" s="3806" t="s">
        <v>3425</v>
      </c>
      <c r="C18" s="3806" t="s">
        <v>3427</v>
      </c>
      <c r="D18" s="3254">
        <v>-2</v>
      </c>
      <c r="E18" s="3254">
        <v>16</v>
      </c>
      <c r="F18" s="3254">
        <v>43.98</v>
      </c>
      <c r="G18" s="3806" t="s">
        <v>3432</v>
      </c>
    </row>
    <row r="19" spans="2:7">
      <c r="B19" s="3806" t="s">
        <v>3425</v>
      </c>
      <c r="C19" s="3806" t="s">
        <v>3427</v>
      </c>
      <c r="D19" s="3254">
        <v>-2</v>
      </c>
      <c r="E19" s="3254">
        <v>17</v>
      </c>
      <c r="F19" s="3254">
        <v>8.26</v>
      </c>
      <c r="G19" s="3806" t="s">
        <v>3432</v>
      </c>
    </row>
    <row r="20" spans="2:7">
      <c r="B20" s="3806" t="s">
        <v>3425</v>
      </c>
      <c r="C20" s="3806" t="s">
        <v>3427</v>
      </c>
      <c r="D20" s="3254">
        <v>-2</v>
      </c>
      <c r="E20" s="3254">
        <v>18</v>
      </c>
      <c r="F20" s="3254">
        <v>32.5</v>
      </c>
      <c r="G20" s="3806" t="s">
        <v>3432</v>
      </c>
    </row>
    <row r="21" spans="2:7">
      <c r="B21" s="3806" t="s">
        <v>3425</v>
      </c>
      <c r="C21" s="3806" t="s">
        <v>3427</v>
      </c>
      <c r="D21" s="3254">
        <v>-2</v>
      </c>
      <c r="E21" s="3254">
        <v>19</v>
      </c>
      <c r="F21" s="3254">
        <v>32.5</v>
      </c>
      <c r="G21" s="3806" t="s">
        <v>3432</v>
      </c>
    </row>
    <row r="22" spans="2:7">
      <c r="B22" s="3806" t="s">
        <v>3425</v>
      </c>
      <c r="C22" s="3806" t="s">
        <v>3427</v>
      </c>
      <c r="D22" s="3254">
        <v>-2</v>
      </c>
      <c r="E22" s="3254">
        <v>20</v>
      </c>
      <c r="F22" s="3254">
        <v>34.479999999999997</v>
      </c>
      <c r="G22" s="3806" t="s">
        <v>3432</v>
      </c>
    </row>
    <row r="23" spans="2:7">
      <c r="B23" s="3806" t="s">
        <v>3425</v>
      </c>
      <c r="C23" s="3806" t="s">
        <v>3427</v>
      </c>
      <c r="D23" s="3254">
        <v>-2</v>
      </c>
      <c r="E23" s="3254">
        <v>21</v>
      </c>
      <c r="F23" s="3254">
        <v>17.649999999999999</v>
      </c>
      <c r="G23" s="3806" t="s">
        <v>3432</v>
      </c>
    </row>
    <row r="24" spans="2:7">
      <c r="B24" s="3806" t="s">
        <v>3425</v>
      </c>
      <c r="C24" s="3806" t="s">
        <v>3427</v>
      </c>
      <c r="D24" s="3254">
        <v>-2</v>
      </c>
      <c r="E24" s="3254">
        <v>22</v>
      </c>
      <c r="F24" s="3254">
        <v>40.32</v>
      </c>
      <c r="G24" s="3806" t="s">
        <v>3432</v>
      </c>
    </row>
    <row r="25" spans="2:7">
      <c r="B25" s="3806" t="s">
        <v>3425</v>
      </c>
      <c r="C25" s="3806" t="s">
        <v>3427</v>
      </c>
      <c r="D25" s="3254">
        <v>-2</v>
      </c>
      <c r="E25" s="3254">
        <v>23</v>
      </c>
      <c r="F25" s="3254">
        <v>33.08</v>
      </c>
      <c r="G25" s="3806" t="s">
        <v>3432</v>
      </c>
    </row>
    <row r="26" spans="2:7">
      <c r="B26" s="3806" t="s">
        <v>3425</v>
      </c>
      <c r="C26" s="3806" t="s">
        <v>3427</v>
      </c>
      <c r="D26" s="3254">
        <v>-2</v>
      </c>
      <c r="E26" s="3254">
        <v>24</v>
      </c>
      <c r="F26" s="3254">
        <v>31.21</v>
      </c>
      <c r="G26" s="3806" t="s">
        <v>3432</v>
      </c>
    </row>
    <row r="27" spans="2:7">
      <c r="B27" s="3806" t="s">
        <v>3433</v>
      </c>
      <c r="F27" s="3254">
        <f>SUM(F3:F26)</f>
        <v>815.19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1" sqref="G1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0</v>
      </c>
      <c r="E3" s="43">
        <f>'数据-基础表'!AZ5</f>
        <v>40.630000000000003</v>
      </c>
      <c r="F3" s="2659"/>
      <c r="G3" s="1145"/>
      <c r="H3" s="1026" t="s">
        <v>1106</v>
      </c>
      <c r="I3" s="855" t="e">
        <f>ROUND('数据-基础表'!B3/'数据-基础表'!A3,2)</f>
        <v>#DIV/0!</v>
      </c>
      <c r="J3" s="2659"/>
      <c r="K3" s="2659"/>
      <c r="L3" s="2659"/>
      <c r="M3" s="2659"/>
      <c r="N3" s="2661"/>
      <c r="O3" s="2659"/>
      <c r="P3" s="2659"/>
    </row>
    <row r="4" spans="1:16" ht="15">
      <c r="A4" s="3550"/>
      <c r="B4" s="3551"/>
      <c r="C4" s="355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3" t="s">
        <v>1111</v>
      </c>
      <c r="C6" s="3553"/>
      <c r="D6" s="45">
        <f>ROUND($D$3*E6/$E$3,2)</f>
        <v>0</v>
      </c>
      <c r="E6" s="46">
        <f>E3-E5</f>
        <v>40.630000000000003</v>
      </c>
      <c r="F6" s="2659"/>
      <c r="G6" s="2653" t="s">
        <v>1112</v>
      </c>
      <c r="H6" s="1146" t="s">
        <v>1113</v>
      </c>
      <c r="I6" s="2654" t="e">
        <f>ROUND(F31/D31,2)</f>
        <v>#DIV/0!</v>
      </c>
      <c r="J6" s="2659"/>
      <c r="K6" s="2659"/>
      <c r="L6" s="2659"/>
      <c r="M6" s="2659"/>
      <c r="N6" s="2659"/>
      <c r="O6" s="2659"/>
      <c r="P6" s="2659"/>
    </row>
    <row r="7" spans="1:16" ht="15.75" thickBot="1">
      <c r="A7" s="3545"/>
      <c r="B7" s="3546"/>
      <c r="C7" s="354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40.630000000000003</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40.630000000000003</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3462</v>
      </c>
      <c r="D19" s="45">
        <f>ROUND($D$3*E19/$E$3,2)</f>
        <v>0</v>
      </c>
      <c r="E19" s="53">
        <f t="shared" ref="E19:E26" si="1">SUM(F19:G19)</f>
        <v>40.630000000000003</v>
      </c>
      <c r="F19" s="2795"/>
      <c r="G19" s="2796">
        <f>'数据-基础表'!I13</f>
        <v>40.630000000000003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40.630000000000003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40.630000000000003</v>
      </c>
      <c r="F27" s="1140">
        <f>IF(SUM(F19:F26)=E8,SUM(F19:F26),"地上面积有误")</f>
        <v>0</v>
      </c>
      <c r="G27" s="1142">
        <f>SUM(G19:G26)</f>
        <v>40.630000000000003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40.630000000000003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40.630000000000003</v>
      </c>
      <c r="F31" s="677">
        <f>F27+F30</f>
        <v>0</v>
      </c>
      <c r="G31" s="678">
        <f>G27+G30</f>
        <v>40.630000000000003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N22" sqref="AN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45804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01库房</v>
      </c>
      <c r="B6" s="1713" t="str">
        <f>IF(A6=0,"","经营性")</f>
        <v>经营性</v>
      </c>
      <c r="C6" s="1714" t="s">
        <v>3405</v>
      </c>
      <c r="D6" s="858">
        <f>SUMIF(项目基本情况!C$12:I$12,C6,项目基本情况!C$14:I$14)</f>
        <v>50</v>
      </c>
      <c r="E6" s="857">
        <f>IF(B6="","",SUMIF(项目基本情况!C$12:I$12,C6,项目基本情况!C$13:I$13))</f>
        <v>56490</v>
      </c>
      <c r="F6" s="64">
        <f>SUMIF(项目基本情况!C$12:I$12,C6,项目基本情况!C$15:I$15)</f>
        <v>29.27</v>
      </c>
      <c r="G6" s="65">
        <f>IF(ISERROR(ROUND(POWER(1+H6,D6-F6)*(POWER(1+H6,F6)-1)/(POWER(1+H6,D6)-1),3)),0,ROUND(POWER(1+H6,D6-F6)*(POWER(1+H6,F6)-1)/(POWER(1+H6,D6)-1),3))</f>
        <v>0.81399999999999995</v>
      </c>
      <c r="H6" s="732">
        <v>4.4999999999999998E-2</v>
      </c>
      <c r="I6" s="732">
        <v>0.05</v>
      </c>
      <c r="J6" s="66">
        <v>7.0000000000000007E-2</v>
      </c>
      <c r="K6" s="1030">
        <f>SUMIF('数据-汇总表'!C$19:C$33,A6,'数据-汇总表'!E$19:E$33)</f>
        <v>40.630000000000003</v>
      </c>
      <c r="L6" s="733">
        <v>4000</v>
      </c>
      <c r="M6" s="67">
        <f t="shared" ref="M6:M14" si="0">ROUND(K6*L6/10000,0)</f>
        <v>16</v>
      </c>
      <c r="N6" s="731">
        <f>N19</f>
        <v>0.7</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v>1</v>
      </c>
      <c r="V6" s="70">
        <v>1.4999999999999999E-2</v>
      </c>
      <c r="W6" s="70">
        <v>0.15</v>
      </c>
      <c r="X6" s="1040"/>
      <c r="Y6" s="71">
        <f>N6</f>
        <v>0.7</v>
      </c>
      <c r="Z6" s="72"/>
      <c r="AA6" s="66"/>
      <c r="AB6" s="66"/>
      <c r="AC6" s="1040"/>
      <c r="AD6" s="73"/>
      <c r="AE6" s="1041">
        <f ca="1">IF(AN6="",0,SUMIF(INDIRECT("'"&amp;AN6&amp;"'"&amp;"!E:E"),$AE$5,INDIRECT("'"&amp;AN6&amp;"'"&amp;"!F:F")))</f>
        <v>29.27</v>
      </c>
      <c r="AF6" s="1348"/>
      <c r="AG6" s="138">
        <f>IF(AF6="",0,AE6-AF6)</f>
        <v>0</v>
      </c>
      <c r="AH6" s="74"/>
      <c r="AI6" s="76">
        <v>365</v>
      </c>
      <c r="AJ6" s="77"/>
      <c r="AK6" s="78">
        <v>2E-3</v>
      </c>
      <c r="AL6" s="79">
        <v>1E-3</v>
      </c>
      <c r="AM6" s="80">
        <v>0.02</v>
      </c>
      <c r="AN6" s="1715" t="s">
        <v>3438</v>
      </c>
      <c r="AO6" s="52">
        <f ca="1">SUMIF(INDIRECT("'"&amp;AN6&amp;"'"&amp;"!A:A"),"总价",INDIRECT("'"&amp;AN6&amp;"'"&amp;"!B:B"))</f>
        <v>18.432099999999998</v>
      </c>
      <c r="AP6" s="1716">
        <f>IF(C6="住宅",K6*L6,0)</f>
        <v>162520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0.81399999999999995</v>
      </c>
      <c r="H16" s="90">
        <f>ROUND(SUMPRODUCT(H6:H13,K6:K13)/SUMPRODUCT((H6:H13&gt;0)*(K6:K13)),3)</f>
        <v>4.4999999999999998E-2</v>
      </c>
      <c r="I16" s="91"/>
      <c r="J16" s="91"/>
      <c r="K16" s="92">
        <f>SUM(K6:K15)</f>
        <v>40.630000000000003</v>
      </c>
      <c r="L16" s="93">
        <f>ROUND(M16*10000/SUM(K6:K14),0)</f>
        <v>3938</v>
      </c>
      <c r="M16" s="93">
        <f>SUM(M6:M14)</f>
        <v>16</v>
      </c>
      <c r="N16" s="94">
        <f>ROUND(SUMPRODUCT(M6:M14,N6:N14)/M16,3)</f>
        <v>0.7</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2007</v>
      </c>
      <c r="O18" s="2671"/>
      <c r="P18" s="2671"/>
      <c r="Q18" s="2671">
        <f>Q16/B20</f>
        <v>0.04</v>
      </c>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2301</v>
      </c>
      <c r="D19" s="2676"/>
      <c r="E19" s="2673"/>
      <c r="F19" s="2673"/>
      <c r="G19" s="2673"/>
      <c r="H19" s="2673"/>
      <c r="I19" s="2673"/>
      <c r="J19" s="2673"/>
      <c r="K19" s="2672"/>
      <c r="L19" s="2672"/>
      <c r="M19" s="2671"/>
      <c r="N19" s="2671">
        <f>ROUND(1-(1-0%)*(2025-N18)/60,2)</f>
        <v>0.7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0.81259999999999999</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2294</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2309</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3807" t="s">
        <v>3437</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2304</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2285</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815.19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45804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722</v>
      </c>
      <c r="C5" s="2512">
        <f ca="1">IF(B5=D14,结果表!H102,ROUND(B5*10000/$B$1,0))</f>
        <v>8955</v>
      </c>
      <c r="D5" s="2512" t="e">
        <f ca="1">ROUND(B5*10000/$B$2,0)</f>
        <v>#DIV/0!</v>
      </c>
      <c r="E5" s="2686"/>
      <c r="F5" s="2687"/>
      <c r="G5" s="2687"/>
      <c r="H5" s="2688"/>
      <c r="I5" s="2688"/>
      <c r="J5" s="2688"/>
      <c r="K5" s="2688"/>
    </row>
    <row r="6" spans="1:11" ht="16.5">
      <c r="A6" s="2512" t="s">
        <v>656</v>
      </c>
      <c r="B6" s="2512">
        <f ca="1">SUM(G14:G23)</f>
        <v>722</v>
      </c>
      <c r="C6" s="2512">
        <f ca="1">IF(B6=G14,结果表!H108,ROUND(B6*10000/$B$1,0))</f>
        <v>8955</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典型户型修正!B22</f>
        <v>815.19</v>
      </c>
      <c r="C14" s="2518"/>
      <c r="D14" s="2518">
        <f ca="1">典型户型修正!S22</f>
        <v>722</v>
      </c>
      <c r="E14" s="2518">
        <f ca="1">典型户型修正!R22</f>
        <v>8857</v>
      </c>
      <c r="F14" s="2518" t="e">
        <f ca="1">ROUND(D14*10000/C14,0)</f>
        <v>#DIV/0!</v>
      </c>
      <c r="G14" s="2518">
        <f ca="1">D14</f>
        <v>722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19" sqref="K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3461</v>
      </c>
      <c r="D1" s="1747"/>
      <c r="E1" s="1747"/>
      <c r="F1" s="1749" t="s">
        <v>1263</v>
      </c>
      <c r="G1" s="1561"/>
      <c r="H1" s="1750" t="str">
        <f>IF(G1="现房","——","估价对象范围")</f>
        <v>估价对象范围</v>
      </c>
      <c r="I1" s="1751"/>
    </row>
    <row r="2" spans="1:12" ht="21.75" customHeight="1" thickBot="1">
      <c r="A2" s="3623" t="str">
        <f>项目基本情况!S2</f>
        <v>北京市西城区马连道路15号院4号楼-2层01等[24]库房用房房地产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4" t="s">
        <v>1265</v>
      </c>
      <c r="B4" s="1755" t="s">
        <v>1266</v>
      </c>
      <c r="C4" s="1756" t="s">
        <v>3495</v>
      </c>
      <c r="D4" s="1756" t="s">
        <v>3438</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7"/>
      <c r="G5" s="1757"/>
      <c r="H5" s="1757"/>
      <c r="I5" s="1373"/>
    </row>
    <row r="6" spans="1:12" ht="12.75">
      <c r="A6" s="3571"/>
      <c r="B6" s="3626"/>
      <c r="C6" s="3631"/>
      <c r="D6" s="3617"/>
      <c r="E6" s="131" t="s">
        <v>1270</v>
      </c>
      <c r="F6" s="1757"/>
      <c r="G6" s="1757"/>
      <c r="H6" s="1757"/>
      <c r="I6" s="1373"/>
    </row>
    <row r="7" spans="1:12" ht="12.75">
      <c r="A7" s="3571"/>
      <c r="B7" s="3626"/>
      <c r="C7" s="3630"/>
      <c r="D7" s="3617"/>
      <c r="E7" s="131" t="s">
        <v>1271</v>
      </c>
      <c r="F7" s="1757"/>
      <c r="G7" s="1757"/>
      <c r="H7" s="1757"/>
      <c r="I7" s="1373"/>
    </row>
    <row r="8" spans="1:12" ht="12.75">
      <c r="A8" s="3571" t="s">
        <v>1272</v>
      </c>
      <c r="B8" s="3626">
        <v>15</v>
      </c>
      <c r="C8" s="3629"/>
      <c r="D8" s="3617"/>
      <c r="E8" s="131" t="s">
        <v>1273</v>
      </c>
      <c r="F8" s="1757"/>
      <c r="G8" s="1757"/>
      <c r="H8" s="1757"/>
      <c r="I8" s="1373"/>
    </row>
    <row r="9" spans="1:12" ht="12.75">
      <c r="A9" s="3571"/>
      <c r="B9" s="3626"/>
      <c r="C9" s="3630"/>
      <c r="D9" s="3617"/>
      <c r="E9" s="131" t="s">
        <v>1274</v>
      </c>
      <c r="F9" s="1757"/>
      <c r="G9" s="1757"/>
      <c r="H9" s="1757"/>
      <c r="I9" s="1373"/>
    </row>
    <row r="10" spans="1:12" ht="12.75">
      <c r="A10" s="3571" t="s">
        <v>1275</v>
      </c>
      <c r="B10" s="3626">
        <v>15</v>
      </c>
      <c r="C10" s="3629"/>
      <c r="D10" s="3617"/>
      <c r="E10" s="131" t="s">
        <v>1276</v>
      </c>
      <c r="F10" s="1757"/>
      <c r="G10" s="1757"/>
      <c r="H10" s="1757"/>
      <c r="I10" s="1373"/>
    </row>
    <row r="11" spans="1:12" ht="12.75">
      <c r="A11" s="3571"/>
      <c r="B11" s="3626"/>
      <c r="C11" s="3630"/>
      <c r="D11" s="3617"/>
      <c r="E11" s="131" t="s">
        <v>1277</v>
      </c>
      <c r="F11" s="1757"/>
      <c r="G11" s="1757"/>
      <c r="H11" s="1757"/>
      <c r="I11" s="1373"/>
    </row>
    <row r="12" spans="1:12" ht="12.75">
      <c r="A12" s="3571" t="s">
        <v>1278</v>
      </c>
      <c r="B12" s="3626">
        <v>15</v>
      </c>
      <c r="C12" s="3629"/>
      <c r="D12" s="3617"/>
      <c r="E12" s="131" t="s">
        <v>1279</v>
      </c>
      <c r="F12" s="1757"/>
      <c r="G12" s="1757"/>
      <c r="H12" s="1757"/>
      <c r="I12" s="1373"/>
    </row>
    <row r="13" spans="1:12" ht="12.75">
      <c r="A13" s="3571"/>
      <c r="B13" s="3626"/>
      <c r="C13" s="3630"/>
      <c r="D13" s="3617"/>
      <c r="E13" s="131" t="s">
        <v>1280</v>
      </c>
      <c r="F13" s="1757"/>
      <c r="G13" s="1757"/>
      <c r="H13" s="1757"/>
      <c r="I13" s="1373"/>
    </row>
    <row r="14" spans="1:12" ht="12.75">
      <c r="A14" s="3571" t="s">
        <v>1281</v>
      </c>
      <c r="B14" s="3626">
        <v>30</v>
      </c>
      <c r="C14" s="3629">
        <v>6</v>
      </c>
      <c r="D14" s="3617">
        <v>4</v>
      </c>
      <c r="E14" s="131" t="s">
        <v>1282</v>
      </c>
      <c r="F14" s="1757"/>
      <c r="G14" s="1757"/>
      <c r="H14" s="1757"/>
      <c r="I14" s="1373"/>
    </row>
    <row r="15" spans="1:12" ht="12.75">
      <c r="A15" s="3571"/>
      <c r="B15" s="3626"/>
      <c r="C15" s="3631"/>
      <c r="D15" s="3617"/>
      <c r="E15" s="131" t="s">
        <v>1283</v>
      </c>
      <c r="F15" s="1757"/>
      <c r="G15" s="1757"/>
      <c r="H15" s="1757"/>
      <c r="I15" s="1373"/>
    </row>
    <row r="16" spans="1:12" ht="12.75">
      <c r="A16" s="3571"/>
      <c r="B16" s="3626"/>
      <c r="C16" s="3630"/>
      <c r="D16" s="361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8" t="s">
        <v>2130</v>
      </c>
      <c r="F18" s="3649"/>
      <c r="G18" s="3649"/>
      <c r="H18" s="3649"/>
      <c r="I18" s="3649"/>
      <c r="K18" s="302" t="s">
        <v>1289</v>
      </c>
      <c r="L18" s="302">
        <f>IF(C1="",'数据-汇总表'!E3,SUMIF(项目类型,C1,'数据-汇总表'!E17:E26)+SUMIF(项目类型,C1,'数据-汇总表'!I17:I26))</f>
        <v>40.630000000000003</v>
      </c>
      <c r="M18" s="302">
        <f>IF(C1="",'数据-汇总表'!E3,SUMIF(项目类型,C1,'数据-汇总表'!E17:E26))</f>
        <v>40.630000000000003</v>
      </c>
    </row>
    <row r="19" spans="1:36" ht="15">
      <c r="A19" s="1761" t="s">
        <v>1290</v>
      </c>
      <c r="B19" s="1762" t="s">
        <v>1291</v>
      </c>
      <c r="C19" s="134">
        <f ca="1">SUMIF(INDIRECT("'"&amp;C4&amp;"'"&amp;"!A:A"),结果表!B19,INDIRECT("'"&amp;C4&amp;"'"&amp;"!B:B"))</f>
        <v>48.349699999999999</v>
      </c>
      <c r="D19" s="135">
        <f ca="1">SUMIF(INDIRECT("'"&amp;D4&amp;"'"&amp;"!A:A"),结果表!B19,INDIRECT("'"&amp;D4&amp;"'"&amp;"!B:B"))</f>
        <v>18.432099999999998</v>
      </c>
      <c r="E19" s="1761" t="s">
        <v>1292</v>
      </c>
      <c r="F19" s="1762" t="s">
        <v>1291</v>
      </c>
      <c r="G19" s="136">
        <f ca="1">ROUND(C19*$C$18+D19*$D$18,0)</f>
        <v>36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11900</v>
      </c>
      <c r="D20" s="138">
        <f ca="1">SUMIF(INDIRECT("'"&amp;D4&amp;"'"&amp;"!A:A"),结果表!B20,INDIRECT("'"&amp;D4&amp;"'"&amp;"!B:B"))</f>
        <v>4537</v>
      </c>
      <c r="E20" s="1764"/>
      <c r="F20" s="1026" t="s">
        <v>1295</v>
      </c>
      <c r="G20" s="139">
        <f ca="1">ROUND(C20*$C$18+D20*$D$18,0)</f>
        <v>8955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1.6231248745395264</v>
      </c>
      <c r="E22" s="129"/>
      <c r="F22" s="129"/>
      <c r="G22" s="129"/>
      <c r="H22" s="129"/>
      <c r="I22" s="129"/>
    </row>
    <row r="23" spans="1:36" ht="13.5" thickBot="1">
      <c r="A23" s="1747"/>
      <c r="B23" s="1747"/>
      <c r="C23" s="1747"/>
      <c r="D23" s="1747"/>
      <c r="E23" s="129"/>
      <c r="F23" s="129"/>
      <c r="G23" s="129"/>
      <c r="H23" s="129"/>
      <c r="I23" s="129"/>
    </row>
    <row r="24" spans="1:36" ht="14.25">
      <c r="A24" s="3641" t="s">
        <v>1299</v>
      </c>
      <c r="B24" s="1762" t="s">
        <v>1291</v>
      </c>
      <c r="C24" s="136">
        <f>IF(B30=0,0,D30)</f>
        <v>0</v>
      </c>
      <c r="D24" s="1769"/>
      <c r="E24" s="129"/>
      <c r="F24" s="129"/>
      <c r="G24" s="129"/>
      <c r="H24" s="129"/>
      <c r="I24" s="129"/>
    </row>
    <row r="25" spans="1:36" ht="14.25">
      <c r="A25" s="364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8955</v>
      </c>
      <c r="D32" s="1775" t="s">
        <v>3463</v>
      </c>
      <c r="E32" s="129"/>
      <c r="F32" s="129"/>
      <c r="G32" s="129"/>
      <c r="H32" s="129"/>
      <c r="I32" s="129"/>
    </row>
    <row r="33" spans="1:15" ht="15">
      <c r="A33" s="786" t="s">
        <v>1306</v>
      </c>
      <c r="B33" s="1776"/>
      <c r="C33" s="1777" t="s">
        <v>3460</v>
      </c>
      <c r="D33" s="1778" t="s">
        <v>3459</v>
      </c>
      <c r="E33" s="1779" t="s">
        <v>1307</v>
      </c>
      <c r="F33" s="1780" t="str">
        <f>IF(D32="楼面单价","取值（单价）","取值（总价）")</f>
        <v>取值（单价）</v>
      </c>
      <c r="G33" s="129"/>
      <c r="H33" s="129"/>
      <c r="I33" s="129"/>
    </row>
    <row r="34" spans="1:15" ht="15">
      <c r="A34" s="1781"/>
      <c r="B34" s="1782" t="s">
        <v>1308</v>
      </c>
      <c r="C34" s="148">
        <f ca="1">IF(C33="自定义",F34,C32-C35)</f>
        <v>5964</v>
      </c>
      <c r="D34" s="861">
        <f ca="1">IF(C33="自定义",ROUND(C34/C32,3),IF(C33="收益比率",SUMIF(INDIRECT("'"&amp;D33&amp;"'"&amp;"!b:b"),"土地收益比率",INDIRECT("'"&amp;D33&amp;"'"&amp;"!c:c")),SUMIF(INDIRECT("'"&amp;D33&amp;"'"&amp;"!b:b"),"土地成本比率",INDIRECT("'"&amp;D33&amp;"'"&amp;"!c:c"))))</f>
        <v>0.66599999999999993</v>
      </c>
      <c r="E34" s="1783" t="s">
        <v>1309</v>
      </c>
      <c r="F34" s="1330"/>
      <c r="G34" s="129"/>
      <c r="H34" s="129"/>
      <c r="I34" s="129"/>
    </row>
    <row r="35" spans="1:15" ht="15.75" thickBot="1">
      <c r="A35" s="1784"/>
      <c r="B35" s="1785" t="s">
        <v>1310</v>
      </c>
      <c r="C35" s="1170">
        <f ca="1">IF(C33="自定义",F35,ROUND(C32*D35,0))</f>
        <v>2991</v>
      </c>
      <c r="D35" s="1171">
        <f ca="1">IF(C33="自定义",ROUND(C35/C32,3),IF(C33="收益比率",SUMIF(INDIRECT("'"&amp;D33&amp;"'"&amp;"!b:b"),"建筑物收益比率",INDIRECT("'"&amp;D33&amp;"'"&amp;"!c:c")),SUMIF(INDIRECT("'"&amp;D33&amp;"'"&amp;"!b:b"),"建筑物成本比率",INDIRECT("'"&amp;D33&amp;"'"&amp;"!c:c"))))</f>
        <v>0.33400000000000002</v>
      </c>
      <c r="E35" s="1786" t="s">
        <v>1311</v>
      </c>
      <c r="F35" s="154"/>
      <c r="G35" s="129"/>
      <c r="H35" s="129"/>
      <c r="I35" s="129"/>
    </row>
    <row r="36" spans="1:15" ht="15.75" thickBot="1">
      <c r="A36" s="3618" t="s">
        <v>1312</v>
      </c>
      <c r="B36" s="1787" t="s">
        <v>1313</v>
      </c>
      <c r="C36" s="145"/>
      <c r="D36" s="1788"/>
      <c r="E36" s="1789"/>
      <c r="F36" s="1790"/>
      <c r="G36" s="129"/>
      <c r="H36" s="129"/>
      <c r="I36" s="129"/>
    </row>
    <row r="37" spans="1:15" ht="15.75" thickBot="1">
      <c r="A37" s="3619"/>
      <c r="B37" s="1674" t="s">
        <v>1314</v>
      </c>
      <c r="C37" s="147"/>
      <c r="D37" s="1139"/>
      <c r="E37" s="1139"/>
      <c r="F37" s="1790"/>
      <c r="G37" s="129"/>
      <c r="H37" s="129"/>
      <c r="I37" s="129"/>
    </row>
    <row r="38" spans="1:15" ht="15.75" thickBot="1">
      <c r="A38" s="362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8" t="s">
        <v>1326</v>
      </c>
      <c r="B45" s="3639"/>
      <c r="C45" s="3640"/>
      <c r="D45" s="155">
        <f ca="1">ROUND(H101*F45,0)</f>
        <v>36</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6"/>
      <c r="I46" s="159"/>
      <c r="J46" s="2523">
        <v>1</v>
      </c>
      <c r="K46" s="3559" t="s">
        <v>1331</v>
      </c>
      <c r="L46" s="3559"/>
      <c r="M46" s="3560"/>
      <c r="N46" s="3560"/>
      <c r="O46" s="3560"/>
    </row>
    <row r="47" spans="1:15" ht="12" customHeight="1">
      <c r="A47" s="160" t="s">
        <v>1332</v>
      </c>
      <c r="B47" s="161"/>
      <c r="C47" s="162"/>
      <c r="D47" s="1087" t="s">
        <v>1333</v>
      </c>
      <c r="E47" s="302" t="s">
        <v>1334</v>
      </c>
      <c r="F47" s="163" t="s">
        <v>1335</v>
      </c>
      <c r="G47" s="2546" t="s">
        <v>1336</v>
      </c>
      <c r="H47" s="2547"/>
      <c r="I47" s="159"/>
      <c r="J47" s="2523">
        <v>2</v>
      </c>
      <c r="K47" s="3559" t="s">
        <v>1337</v>
      </c>
      <c r="L47" s="3559"/>
      <c r="M47" s="3561">
        <f>'数据-取费表'!B2</f>
        <v>45804</v>
      </c>
      <c r="N47" s="3561"/>
      <c r="O47" s="3561"/>
    </row>
    <row r="48" spans="1:15" ht="25.5">
      <c r="A48" s="3621" t="s">
        <v>1338</v>
      </c>
      <c r="B48" s="3622"/>
      <c r="C48" s="362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9" t="s">
        <v>1340</v>
      </c>
      <c r="L48" s="3559"/>
      <c r="M48" s="3562">
        <f ca="1">H101</f>
        <v>36</v>
      </c>
      <c r="N48" s="3562"/>
      <c r="O48" s="3562"/>
    </row>
    <row r="49" spans="1:35" ht="25.5" customHeight="1">
      <c r="A49" s="2333" t="s">
        <v>1341</v>
      </c>
      <c r="B49" s="3607" t="s">
        <v>1342</v>
      </c>
      <c r="C49" s="3607"/>
      <c r="D49" s="1590">
        <v>0</v>
      </c>
      <c r="E49" s="324" t="s">
        <v>1343</v>
      </c>
      <c r="F49" s="2424" t="s">
        <v>28</v>
      </c>
      <c r="G49" s="3590"/>
      <c r="H49" s="2310" t="s">
        <v>2133</v>
      </c>
      <c r="I49" s="2311"/>
      <c r="J49" s="2523">
        <v>4</v>
      </c>
      <c r="K49" s="3559" t="str">
        <f>IF(项目基本情况!E8="房地产抵押价值","房地产抵押价值","抵押担保权已注销时的房地产抵押价值")</f>
        <v>房地产抵押价值</v>
      </c>
      <c r="L49" s="3559"/>
      <c r="M49" s="3562">
        <f ca="1">IF(项目基本情况!E8="房地产抵押价值",H107,H109)</f>
        <v>36</v>
      </c>
      <c r="N49" s="3562"/>
      <c r="O49" s="3562"/>
    </row>
    <row r="50" spans="1:35" ht="25.5" customHeight="1">
      <c r="A50" s="2551"/>
      <c r="B50" s="3607" t="s">
        <v>1344</v>
      </c>
      <c r="C50" s="3607"/>
      <c r="D50" s="2552"/>
      <c r="E50" s="332"/>
      <c r="F50" s="2424"/>
      <c r="G50" s="3591"/>
      <c r="H50" s="2312" t="s">
        <v>2134</v>
      </c>
      <c r="I50" s="2311"/>
      <c r="J50" s="3558" t="s">
        <v>1345</v>
      </c>
      <c r="K50" s="3558"/>
      <c r="L50" s="3558"/>
      <c r="M50" s="3558"/>
      <c r="N50" s="3558"/>
      <c r="O50" s="3558"/>
    </row>
    <row r="51" spans="1:35" ht="20.45" customHeight="1">
      <c r="A51" s="2553"/>
      <c r="B51" s="3607" t="s">
        <v>1346</v>
      </c>
      <c r="C51" s="3607"/>
      <c r="D51" s="1087"/>
      <c r="E51" s="327"/>
      <c r="F51" s="2424"/>
      <c r="G51" s="3592"/>
      <c r="H51" s="2312" t="s">
        <v>2135</v>
      </c>
      <c r="I51" s="2311"/>
      <c r="J51" s="2524" t="s">
        <v>1347</v>
      </c>
      <c r="K51" s="3559" t="s">
        <v>1348</v>
      </c>
      <c r="L51" s="3559"/>
      <c r="M51" s="2524" t="s">
        <v>1349</v>
      </c>
      <c r="N51" s="2524" t="s">
        <v>1350</v>
      </c>
      <c r="O51" s="2524" t="s">
        <v>1351</v>
      </c>
    </row>
    <row r="52" spans="1:35" ht="24" customHeight="1">
      <c r="A52" s="2335" t="s">
        <v>1352</v>
      </c>
      <c r="B52" s="3607" t="s">
        <v>1353</v>
      </c>
      <c r="C52" s="3607"/>
      <c r="D52" s="1087">
        <f ca="1">ROUND(D45*'数据-取费表'!B41/(1+'数据-取费表'!C42),0)</f>
        <v>2</v>
      </c>
      <c r="E52" s="2334" t="s">
        <v>1354</v>
      </c>
      <c r="F52" s="2554">
        <f>'数据-取费表'!B41</f>
        <v>5.6000000000000001E-2</v>
      </c>
      <c r="G52" s="2555"/>
      <c r="H52" s="2544"/>
      <c r="I52" s="1807"/>
      <c r="J52" s="2523">
        <v>1</v>
      </c>
      <c r="K52" s="3584" t="s">
        <v>1355</v>
      </c>
      <c r="L52" s="3584"/>
      <c r="M52" s="2525" t="b">
        <f>D48</f>
        <v>0</v>
      </c>
      <c r="N52" s="2523" t="str">
        <f>E48</f>
        <v>销售额×税（费）率</v>
      </c>
      <c r="O52" s="2526">
        <f>F48</f>
        <v>5.6000000000000001E-2</v>
      </c>
    </row>
    <row r="53" spans="1:35" ht="12" customHeight="1">
      <c r="A53" s="2335" t="s">
        <v>1356</v>
      </c>
      <c r="B53" s="3608" t="s">
        <v>2290</v>
      </c>
      <c r="C53" s="3609"/>
      <c r="D53" s="1087">
        <f ca="1">ROUND(D45*'数据-取费表'!B41/(1+'数据-取费表'!C42),0)</f>
        <v>2</v>
      </c>
      <c r="E53" s="2334" t="s">
        <v>1354</v>
      </c>
      <c r="F53" s="2554">
        <f>'数据-取费表'!B41</f>
        <v>5.6000000000000001E-2</v>
      </c>
      <c r="G53" s="2555"/>
      <c r="H53" s="2544"/>
      <c r="I53" s="1807"/>
      <c r="J53" s="2523">
        <v>2</v>
      </c>
      <c r="K53" s="3584" t="s">
        <v>1357</v>
      </c>
      <c r="L53" s="3584"/>
      <c r="M53" s="2525">
        <f t="shared" ref="M53:O54" ca="1" si="0">D55</f>
        <v>0</v>
      </c>
      <c r="N53" s="2523" t="str">
        <f t="shared" si="0"/>
        <v>销售额×税（费）率</v>
      </c>
      <c r="O53" s="2526" t="str">
        <f t="shared" si="0"/>
        <v>免征</v>
      </c>
    </row>
    <row r="54" spans="1:35" ht="12" customHeight="1">
      <c r="A54" s="2335" t="s">
        <v>1358</v>
      </c>
      <c r="B54" s="3608" t="s">
        <v>2291</v>
      </c>
      <c r="C54" s="3609"/>
      <c r="D54" s="1087">
        <f ca="1">C68</f>
        <v>2</v>
      </c>
      <c r="E54" s="327" t="s">
        <v>1359</v>
      </c>
      <c r="F54" s="2554">
        <f>'数据-取费表'!B41</f>
        <v>5.6000000000000001E-2</v>
      </c>
      <c r="G54" s="2555"/>
      <c r="H54" s="2556"/>
      <c r="I54" s="1807"/>
      <c r="J54" s="2523">
        <v>3</v>
      </c>
      <c r="K54" s="3584" t="s">
        <v>1360</v>
      </c>
      <c r="L54" s="3584"/>
      <c r="M54" s="2525" t="e">
        <f t="shared" ca="1" si="0"/>
        <v>#DIV/0!</v>
      </c>
      <c r="N54" s="2523" t="str">
        <f t="shared" si="0"/>
        <v>增值额×税（费）率</v>
      </c>
      <c r="O54" s="2527" t="str">
        <f t="shared" si="0"/>
        <v>免征</v>
      </c>
    </row>
    <row r="55" spans="1:35" ht="24" customHeight="1">
      <c r="A55" s="3644" t="s">
        <v>1361</v>
      </c>
      <c r="B55" s="3622"/>
      <c r="C55" s="3622"/>
      <c r="D55" s="2324">
        <f ca="1">IF(H55="个人住宅",0,ROUND(D45*I55,0))</f>
        <v>0</v>
      </c>
      <c r="E55" s="2334" t="s">
        <v>1362</v>
      </c>
      <c r="F55" s="2554" t="str">
        <f>IF(H55="正常",I55,"免征")</f>
        <v>免征</v>
      </c>
      <c r="G55" s="2555"/>
      <c r="H55" s="2550"/>
      <c r="I55" s="165">
        <f>'数据-取费表'!B49</f>
        <v>5.0000000000000001E-4</v>
      </c>
      <c r="J55" s="2523">
        <f>IF(H59="非个人房产","",4)</f>
        <v>4</v>
      </c>
      <c r="K55" s="3584" t="str">
        <f>IF(H59="非个人房产","——","个人所得税")</f>
        <v>个人所得税</v>
      </c>
      <c r="L55" s="3584"/>
      <c r="M55" s="2528">
        <f ca="1">D59</f>
        <v>0</v>
      </c>
      <c r="N55" s="2040" t="str">
        <f>E59</f>
        <v>差额计税</v>
      </c>
      <c r="O55" s="2529">
        <f>F59</f>
        <v>0.01</v>
      </c>
    </row>
    <row r="56" spans="1:35" ht="24.75">
      <c r="A56" s="3644" t="s">
        <v>1363</v>
      </c>
      <c r="B56" s="3622"/>
      <c r="C56" s="3622"/>
      <c r="D56" s="2324" t="e">
        <f ca="1">IF(H56="个人住宅",D57,D58)</f>
        <v>#DIV/0!</v>
      </c>
      <c r="E56" s="2334" t="s">
        <v>1364</v>
      </c>
      <c r="F56" s="2554" t="str">
        <f>IF(H56="正常",F58,"免征")</f>
        <v>免征</v>
      </c>
      <c r="G56" s="2557" t="s">
        <v>1365</v>
      </c>
      <c r="H56" s="2558"/>
      <c r="I56" s="1808"/>
      <c r="J56" s="2523" t="str">
        <f>IF(项目基本情况!K6="上海银行",IF(J55="",4,J55+1),"")</f>
        <v/>
      </c>
      <c r="K56" s="3565" t="str">
        <f>IF(项目基本情况!K6="上海银行","其他处置费用","")</f>
        <v/>
      </c>
      <c r="L56" s="3566"/>
      <c r="M56" s="2525" t="str">
        <f>IF(项目基本情况!K6="上海银行",M69,"")</f>
        <v/>
      </c>
      <c r="N56" s="3565" t="str">
        <f>IF(项目基本情况!K6="上海银行","包含处置中涉及的律师、诉讼、拍卖、评估等费用","")</f>
        <v/>
      </c>
      <c r="O56" s="3568"/>
    </row>
    <row r="57" spans="1:35" ht="12.75">
      <c r="A57" s="2335" t="s">
        <v>1341</v>
      </c>
      <c r="B57" s="3608" t="s">
        <v>1366</v>
      </c>
      <c r="C57" s="3609"/>
      <c r="D57" s="1590">
        <v>0</v>
      </c>
      <c r="E57" s="324" t="s">
        <v>1343</v>
      </c>
      <c r="F57" s="302"/>
      <c r="G57" s="2555"/>
      <c r="H57" s="2559"/>
      <c r="I57" s="1808"/>
      <c r="J57" s="3584">
        <f>IF(AND(J55="",J56=""),4,IF(项目基本情况!K6="上海银行",结果表!J56+1,结果表!J55+1))</f>
        <v>5</v>
      </c>
      <c r="K57" s="3584" t="s">
        <v>1367</v>
      </c>
      <c r="L57" s="2530" t="s">
        <v>1368</v>
      </c>
      <c r="M57" s="2531"/>
      <c r="N57" s="2532">
        <f ca="1">SUMIF(M52:M56,"&lt;9e307")</f>
        <v>0</v>
      </c>
      <c r="O57" s="2533"/>
      <c r="P57" s="2690">
        <f ca="1">N57/M49</f>
        <v>0</v>
      </c>
    </row>
    <row r="58" spans="1:35" ht="24.75">
      <c r="A58" s="2335" t="s">
        <v>1352</v>
      </c>
      <c r="B58" s="3608" t="s">
        <v>1369</v>
      </c>
      <c r="C58" s="3607"/>
      <c r="D58" s="2324" t="e">
        <f ca="1">IF(H58="转让取得",C81,C97)</f>
        <v>#DIV/0!</v>
      </c>
      <c r="E58" s="2334" t="s">
        <v>1364</v>
      </c>
      <c r="F58" s="302" t="s">
        <v>28</v>
      </c>
      <c r="G58" s="2555"/>
      <c r="H58" s="2558"/>
      <c r="I58" s="1808"/>
      <c r="J58" s="3584"/>
      <c r="K58" s="3584"/>
      <c r="L58" s="2530" t="s">
        <v>1370</v>
      </c>
      <c r="M58" s="2534"/>
      <c r="N58" s="2535" t="str">
        <f ca="1">NUMBERSTRING(INT(N57*10000),2)&amp;"元整"</f>
        <v>零元整</v>
      </c>
      <c r="O58" s="2536"/>
    </row>
    <row r="59" spans="1:35" ht="24.75" thickBot="1">
      <c r="A59" s="3588" t="s">
        <v>1371</v>
      </c>
      <c r="B59" s="3589"/>
      <c r="C59" s="3589"/>
      <c r="D59" s="2560">
        <f ca="1">IF(H59="非个人房产","——",IF(H59="个人住宅（满五唯一有凭证）",0,IF(H59="个人其他（无凭证）",ROUND(D45*F59,0),ROUND(C67*F59,0))))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86">
        <f>J57+1</f>
        <v>6</v>
      </c>
      <c r="K59" s="3584" t="s">
        <v>1372</v>
      </c>
      <c r="L59" s="2523" t="s">
        <v>1368</v>
      </c>
      <c r="M59" s="2537"/>
      <c r="N59" s="2538">
        <f ca="1">M49-N57</f>
        <v>36</v>
      </c>
      <c r="O59" s="2539"/>
    </row>
    <row r="60" spans="1:35" ht="12" customHeight="1">
      <c r="A60" s="1809"/>
      <c r="B60" s="1747"/>
      <c r="C60" s="1747"/>
      <c r="D60" s="1747"/>
      <c r="E60" s="1578"/>
      <c r="F60" s="1808"/>
      <c r="G60" s="1808"/>
      <c r="H60" s="1810"/>
      <c r="I60" s="129"/>
      <c r="J60" s="3587"/>
      <c r="K60" s="3584"/>
      <c r="L60" s="2530" t="s">
        <v>1370</v>
      </c>
      <c r="M60" s="2534"/>
      <c r="N60" s="2535" t="str">
        <f ca="1">NUMBERSTRING(INT(N59*10000),2)&amp;"元整"</f>
        <v>叁拾陆万元整</v>
      </c>
      <c r="O60" s="2536"/>
    </row>
    <row r="61" spans="1:35" ht="13.5" thickBot="1">
      <c r="A61" s="3643" t="s">
        <v>1373</v>
      </c>
      <c r="B61" s="3643"/>
      <c r="C61" s="3643"/>
      <c r="D61" s="3643"/>
      <c r="E61" s="3643"/>
      <c r="F61" s="1808"/>
      <c r="G61" s="1808"/>
      <c r="H61" s="1810"/>
      <c r="I61" s="129"/>
      <c r="J61" s="2523">
        <f>J59+1</f>
        <v>7</v>
      </c>
      <c r="K61" s="3584" t="s">
        <v>1374</v>
      </c>
      <c r="L61" s="3584"/>
      <c r="M61" s="2540"/>
      <c r="N61" s="2541">
        <f ca="1">ROUND(N59*10000/'数据-汇总表'!E3,0)</f>
        <v>8860</v>
      </c>
      <c r="O61" s="2542"/>
    </row>
    <row r="62" spans="1:35" ht="12.75">
      <c r="A62" s="3603" t="s">
        <v>1375</v>
      </c>
      <c r="B62" s="3604"/>
      <c r="C62" s="2021"/>
      <c r="D62" s="2021" t="s">
        <v>1376</v>
      </c>
      <c r="E62" s="166" t="s">
        <v>1377</v>
      </c>
      <c r="F62" s="1808"/>
      <c r="G62" s="1808"/>
      <c r="H62" s="1810"/>
      <c r="I62" s="129"/>
    </row>
    <row r="63" spans="1:35" ht="12.75">
      <c r="A63" s="173" t="s">
        <v>330</v>
      </c>
      <c r="B63" s="167" t="s">
        <v>1378</v>
      </c>
      <c r="C63" s="2564">
        <f ca="1">ROUND((C64+C65)/(1+'数据-取费表'!C42),0)</f>
        <v>34</v>
      </c>
      <c r="D63" s="167"/>
      <c r="E63" s="168"/>
      <c r="F63" s="1808"/>
      <c r="G63" s="1808"/>
      <c r="H63" s="1810"/>
      <c r="I63" s="129"/>
      <c r="J63" s="3567" t="s">
        <v>1379</v>
      </c>
      <c r="K63" s="1332" t="s">
        <v>1380</v>
      </c>
      <c r="L63" s="1332">
        <f ca="1">IF(M49&gt;10000,M49*0.5%,IF(AND(M49&gt;1000,M49&lt;=10000),M49*1%,IF(AND(M49&gt;100,M49&lt;=1000),M49*3%,IF(AND(M49&gt;10,M49&lt;=100),M49*5%,M49*8%))))</f>
        <v>1.8</v>
      </c>
      <c r="M63" s="302">
        <f ca="1">ROUND(L63,1)</f>
        <v>1.8</v>
      </c>
      <c r="N63" s="2543"/>
      <c r="Z63" s="1752"/>
      <c r="AI63" s="1753"/>
    </row>
    <row r="64" spans="1:35" ht="14.25" customHeight="1">
      <c r="A64" s="169" t="s">
        <v>325</v>
      </c>
      <c r="B64" s="170" t="s">
        <v>1381</v>
      </c>
      <c r="C64" s="2565">
        <f ca="1">D45</f>
        <v>36</v>
      </c>
      <c r="D64" s="170" t="s">
        <v>26</v>
      </c>
      <c r="E64" s="172"/>
      <c r="F64" s="1808"/>
      <c r="G64" s="1808"/>
      <c r="H64" s="1810"/>
      <c r="I64" s="129"/>
      <c r="J64" s="3567"/>
      <c r="K64" s="1332" t="s">
        <v>1382</v>
      </c>
      <c r="L64" s="1332">
        <f ca="1">IF(M49&gt;2000,M49*0.5%,IF(AND(M49&gt;1000,M49&lt;=2000),M49*0.6%,IF(AND(M49&gt;500,M49&lt;=1000),M49*0.7%,IF(AND(M49&gt;200,M49&lt;=500),M49*0.8%,IF(AND(M49&gt;100,M49&lt;=200),M49*0.9%,IF(AND(M49&gt;50,M49&lt;=100),M49*1%,IF(AND(M49&gt;20,M49&lt;=50),M49*1.5%,IF(AND(M49&gt;10,M49&lt;=20),M49*2%,IF(AND(M49&gt;1,M49&lt;=10),M49*2.5%)))))))))</f>
        <v>0.54</v>
      </c>
      <c r="M64" s="302">
        <f t="shared" ref="M64:M65" ca="1" si="1">ROUND(L64,1)</f>
        <v>0.5</v>
      </c>
      <c r="N64" s="2544" t="s">
        <v>1383</v>
      </c>
      <c r="Z64" s="1752"/>
      <c r="AI64" s="1753"/>
    </row>
    <row r="65" spans="1:35" ht="14.25" customHeight="1">
      <c r="A65" s="169" t="s">
        <v>326</v>
      </c>
      <c r="B65" s="170" t="s">
        <v>1384</v>
      </c>
      <c r="C65" s="2566"/>
      <c r="D65" s="170"/>
      <c r="E65" s="172"/>
      <c r="F65" s="1808"/>
      <c r="G65" s="1808"/>
      <c r="H65" s="1810"/>
      <c r="I65" s="129"/>
      <c r="J65" s="3567"/>
      <c r="K65" s="1332" t="s">
        <v>1385</v>
      </c>
      <c r="L65" s="1332">
        <f ca="1">IF(M49&gt;1000,M49*0.1%,IF(AND(M49&gt;500,M49&lt;=1000),M49*0.5%,IF(AND(M49&gt;50,M49&lt;=500),M49*1%,IF(AND(M49&gt;1,M49&lt;=50),M49*1.5%))))</f>
        <v>0.54</v>
      </c>
      <c r="M65" s="302">
        <f t="shared" ca="1" si="1"/>
        <v>0.5</v>
      </c>
      <c r="N65" s="2544" t="s">
        <v>1383</v>
      </c>
      <c r="Z65" s="1752"/>
      <c r="AI65" s="1753"/>
    </row>
    <row r="66" spans="1:35" ht="14.25" customHeight="1">
      <c r="A66" s="173" t="s">
        <v>327</v>
      </c>
      <c r="B66" s="174" t="s">
        <v>1386</v>
      </c>
      <c r="C66" s="2567"/>
      <c r="D66" s="174" t="s">
        <v>26</v>
      </c>
      <c r="E66" s="1338" t="s">
        <v>671</v>
      </c>
      <c r="F66" s="1808"/>
      <c r="G66" s="1808"/>
      <c r="H66" s="1810"/>
      <c r="I66" s="129"/>
      <c r="J66" s="3567"/>
      <c r="K66" s="1332" t="s">
        <v>1387</v>
      </c>
      <c r="L66" s="1332">
        <f ca="1">M49*0.5%</f>
        <v>0.18</v>
      </c>
      <c r="M66" s="302">
        <f ca="1">IF(L66&gt;0.5,0.5,ROUND(L66,0))</f>
        <v>0</v>
      </c>
      <c r="N66" s="2544" t="s">
        <v>1388</v>
      </c>
      <c r="Z66" s="1752"/>
      <c r="AI66" s="1753"/>
    </row>
    <row r="67" spans="1:35" ht="14.25" customHeight="1">
      <c r="A67" s="173" t="s">
        <v>328</v>
      </c>
      <c r="B67" s="174" t="s">
        <v>1389</v>
      </c>
      <c r="C67" s="2568">
        <f ca="1">C63-C66</f>
        <v>34</v>
      </c>
      <c r="D67" s="170" t="s">
        <v>26</v>
      </c>
      <c r="E67" s="172"/>
      <c r="F67" s="1808"/>
      <c r="G67" s="1808"/>
      <c r="H67" s="1810"/>
      <c r="I67" s="129"/>
      <c r="J67" s="3567"/>
      <c r="K67" s="1332" t="s">
        <v>1390</v>
      </c>
      <c r="L67" s="1332">
        <f ca="1">IF(M49&gt;=10000,(8.25+(M49-10000)*0.01%),IF(AND(M49&gt;=8000,M49&lt;10000),(7.85+(M49-8000)*0.02%),IF(AND(M49&gt;=5000,M49&lt;8000),(6.65+(M49-5000)*0.04%),IF(AND(M49&gt;=2000,M49&lt;5000),(4.25+(PM49-2000)*0.08%),IF(AND(M49&gt;=1000,M49&lt;2000),(2.75+(M49-1000)*0.15%),IF(AND(M49&gt;=100,M49&lt;1000),(0.5+(M49-100)*0.25%),IF(AND(M49&gt;0,M49&lt;100),M49*0.5%)))))))</f>
        <v>0.18</v>
      </c>
      <c r="M67" s="302">
        <f ca="1">ROUND(L67*0.9,1)</f>
        <v>0.2</v>
      </c>
      <c r="N67" s="2543"/>
      <c r="Z67" s="1752"/>
      <c r="AI67" s="1753"/>
    </row>
    <row r="68" spans="1:35" ht="14.25" customHeight="1" thickBot="1">
      <c r="A68" s="176" t="s">
        <v>329</v>
      </c>
      <c r="B68" s="177" t="s">
        <v>1391</v>
      </c>
      <c r="C68" s="2569">
        <f ca="1">IF(C67&lt;=0,0,ROUND(C67*D68,0))</f>
        <v>2</v>
      </c>
      <c r="D68" s="2570">
        <f>'数据-取费表'!B41</f>
        <v>5.6000000000000001E-2</v>
      </c>
      <c r="E68" s="178"/>
      <c r="F68" s="1808"/>
      <c r="G68" s="1808"/>
      <c r="H68" s="1810"/>
      <c r="I68" s="129"/>
      <c r="J68" s="3567"/>
      <c r="K68" s="1332" t="s">
        <v>1392</v>
      </c>
      <c r="L68" s="1332">
        <f ca="1">IF(M49&gt;10000,M49*0.5%,IF(AND(M49&gt;5000,M49&lt;=10000),M49*1%,IF(AND(M49&gt;1000,M49&lt;=5000),M49*2%,IF(AND(M49&gt;200,M49&lt;=1000),M49*3%,M49*5%))))</f>
        <v>1.8</v>
      </c>
      <c r="M68" s="302">
        <f ca="1">ROUND(L68,1)</f>
        <v>1.8</v>
      </c>
      <c r="N68" s="2543"/>
      <c r="Z68" s="1752"/>
      <c r="AI68" s="1753"/>
    </row>
    <row r="69" spans="1:35" s="1772" customFormat="1" ht="16.5" customHeight="1">
      <c r="A69" s="1811"/>
      <c r="B69" s="1812"/>
      <c r="C69" s="1813"/>
      <c r="D69" s="1814"/>
      <c r="E69" s="1815"/>
      <c r="F69" s="1578"/>
      <c r="G69" s="1578"/>
      <c r="H69" s="1577"/>
      <c r="I69" s="1747"/>
      <c r="J69" s="3567"/>
      <c r="K69" s="1332" t="s">
        <v>1393</v>
      </c>
      <c r="L69" s="1332"/>
      <c r="M69" s="302">
        <f ca="1">ROUND(SUM(M63:M68),0)</f>
        <v>5</v>
      </c>
      <c r="N69" s="2545">
        <f ca="1">M69/M49</f>
        <v>0.1388888888888889</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8" t="s">
        <v>1402</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0</v>
      </c>
      <c r="D78" s="2577">
        <f>'数据-取费表'!B43</f>
        <v>6.000000000000001E-3</v>
      </c>
      <c r="E78" s="3600" t="s">
        <v>1406</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#DIV/0!</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9" t="s">
        <v>2128</v>
      </c>
      <c r="H90" s="3570"/>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0" t="s">
        <v>1419</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0" t="s">
        <v>1422</v>
      </c>
      <c r="F92" s="3601"/>
      <c r="G92" s="3601"/>
      <c r="H92" s="3602"/>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0</v>
      </c>
      <c r="D93" s="2577">
        <f>'数据-取费表'!B43</f>
        <v>6.000000000000001E-3</v>
      </c>
      <c r="E93" s="3600" t="s">
        <v>1406</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5" t="s">
        <v>1426</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#DIV/0!</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5" t="str">
        <f>C4</f>
        <v>比较法-仓储</v>
      </c>
      <c r="D101" s="2586" t="str">
        <f>D4</f>
        <v>收益法 (元)</v>
      </c>
      <c r="E101" s="3563" t="s">
        <v>1431</v>
      </c>
      <c r="F101" s="3564"/>
      <c r="G101" s="1827" t="s">
        <v>1432</v>
      </c>
      <c r="H101" s="2595">
        <f ca="1">H118</f>
        <v>36</v>
      </c>
      <c r="I101" s="129"/>
    </row>
    <row r="102" spans="1:35" ht="18.75" customHeight="1">
      <c r="A102" s="3595" t="s">
        <v>1433</v>
      </c>
      <c r="B102" s="2584" t="s">
        <v>1432</v>
      </c>
      <c r="C102" s="2585">
        <f ca="1">IF(D32="楼面单价",ROUND(C19,0),C19)</f>
        <v>48</v>
      </c>
      <c r="D102" s="2586">
        <f ca="1">IF(D32="楼面单价",ROUND(D19,0),D19)</f>
        <v>18</v>
      </c>
      <c r="E102" s="3563"/>
      <c r="F102" s="3564"/>
      <c r="G102" s="1827" t="s">
        <v>1434</v>
      </c>
      <c r="H102" s="2555">
        <f ca="1">I118</f>
        <v>8955</v>
      </c>
      <c r="I102" s="129"/>
    </row>
    <row r="103" spans="1:35" ht="42.75" customHeight="1">
      <c r="A103" s="3595"/>
      <c r="B103" s="2584" t="s">
        <v>1434</v>
      </c>
      <c r="C103" s="2587">
        <f ca="1">C20</f>
        <v>11900</v>
      </c>
      <c r="D103" s="2588">
        <f ca="1">D20</f>
        <v>4537</v>
      </c>
      <c r="E103" s="3556" t="s">
        <v>1435</v>
      </c>
      <c r="F103" s="3557"/>
      <c r="G103" s="1828" t="s">
        <v>1436</v>
      </c>
      <c r="H103" s="2595">
        <f>IF(D36="正常操作",H104+H105+H106,H105+H106)</f>
        <v>0</v>
      </c>
      <c r="I103" s="129"/>
    </row>
    <row r="104" spans="1:35" ht="18.75" customHeight="1">
      <c r="A104" s="3595" t="s">
        <v>1437</v>
      </c>
      <c r="B104" s="2589" t="s">
        <v>1432</v>
      </c>
      <c r="C104" s="2590">
        <f ca="1">H118</f>
        <v>36</v>
      </c>
      <c r="D104" s="2591"/>
      <c r="E104" s="1674" t="s">
        <v>1438</v>
      </c>
      <c r="F104" s="1666"/>
      <c r="G104" s="1828" t="s">
        <v>1436</v>
      </c>
      <c r="H104" s="2596">
        <f>IF(D36="同一抵押权人同一抵押物续贷",C36&amp;"（续贷，未扣减，详见特别提示）",C36)</f>
        <v>0</v>
      </c>
      <c r="I104" s="129"/>
    </row>
    <row r="105" spans="1:35" ht="18.75" customHeight="1" thickBot="1">
      <c r="A105" s="3605"/>
      <c r="B105" s="2592" t="s">
        <v>1434</v>
      </c>
      <c r="C105" s="2593">
        <f ca="1">I118</f>
        <v>8955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6" t="str">
        <f>IF(项目基本情况!E8="已注销","——","3.房地产抵押价值")</f>
        <v>3.房地产抵押价值</v>
      </c>
      <c r="F107" s="3564"/>
      <c r="G107" s="1827" t="s">
        <v>1432</v>
      </c>
      <c r="H107" s="2595">
        <f ca="1">IF(E107="——","——",H101-H103)</f>
        <v>36</v>
      </c>
      <c r="I107" s="129"/>
    </row>
    <row r="108" spans="1:35" ht="18.75" customHeight="1">
      <c r="A108" s="129"/>
      <c r="B108" s="129"/>
      <c r="C108" s="129"/>
      <c r="D108" s="129"/>
      <c r="E108" s="3596"/>
      <c r="F108" s="3564"/>
      <c r="G108" s="1827" t="s">
        <v>1434</v>
      </c>
      <c r="H108" s="2555">
        <f ca="1">IF(H107=H101,H102,ROUND(H107*10000/'数据-汇总表'!E3,0))</f>
        <v>8955</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1432</v>
      </c>
      <c r="H109" s="2598" t="str">
        <f>IF(E109="——","——",H101-H105-H106)</f>
        <v>——</v>
      </c>
      <c r="I109" s="129"/>
    </row>
    <row r="110" spans="1:35" ht="18.75" customHeight="1">
      <c r="A110" s="129"/>
      <c r="B110" s="129"/>
      <c r="C110" s="129"/>
      <c r="D110" s="129"/>
      <c r="E110" s="3596"/>
      <c r="F110" s="3564"/>
      <c r="G110" s="1827" t="s">
        <v>1434</v>
      </c>
      <c r="H110" s="2555"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598"/>
      <c r="F112" s="3599"/>
      <c r="G112" s="1830" t="s">
        <v>1434</v>
      </c>
      <c r="H112" s="2599"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9" t="s">
        <v>1449</v>
      </c>
      <c r="E117" s="2329" t="s">
        <v>1450</v>
      </c>
      <c r="F117" s="2329" t="s">
        <v>1449</v>
      </c>
      <c r="G117" s="2329" t="s">
        <v>1451</v>
      </c>
      <c r="H117" s="2329" t="s">
        <v>1449</v>
      </c>
      <c r="I117" s="2329" t="s">
        <v>1451</v>
      </c>
    </row>
    <row r="118" spans="1:27" ht="24.75" customHeight="1">
      <c r="A118" s="2600" t="str">
        <f>项目基本情况!S2</f>
        <v>北京市西城区马连道路15号院4号楼-2层01等[24]库房用房房地产</v>
      </c>
      <c r="B118" s="2329">
        <f>M18</f>
        <v>40.630000000000003</v>
      </c>
      <c r="C118" s="2329">
        <f>M19</f>
        <v>0</v>
      </c>
      <c r="D118" s="2329">
        <f ca="1">ROUND(IF(D32="总价",C34,E118*B118/10000),0)</f>
        <v>24</v>
      </c>
      <c r="E118" s="2329">
        <f ca="1">ROUND(IF(C33="自定义",IF(D32="楼面单价",C34,D118*10000/B118),I118-G118),0)</f>
        <v>5964</v>
      </c>
      <c r="F118" s="2329">
        <f ca="1">ROUND(IF(D32="总价",C35,G118*B118/10000),0)</f>
        <v>12</v>
      </c>
      <c r="G118" s="2329">
        <f ca="1">ROUND(IF(D32="楼面单价",C35,F118*10000/B118),0)</f>
        <v>2991</v>
      </c>
      <c r="H118" s="2329">
        <f ca="1">ROUND(IF(D32="总价",C32,I118*B118/10000),0)</f>
        <v>36</v>
      </c>
      <c r="I118" s="2329">
        <f ca="1">ROUND(IF(D32="楼面单价",C32,H118*10000/B118),0)</f>
        <v>8955</v>
      </c>
    </row>
    <row r="119" spans="1:27" ht="18.75" customHeight="1">
      <c r="A119" s="3571" t="s">
        <v>1452</v>
      </c>
      <c r="B119" s="3571"/>
      <c r="C119" s="3571"/>
      <c r="D119" s="3577" t="str">
        <f ca="1">NUMBERSTRING(INT(D118*10000),2)&amp;"元整"</f>
        <v>贰拾肆万元整</v>
      </c>
      <c r="E119" s="3578"/>
      <c r="F119" s="3577" t="str">
        <f ca="1">NUMBERSTRING(INT(F118*10000),2)&amp;"元整"</f>
        <v>壹拾贰万元整</v>
      </c>
      <c r="G119" s="3578"/>
      <c r="H119" s="3577" t="str">
        <f ca="1">NUMBERSTRING(INT(H118*10000),2)&amp;"元整"</f>
        <v>叁拾陆万元整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7" t="s">
        <v>1452</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房地产抵押价值</v>
      </c>
      <c r="B122" s="3583"/>
      <c r="C122" s="3583"/>
      <c r="D122" s="3572">
        <f ca="1">H107</f>
        <v>36</v>
      </c>
      <c r="E122" s="3573"/>
      <c r="F122" s="3573"/>
      <c r="G122" s="3573"/>
      <c r="H122" s="3573"/>
      <c r="I122" s="3574"/>
      <c r="AA122" s="725"/>
    </row>
    <row r="123" spans="1:27" ht="18.75" customHeight="1">
      <c r="A123" s="3571" t="s">
        <v>1452</v>
      </c>
      <c r="B123" s="3571"/>
      <c r="C123" s="3571"/>
      <c r="D123" s="3577" t="str">
        <f ca="1">NUMBERSTRING(INT(D122*10000),2)&amp;"元整"</f>
        <v>叁拾陆万元整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1452</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1452</v>
      </c>
      <c r="B127" s="3571"/>
      <c r="C127" s="3571"/>
      <c r="D127" s="3577" t="e">
        <f>NUMBERSTRING(INT(D126*10000),2)&amp;"元整"</f>
        <v>#VALUE!</v>
      </c>
      <c r="E127" s="3579"/>
      <c r="F127" s="3579"/>
      <c r="G127" s="3579"/>
      <c r="H127" s="3579"/>
      <c r="I127" s="3578"/>
      <c r="AA127" s="725"/>
    </row>
    <row r="128" spans="1:27" ht="21.75" customHeight="1">
      <c r="A128" s="3580" t="s">
        <v>1453</v>
      </c>
      <c r="B128" s="3580"/>
      <c r="C128" s="3580"/>
      <c r="D128" s="3580"/>
      <c r="E128" s="3580"/>
      <c r="F128" s="3580"/>
      <c r="G128" s="3580"/>
      <c r="H128" s="3580"/>
      <c r="I128" s="358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北京市西城区马连道路15号院4号楼-2层01等[24]库房用房房地产抵押价值预评估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4184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0.81259999999999999</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0.81259999999999999</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40.630000000000003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40.630000000000003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16</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40.630000000000003</v>
      </c>
      <c r="E37" s="249">
        <f>'数据-取费表'!B35</f>
        <v>200</v>
      </c>
      <c r="F37" s="259"/>
      <c r="G37" s="261" t="s">
        <v>1532</v>
      </c>
    </row>
    <row r="38" spans="1:7" ht="13.5" customHeight="1">
      <c r="A38" s="780" t="s">
        <v>354</v>
      </c>
      <c r="B38" s="215" t="s">
        <v>1533</v>
      </c>
      <c r="C38" s="220">
        <f ca="1">ROUND(C34*F38,0)</f>
        <v>0</v>
      </c>
      <c r="D38" s="220"/>
      <c r="E38" s="220"/>
      <c r="F38" s="259">
        <f>'数据-取费表'!B36</f>
        <v>0.03</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8.9999999999999998E-4</v>
      </c>
      <c r="D44" s="238"/>
      <c r="E44" s="238"/>
      <c r="F44" s="239"/>
      <c r="G44" s="3652"/>
    </row>
    <row r="45" spans="1:7" s="214" customFormat="1" ht="13.5" customHeight="1">
      <c r="A45" s="255" t="s">
        <v>1547</v>
      </c>
      <c r="B45" s="244" t="s">
        <v>1513</v>
      </c>
      <c r="C45" s="245">
        <f ca="1">C46</f>
        <v>1</v>
      </c>
      <c r="D45" s="235">
        <f ca="1">C47</f>
        <v>2.3999999999999998E-3</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15</v>
      </c>
      <c r="D51" s="232"/>
      <c r="E51" s="232"/>
      <c r="F51" s="264"/>
      <c r="G51" s="234" t="s">
        <v>1560</v>
      </c>
    </row>
    <row r="52" spans="1:7" s="208" customFormat="1" ht="16.5" thickBot="1">
      <c r="A52" s="265" t="s">
        <v>1561</v>
      </c>
      <c r="B52" s="266"/>
      <c r="C52" s="267">
        <f ca="1">C31+C51</f>
        <v>17</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40.630000000000003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40.630000000000003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0.18740000000000001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40.630000000000003</v>
      </c>
      <c r="E20" s="21">
        <f>'数据-取费表'!B28</f>
        <v>200</v>
      </c>
      <c r="F20" s="804"/>
      <c r="G20" s="12"/>
      <c r="H20" s="809"/>
      <c r="I20" s="809"/>
      <c r="J20" s="809"/>
      <c r="K20" s="810"/>
    </row>
    <row r="21" spans="1:33" s="803" customFormat="1" ht="13.5" customHeight="1">
      <c r="A21" s="790" t="s">
        <v>357</v>
      </c>
      <c r="B21" s="813" t="s">
        <v>1628</v>
      </c>
      <c r="C21" s="814">
        <f ca="1">C16+C17+C18</f>
        <v>0.18740000000000001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2108</v>
      </c>
      <c r="E6" s="302" t="s">
        <v>696</v>
      </c>
      <c r="F6" s="303">
        <f ca="1">INDIRECT("'数据-取费表'!u"&amp;$G$1)</f>
        <v>0</v>
      </c>
      <c r="G6" s="1384"/>
      <c r="H6" s="1069" t="s">
        <v>398</v>
      </c>
      <c r="I6" s="3655" t="s">
        <v>694</v>
      </c>
      <c r="J6" s="301">
        <f ca="1">ROUND(M6*M8*M7*(1-M9)/10000,0)</f>
        <v>0</v>
      </c>
      <c r="K6" s="155"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2305</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9" zoomScale="90" zoomScaleNormal="70" zoomScaleSheetLayoutView="90" workbookViewId="0">
      <selection activeCell="K23" sqref="K2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3405</v>
      </c>
      <c r="C1" s="1224" t="s">
        <v>1662</v>
      </c>
      <c r="D1" s="1225" t="s">
        <v>3461</v>
      </c>
      <c r="E1" s="3433" t="s">
        <v>3466</v>
      </c>
      <c r="F1" s="1879" t="s">
        <v>3467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IF(E1="项目模式",IF(C2="——",ROUND(C37*D3/10000,0),ROUND(C37*D3/10000,0)-D2),IF(E1="单套模式",IF(C2="——",ROUND(C37*D3/10000,4),ROUND(C37*D3/10000,4)-D2)))</f>
        <v>48.349699999999999</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11900</v>
      </c>
      <c r="C3" s="354" t="s">
        <v>1768</v>
      </c>
      <c r="D3" s="353">
        <f>SUMIF('数据-汇总表'!$C19:$C33,D1,'数据-汇总表'!$E19:$E33)</f>
        <v>40.630000000000003</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811" t="s">
        <v>3490</v>
      </c>
      <c r="F5" s="3689"/>
      <c r="G5" s="3813" t="s">
        <v>3492</v>
      </c>
      <c r="H5" s="3691"/>
      <c r="I5" s="3813" t="s">
        <v>3494</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45804</v>
      </c>
      <c r="D7" s="365">
        <v>100</v>
      </c>
      <c r="E7" s="366">
        <v>45800</v>
      </c>
      <c r="F7" s="367">
        <f>SUMIF(46:46,YEAR(E7)&amp;"-"&amp;MONTH(E7),47:47)</f>
        <v>100</v>
      </c>
      <c r="G7" s="1974">
        <v>45578</v>
      </c>
      <c r="H7" s="365">
        <f>SUMIF(46:46,YEAR(G7)&amp;"-"&amp;MONTH(G7),47:47)</f>
        <v>100.2</v>
      </c>
      <c r="I7" s="366">
        <v>45786</v>
      </c>
      <c r="J7" s="365">
        <f>SUMIF(46:46,YEAR(I7)&amp;"-"&amp;MONTH(I7),47:47)</f>
        <v>100</v>
      </c>
      <c r="K7" s="560"/>
      <c r="L7" s="2717"/>
      <c r="M7" s="2718"/>
      <c r="N7" s="2718"/>
      <c r="O7" s="2718"/>
      <c r="P7" s="3682" t="s">
        <v>1680</v>
      </c>
      <c r="Q7" s="3710"/>
      <c r="R7" s="701" t="s">
        <v>14</v>
      </c>
      <c r="S7" s="702">
        <f t="shared" ref="S7:S14" si="0">F7</f>
        <v>100</v>
      </c>
      <c r="T7" s="701" t="s">
        <v>14</v>
      </c>
      <c r="U7" s="702">
        <f t="shared" ref="U7:U14" si="1">H7</f>
        <v>100.2</v>
      </c>
      <c r="V7" s="701" t="s">
        <v>14</v>
      </c>
      <c r="W7" s="702">
        <f t="shared" ref="W7:W14" si="2">J7</f>
        <v>100</v>
      </c>
      <c r="X7" s="703"/>
      <c r="Y7" s="3682" t="s">
        <v>1680</v>
      </c>
      <c r="Z7" s="3683"/>
      <c r="AA7" s="704">
        <f>D7/F7</f>
        <v>1</v>
      </c>
      <c r="AB7" s="704">
        <f>D7/H7</f>
        <v>0.99800399201596801</v>
      </c>
      <c r="AC7" s="704">
        <f>D7/J7</f>
        <v>1</v>
      </c>
    </row>
    <row r="8" spans="1:29" s="108" customFormat="1" ht="15.75" thickBot="1">
      <c r="A8" s="362" t="s">
        <v>1681</v>
      </c>
      <c r="B8" s="363"/>
      <c r="C8" s="368" t="s">
        <v>3468</v>
      </c>
      <c r="D8" s="365">
        <v>100</v>
      </c>
      <c r="E8" s="368" t="s">
        <v>3468</v>
      </c>
      <c r="F8" s="367">
        <f>SUMIF(49:49,E8,50:50)-SUMIF(49:49,C8,50:50)+100</f>
        <v>100</v>
      </c>
      <c r="G8" s="368" t="s">
        <v>3468</v>
      </c>
      <c r="H8" s="365">
        <f>SUMIF(49:49,G8,50:50)-SUMIF(49:49,C8,50:50)+100</f>
        <v>100</v>
      </c>
      <c r="I8" s="368" t="s">
        <v>3468</v>
      </c>
      <c r="J8" s="365">
        <f>SUMIF(49:49,I8,50:50)-SUMIF(49:49,C8,50:50)+100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ht="15">
      <c r="A9" s="369" t="s">
        <v>1684</v>
      </c>
      <c r="B9" s="63" t="s">
        <v>1685</v>
      </c>
      <c r="C9" s="3808" t="s">
        <v>3470</v>
      </c>
      <c r="D9" s="126">
        <v>100</v>
      </c>
      <c r="E9" s="373" t="s">
        <v>3469</v>
      </c>
      <c r="F9" s="372">
        <f>SUMIF(51:51,E9,52:52)-SUMIF(51:51,C9,52:52)+100</f>
        <v>100</v>
      </c>
      <c r="G9" s="373" t="s">
        <v>3469</v>
      </c>
      <c r="H9" s="126">
        <f>SUMIF(51:51,G9,52:52)-SUMIF(51:51,C9,52:52)+100</f>
        <v>100</v>
      </c>
      <c r="I9" s="373" t="s">
        <v>3469</v>
      </c>
      <c r="J9" s="126">
        <f>SUMIF(51:51,I9,52:52)-SUMIF(51:51,C9,52:52)+100</f>
        <v>100</v>
      </c>
      <c r="K9" s="560"/>
      <c r="L9" s="2717"/>
      <c r="M9" s="2718"/>
      <c r="N9" s="2718"/>
      <c r="O9" s="2772"/>
      <c r="P9" s="3714"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374"/>
      <c r="B10" s="375" t="s">
        <v>1688</v>
      </c>
      <c r="C10" s="3434" t="str">
        <f>E53</f>
        <v>30（含）-20</v>
      </c>
      <c r="D10" s="127">
        <v>100</v>
      </c>
      <c r="E10" s="3434" t="str">
        <f>C53</f>
        <v>50（含）-40</v>
      </c>
      <c r="F10" s="376">
        <f>SUMIF(53:53,E10,54:54)-SUMIF(53:53,C10,54:54)+100</f>
        <v>104</v>
      </c>
      <c r="G10" s="3434" t="str">
        <f>C53</f>
        <v>50（含）-40</v>
      </c>
      <c r="H10" s="127">
        <f>SUMIF(53:53,G10,54:54)-SUMIF(53:53,C10,54:54)+100</f>
        <v>104</v>
      </c>
      <c r="I10" s="3434" t="str">
        <f>C53</f>
        <v>50（含）-40</v>
      </c>
      <c r="J10" s="127">
        <f>SUMIF(53:53,I10,54:54)-SUMIF(53:53,C10,54:54)+100</f>
        <v>104</v>
      </c>
      <c r="K10" s="560"/>
      <c r="L10" s="2719"/>
      <c r="M10" s="2720"/>
      <c r="N10" s="2720"/>
      <c r="O10" s="2773"/>
      <c r="P10" s="3714"/>
      <c r="Q10" s="1343" t="str">
        <f t="shared" si="6"/>
        <v>土地使用年限（年）</v>
      </c>
      <c r="R10" s="701" t="s">
        <v>14</v>
      </c>
      <c r="S10" s="702">
        <f t="shared" si="0"/>
        <v>104</v>
      </c>
      <c r="T10" s="701" t="s">
        <v>14</v>
      </c>
      <c r="U10" s="702">
        <f t="shared" si="1"/>
        <v>104</v>
      </c>
      <c r="V10" s="701" t="s">
        <v>14</v>
      </c>
      <c r="W10" s="702">
        <f t="shared" si="2"/>
        <v>104</v>
      </c>
      <c r="X10" s="703"/>
      <c r="Y10" s="3626"/>
      <c r="Z10" s="52" t="str">
        <f t="shared" si="7"/>
        <v>土地使用年限（年）</v>
      </c>
      <c r="AA10" s="704">
        <f t="shared" si="3"/>
        <v>0.96153846153846156</v>
      </c>
      <c r="AB10" s="704">
        <f t="shared" si="4"/>
        <v>0.96153846153846156</v>
      </c>
      <c r="AC10" s="704">
        <f t="shared" si="5"/>
        <v>0.96153846153846156</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v>2</v>
      </c>
      <c r="L14" s="2722"/>
      <c r="M14" s="2716"/>
      <c r="N14" s="2716"/>
      <c r="O14" s="2774"/>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79"/>
      <c r="B15" s="397"/>
      <c r="C15" s="398" t="s">
        <v>3454</v>
      </c>
      <c r="D15" s="399"/>
      <c r="E15" s="398" t="s">
        <v>3454</v>
      </c>
      <c r="F15" s="400"/>
      <c r="G15" s="398" t="s">
        <v>3454</v>
      </c>
      <c r="H15" s="401"/>
      <c r="I15" s="398" t="s">
        <v>3454</v>
      </c>
      <c r="J15" s="399"/>
      <c r="K15" s="564"/>
      <c r="L15" s="2722"/>
      <c r="M15" s="2716"/>
      <c r="N15" s="2716"/>
      <c r="O15" s="2774"/>
      <c r="P15" s="3717"/>
      <c r="Q15" s="1352"/>
      <c r="R15" s="705"/>
      <c r="S15" s="706"/>
      <c r="T15" s="705"/>
      <c r="U15" s="706"/>
      <c r="V15" s="705"/>
      <c r="W15" s="706"/>
      <c r="X15" s="1355"/>
      <c r="Y15" s="371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v>2</v>
      </c>
      <c r="L16" s="2722"/>
      <c r="M16" s="2716"/>
      <c r="N16" s="2716"/>
      <c r="O16" s="2774"/>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79"/>
      <c r="B17" s="407"/>
      <c r="C17" s="1901" t="s">
        <v>3454</v>
      </c>
      <c r="D17" s="399"/>
      <c r="E17" s="1901" t="s">
        <v>3454</v>
      </c>
      <c r="F17" s="400"/>
      <c r="G17" s="1901" t="s">
        <v>3454</v>
      </c>
      <c r="H17" s="399"/>
      <c r="I17" s="1901" t="s">
        <v>3454</v>
      </c>
      <c r="J17" s="399"/>
      <c r="K17" s="564"/>
      <c r="L17" s="2722"/>
      <c r="M17" s="2716"/>
      <c r="N17" s="2716"/>
      <c r="O17" s="2774"/>
      <c r="P17" s="3717"/>
      <c r="Q17" s="1352"/>
      <c r="R17" s="705"/>
      <c r="S17" s="706"/>
      <c r="T17" s="705"/>
      <c r="U17" s="706"/>
      <c r="V17" s="705"/>
      <c r="W17" s="706"/>
      <c r="X17" s="1355"/>
      <c r="Y17" s="371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v>1</v>
      </c>
      <c r="L18" s="2722"/>
      <c r="M18" s="2716"/>
      <c r="N18" s="2716"/>
      <c r="O18" s="2774"/>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79"/>
      <c r="B19" s="1131"/>
      <c r="C19" s="1901" t="s">
        <v>3485</v>
      </c>
      <c r="D19" s="401"/>
      <c r="E19" s="1901" t="s">
        <v>3485</v>
      </c>
      <c r="F19" s="404"/>
      <c r="G19" s="1901" t="s">
        <v>3485</v>
      </c>
      <c r="H19" s="399"/>
      <c r="I19" s="1901" t="s">
        <v>3485</v>
      </c>
      <c r="J19" s="399"/>
      <c r="K19" s="1130"/>
      <c r="L19" s="2722"/>
      <c r="M19" s="2716"/>
      <c r="N19" s="2716"/>
      <c r="O19" s="2774"/>
      <c r="P19" s="3717"/>
      <c r="Q19" s="1352"/>
      <c r="R19" s="705"/>
      <c r="S19" s="706"/>
      <c r="T19" s="705"/>
      <c r="U19" s="706"/>
      <c r="V19" s="705"/>
      <c r="W19" s="706"/>
      <c r="X19" s="1355"/>
      <c r="Y19" s="371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v>2</v>
      </c>
      <c r="L20" s="2722"/>
      <c r="M20" s="2716"/>
      <c r="N20" s="2716"/>
      <c r="O20" s="2774"/>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79"/>
      <c r="B21" s="407"/>
      <c r="C21" s="398" t="s">
        <v>3454</v>
      </c>
      <c r="D21" s="399"/>
      <c r="E21" s="398" t="s">
        <v>3454</v>
      </c>
      <c r="F21" s="400"/>
      <c r="G21" s="398" t="s">
        <v>3454</v>
      </c>
      <c r="H21" s="399"/>
      <c r="I21" s="398" t="s">
        <v>3454</v>
      </c>
      <c r="J21" s="399"/>
      <c r="K21" s="564"/>
      <c r="L21" s="2722"/>
      <c r="M21" s="2716"/>
      <c r="N21" s="2716"/>
      <c r="O21" s="2774"/>
      <c r="P21" s="3717"/>
      <c r="Q21" s="1352"/>
      <c r="R21" s="705"/>
      <c r="S21" s="706"/>
      <c r="T21" s="705"/>
      <c r="U21" s="706"/>
      <c r="V21" s="705"/>
      <c r="W21" s="706"/>
      <c r="X21" s="1355"/>
      <c r="Y21" s="3717"/>
      <c r="Z21" s="1356"/>
      <c r="AA21" s="1353">
        <v>1</v>
      </c>
      <c r="AB21" s="1353">
        <v>1</v>
      </c>
      <c r="AC21" s="1353">
        <v>1</v>
      </c>
    </row>
    <row r="22" spans="1:29" ht="15">
      <c r="A22" s="379"/>
      <c r="B22" s="402" t="s">
        <v>1835</v>
      </c>
      <c r="C22" s="565" t="s">
        <v>3465</v>
      </c>
      <c r="D22" s="401">
        <v>100</v>
      </c>
      <c r="E22" s="565" t="s">
        <v>3489</v>
      </c>
      <c r="F22" s="412">
        <f>SUMIF(69:69,E22,70:70)-SUMIF(69:69,C22,70:70)+100</f>
        <v>98</v>
      </c>
      <c r="G22" s="565" t="s">
        <v>3465</v>
      </c>
      <c r="H22" s="386">
        <f>SUMIF(69:69,G22,70:70)-SUMIF(69:69,C22,70:70)+100</f>
        <v>100</v>
      </c>
      <c r="I22" s="565" t="s">
        <v>3489</v>
      </c>
      <c r="J22" s="386">
        <f>SUMIF(69:69,I22,70:70)-SUMIF(69:69,C22,70:70)+100</f>
        <v>98</v>
      </c>
      <c r="K22" s="561">
        <v>2</v>
      </c>
      <c r="L22" s="2722"/>
      <c r="M22" s="2716"/>
      <c r="N22" s="2716"/>
      <c r="O22" s="2774"/>
      <c r="P22" s="3717"/>
      <c r="Q22" s="1352" t="str">
        <f>B22</f>
        <v>楼层</v>
      </c>
      <c r="R22" s="705" t="s">
        <v>14</v>
      </c>
      <c r="S22" s="706">
        <f>F22</f>
        <v>98</v>
      </c>
      <c r="T22" s="705" t="s">
        <v>14</v>
      </c>
      <c r="U22" s="706">
        <f>H22</f>
        <v>100</v>
      </c>
      <c r="V22" s="705" t="s">
        <v>14</v>
      </c>
      <c r="W22" s="706">
        <f>J22</f>
        <v>98</v>
      </c>
      <c r="X22" s="1355"/>
      <c r="Y22" s="3717"/>
      <c r="Z22" s="1356" t="str">
        <f>Q22</f>
        <v>楼层</v>
      </c>
      <c r="AA22" s="1353">
        <f t="shared" si="3"/>
        <v>1.0204081632653061</v>
      </c>
      <c r="AB22" s="1353">
        <f t="shared" si="4"/>
        <v>1</v>
      </c>
      <c r="AC22" s="1353">
        <f t="shared" si="5"/>
        <v>1.0204081632653061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7"/>
      <c r="Q24" s="1352">
        <f t="shared" ref="Q24:Q34"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417" t="s">
        <v>1694</v>
      </c>
      <c r="B26" s="63" t="s">
        <v>1838</v>
      </c>
      <c r="C26" s="1967" t="s">
        <v>3477</v>
      </c>
      <c r="D26" s="418">
        <v>100</v>
      </c>
      <c r="E26" s="1967" t="s">
        <v>3477</v>
      </c>
      <c r="F26" s="615">
        <f>SUMIF(77:77,E26,78:78)-SUMIF(77:77,C26,78:78)+100</f>
        <v>100</v>
      </c>
      <c r="G26" s="1967" t="s">
        <v>3477</v>
      </c>
      <c r="H26" s="418">
        <f>SUMIF(77:77,G26,78:78)-SUMIF(77:77,C26,78:78)+100</f>
        <v>100</v>
      </c>
      <c r="I26" s="1967" t="s">
        <v>3477</v>
      </c>
      <c r="J26" s="418">
        <f>SUMIF(77:77,I26,78:78)-SUMIF(77:77,C26,78:78)+100</f>
        <v>100</v>
      </c>
      <c r="K26" s="561">
        <v>1</v>
      </c>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1" t="s">
        <v>1696</v>
      </c>
      <c r="Z26" s="1356" t="str">
        <f t="shared" ref="Z26:Z34" si="15">Q26</f>
        <v>公共部分装修</v>
      </c>
      <c r="AA26" s="1353">
        <f t="shared" si="3"/>
        <v>1</v>
      </c>
      <c r="AB26" s="1353">
        <f t="shared" si="4"/>
        <v>1</v>
      </c>
      <c r="AC26" s="1353">
        <f t="shared" si="5"/>
        <v>1</v>
      </c>
    </row>
    <row r="27" spans="1:29" s="422" customFormat="1" ht="15">
      <c r="A27" s="419"/>
      <c r="B27" s="375" t="s">
        <v>1839</v>
      </c>
      <c r="C27" s="425">
        <f>'数据-取费表'!N6</f>
        <v>0.7</v>
      </c>
      <c r="D27" s="127">
        <v>100</v>
      </c>
      <c r="E27" s="425">
        <v>0.98</v>
      </c>
      <c r="F27" s="412">
        <f>LOOKUP(E27,80:80,81:81)-LOOKUP(C27,80:80,81:81)+100</f>
        <v>102</v>
      </c>
      <c r="G27" s="425">
        <v>1</v>
      </c>
      <c r="H27" s="386">
        <f>LOOKUP(G27,80:80,81:81)-LOOKUP(C27,80:80,81:81)+100</f>
        <v>102</v>
      </c>
      <c r="I27" s="425">
        <v>0.93</v>
      </c>
      <c r="J27" s="386">
        <f>LOOKUP(I27,80:80,81:81)-LOOKUP(C27,80:80,81:81)+100</f>
        <v>102</v>
      </c>
      <c r="K27" s="561">
        <v>1</v>
      </c>
      <c r="L27" s="2721"/>
      <c r="M27" s="2723"/>
      <c r="N27" s="2723"/>
      <c r="O27" s="2775"/>
      <c r="P27" s="3721"/>
      <c r="Q27" s="707" t="str">
        <f t="shared" si="11"/>
        <v>成新率</v>
      </c>
      <c r="R27" s="708" t="s">
        <v>14</v>
      </c>
      <c r="S27" s="709">
        <f t="shared" si="12"/>
        <v>102</v>
      </c>
      <c r="T27" s="708" t="s">
        <v>14</v>
      </c>
      <c r="U27" s="709">
        <f t="shared" si="13"/>
        <v>102</v>
      </c>
      <c r="V27" s="708" t="s">
        <v>14</v>
      </c>
      <c r="W27" s="709">
        <f t="shared" si="14"/>
        <v>102</v>
      </c>
      <c r="X27" s="710"/>
      <c r="Y27" s="3721"/>
      <c r="Z27" s="711" t="str">
        <f t="shared" si="15"/>
        <v>成新率</v>
      </c>
      <c r="AA27" s="1353">
        <f t="shared" si="3"/>
        <v>0.98039215686274506</v>
      </c>
      <c r="AB27" s="1353">
        <f t="shared" si="4"/>
        <v>0.98039215686274506</v>
      </c>
      <c r="AC27" s="1353">
        <f t="shared" si="5"/>
        <v>0.98039215686274506</v>
      </c>
    </row>
    <row r="28" spans="1:29" ht="15">
      <c r="A28" s="423"/>
      <c r="B28" s="375" t="s">
        <v>1840</v>
      </c>
      <c r="C28" s="411" t="s">
        <v>3481</v>
      </c>
      <c r="D28" s="386">
        <v>100</v>
      </c>
      <c r="E28" s="411" t="s">
        <v>3481</v>
      </c>
      <c r="F28" s="412">
        <f>SUMIF(82:82,E28,83:83)-SUMIF(82:82,C28,83:83)+100</f>
        <v>100</v>
      </c>
      <c r="G28" s="411" t="s">
        <v>3481</v>
      </c>
      <c r="H28" s="386">
        <f>SUMIF(82:82,G28,83:83)-SUMIF(82:82,C28,83:83)+100</f>
        <v>100</v>
      </c>
      <c r="I28" s="411" t="s">
        <v>3481</v>
      </c>
      <c r="J28" s="386">
        <f>SUMIF(82:82,I28,83:83)-SUMIF(82:82,C28,83:83)+100</f>
        <v>100</v>
      </c>
      <c r="K28" s="561">
        <v>1</v>
      </c>
      <c r="L28" s="2722"/>
      <c r="M28" s="2716"/>
      <c r="N28" s="2716"/>
      <c r="O28" s="2774"/>
      <c r="P28" s="3721"/>
      <c r="Q28" s="1352" t="str">
        <f t="shared" si="11"/>
        <v>物业等级</v>
      </c>
      <c r="R28" s="705" t="s">
        <v>14</v>
      </c>
      <c r="S28" s="706">
        <f t="shared" si="12"/>
        <v>100</v>
      </c>
      <c r="T28" s="705" t="s">
        <v>14</v>
      </c>
      <c r="U28" s="706">
        <f t="shared" si="13"/>
        <v>100</v>
      </c>
      <c r="V28" s="705" t="s">
        <v>14</v>
      </c>
      <c r="W28" s="706">
        <f t="shared" si="14"/>
        <v>100</v>
      </c>
      <c r="X28" s="1355"/>
      <c r="Y28" s="372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1"/>
      <c r="Q29" s="1352" t="str">
        <f t="shared" si="11"/>
        <v>有无电梯</v>
      </c>
      <c r="R29" s="705" t="s">
        <v>14</v>
      </c>
      <c r="S29" s="706">
        <f t="shared" si="12"/>
        <v>100</v>
      </c>
      <c r="T29" s="705" t="s">
        <v>14</v>
      </c>
      <c r="U29" s="706">
        <f t="shared" si="13"/>
        <v>100</v>
      </c>
      <c r="V29" s="705" t="s">
        <v>14</v>
      </c>
      <c r="W29" s="706">
        <f t="shared" si="14"/>
        <v>100</v>
      </c>
      <c r="X29" s="1355"/>
      <c r="Y29" s="3721"/>
      <c r="Z29" s="1356" t="str">
        <f t="shared" si="15"/>
        <v>有无电梯</v>
      </c>
      <c r="AA29" s="1353">
        <f t="shared" si="3"/>
        <v>1</v>
      </c>
      <c r="AB29" s="1353">
        <f t="shared" si="4"/>
        <v>1</v>
      </c>
      <c r="AC29" s="1353">
        <f t="shared" si="5"/>
        <v>1</v>
      </c>
    </row>
    <row r="30" spans="1:29" ht="15">
      <c r="A30" s="423"/>
      <c r="B30" s="375" t="s">
        <v>1861</v>
      </c>
      <c r="C30" s="420">
        <f>'数据-汇总表'!G19</f>
        <v>40.630000000000003</v>
      </c>
      <c r="D30" s="386">
        <v>100</v>
      </c>
      <c r="E30" s="420">
        <v>33.64</v>
      </c>
      <c r="F30" s="412">
        <f>LOOKUP(E30,87:87,88:88)-LOOKUP(C30,87:87,88:88)+100</f>
        <v>99</v>
      </c>
      <c r="G30" s="420">
        <v>30.24</v>
      </c>
      <c r="H30" s="386">
        <f>LOOKUP(G30,87:87,88:88)-LOOKUP(C30,87:87,88:88)+100</f>
        <v>99</v>
      </c>
      <c r="I30" s="420">
        <v>24.49</v>
      </c>
      <c r="J30" s="386">
        <f>LOOKUP(I30,87:87,88:88)-LOOKUP(C30,87:87,88:88)+100</f>
        <v>99</v>
      </c>
      <c r="K30" s="562"/>
      <c r="L30" s="2722"/>
      <c r="M30" s="2716"/>
      <c r="N30" s="2716"/>
      <c r="O30" s="2774"/>
      <c r="P30" s="3721"/>
      <c r="Q30" s="1352" t="str">
        <f t="shared" si="11"/>
        <v>建筑面积</v>
      </c>
      <c r="R30" s="705" t="s">
        <v>14</v>
      </c>
      <c r="S30" s="706">
        <f t="shared" si="12"/>
        <v>99</v>
      </c>
      <c r="T30" s="705" t="s">
        <v>14</v>
      </c>
      <c r="U30" s="706">
        <f t="shared" si="13"/>
        <v>99</v>
      </c>
      <c r="V30" s="705" t="s">
        <v>14</v>
      </c>
      <c r="W30" s="706">
        <f t="shared" si="14"/>
        <v>99</v>
      </c>
      <c r="X30" s="1355"/>
      <c r="Y30" s="3721"/>
      <c r="Z30" s="1356" t="str">
        <f t="shared" si="15"/>
        <v>建筑面积</v>
      </c>
      <c r="AA30" s="1353">
        <f t="shared" si="3"/>
        <v>1.0101010101010102</v>
      </c>
      <c r="AB30" s="1353">
        <f t="shared" si="4"/>
        <v>1.0101010101010102</v>
      </c>
      <c r="AC30" s="1353">
        <f t="shared" si="5"/>
        <v>1.0101010101010102</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1"/>
      <c r="Q31" s="1343"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3812" t="s">
        <v>3491</v>
      </c>
      <c r="C32" s="383">
        <f>'数据-取费表'!N18</f>
        <v>2007</v>
      </c>
      <c r="D32" s="386">
        <v>100</v>
      </c>
      <c r="E32" s="420">
        <v>2024</v>
      </c>
      <c r="F32" s="412">
        <f>SUMIF(91:91,E32,92:92)-SUMIF(91:91,C32,92:92)+100</f>
        <v>100</v>
      </c>
      <c r="G32" s="420" t="s">
        <v>3493</v>
      </c>
      <c r="H32" s="386">
        <f>SUMIF(91:91,G32,92:92)-SUMIF(91:91,C32,92:92)+100</f>
        <v>100</v>
      </c>
      <c r="I32" s="420">
        <v>2021</v>
      </c>
      <c r="J32" s="386">
        <f>SUMIF(91:91,I32,92:92)-SUMIF(91:91,C32,92:92)+100</f>
        <v>100</v>
      </c>
      <c r="K32" s="562"/>
      <c r="L32" s="2722"/>
      <c r="M32" s="2716"/>
      <c r="N32" s="2716"/>
      <c r="O32" s="2774"/>
      <c r="P32" s="3721" t="s">
        <v>1696</v>
      </c>
      <c r="Q32" s="1352" t="str">
        <f t="shared" si="11"/>
        <v>建成年代</v>
      </c>
      <c r="R32" s="705" t="s">
        <v>14</v>
      </c>
      <c r="S32" s="706">
        <f t="shared" si="12"/>
        <v>100</v>
      </c>
      <c r="T32" s="705" t="s">
        <v>14</v>
      </c>
      <c r="U32" s="706">
        <f t="shared" si="13"/>
        <v>100</v>
      </c>
      <c r="V32" s="705" t="s">
        <v>14</v>
      </c>
      <c r="W32" s="706">
        <f t="shared" si="14"/>
        <v>100</v>
      </c>
      <c r="X32" s="1355"/>
      <c r="Y32" s="3721" t="s">
        <v>1696</v>
      </c>
      <c r="Z32" s="1356" t="str">
        <f t="shared" si="15"/>
        <v>建成年代</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1"/>
      <c r="Q33" s="1352">
        <f t="shared" si="11"/>
        <v>111</v>
      </c>
      <c r="R33" s="705" t="s">
        <v>14</v>
      </c>
      <c r="S33" s="706">
        <f t="shared" si="12"/>
        <v>100</v>
      </c>
      <c r="T33" s="705" t="s">
        <v>14</v>
      </c>
      <c r="U33" s="706">
        <f t="shared" si="13"/>
        <v>100</v>
      </c>
      <c r="V33" s="705" t="s">
        <v>14</v>
      </c>
      <c r="W33" s="706">
        <f t="shared" si="14"/>
        <v>100</v>
      </c>
      <c r="X33" s="1355"/>
      <c r="Y33" s="372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30" ht="15">
      <c r="A35" s="430" t="s">
        <v>1708</v>
      </c>
      <c r="B35" s="431"/>
      <c r="C35" s="1154" t="s">
        <v>0</v>
      </c>
      <c r="D35" s="1155"/>
      <c r="E35" s="1156">
        <v>12543</v>
      </c>
      <c r="F35" s="1157"/>
      <c r="G35" s="1158">
        <v>12143</v>
      </c>
      <c r="H35" s="1159"/>
      <c r="I35" s="1156">
        <v>12322</v>
      </c>
      <c r="J35" s="1159"/>
      <c r="K35" s="714"/>
      <c r="L35" s="2724"/>
      <c r="M35" s="2725"/>
      <c r="N35" s="2716"/>
      <c r="O35" s="2725"/>
      <c r="P35" s="3714" t="str">
        <f>A35</f>
        <v>成交单价（元/平方米）</v>
      </c>
      <c r="Q35" s="3714"/>
      <c r="R35" s="3715">
        <f>E35</f>
        <v>12543</v>
      </c>
      <c r="S35" s="3715"/>
      <c r="T35" s="3715">
        <f>G35</f>
        <v>12143</v>
      </c>
      <c r="U35" s="3715"/>
      <c r="V35" s="3715">
        <f>I35</f>
        <v>12322</v>
      </c>
      <c r="W35" s="3715"/>
      <c r="X35" s="690"/>
      <c r="Y35" s="712"/>
      <c r="Z35" s="690"/>
      <c r="AA35" s="690"/>
      <c r="AB35" s="690"/>
      <c r="AC35" s="690"/>
    </row>
    <row r="36" spans="1:30" ht="15.75" thickBot="1">
      <c r="A36" s="437" t="s">
        <v>1793</v>
      </c>
      <c r="B36" s="438"/>
      <c r="C36" s="1160">
        <f>R37</f>
        <v>11900</v>
      </c>
      <c r="D36" s="2317" t="s">
        <v>2137</v>
      </c>
      <c r="E36" s="1161">
        <f>R36</f>
        <v>12187</v>
      </c>
      <c r="F36" s="2318"/>
      <c r="G36" s="1160">
        <f>T36</f>
        <v>11540</v>
      </c>
      <c r="H36" s="2318"/>
      <c r="I36" s="1161">
        <f>V36</f>
        <v>11973</v>
      </c>
      <c r="J36" s="2318"/>
      <c r="K36" s="2320">
        <f>F36+H36+J36</f>
        <v>0</v>
      </c>
      <c r="L36" s="2724"/>
      <c r="M36" s="2725"/>
      <c r="N36" s="2716"/>
      <c r="O36" s="2725"/>
      <c r="P36" s="3714" t="str">
        <f>A36</f>
        <v>比较价值（元/平方米）</v>
      </c>
      <c r="Q36" s="3714"/>
      <c r="R36" s="3715">
        <f>IF(F1="售价",ROUND(PRODUCT(R35,AA7:AA34),0),ROUND(PRODUCT(R35,AA7:AA34),1))</f>
        <v>12187</v>
      </c>
      <c r="S36" s="3715"/>
      <c r="T36" s="3715">
        <f>IF(F1="售价",ROUND(PRODUCT(T35,AB7:AB34),0),ROUND(PRODUCT(T35,AB7:AB34),1))</f>
        <v>11540</v>
      </c>
      <c r="U36" s="3715"/>
      <c r="V36" s="3715">
        <f>IF(F1="售价",ROUND(PRODUCT(V35,AC7:AC34),0),ROUND(PRODUCT(V35,AC7:AC34),1))</f>
        <v>11973</v>
      </c>
      <c r="W36" s="3715"/>
      <c r="X36" s="690"/>
      <c r="Y36" s="690"/>
      <c r="Z36" s="690"/>
      <c r="AA36" s="690"/>
      <c r="AB36" s="690"/>
      <c r="AC36" s="690"/>
    </row>
    <row r="37" spans="1:30" ht="15.75" thickBot="1">
      <c r="A37" s="441" t="s">
        <v>1794</v>
      </c>
      <c r="B37" s="442"/>
      <c r="C37" s="1163">
        <f>R37</f>
        <v>11900</v>
      </c>
      <c r="D37" s="1163"/>
      <c r="E37" s="1163"/>
      <c r="F37" s="1163"/>
      <c r="G37" s="1163"/>
      <c r="H37" s="1163"/>
      <c r="I37" s="1163"/>
      <c r="J37" s="1163"/>
      <c r="K37" s="715"/>
      <c r="L37" s="2724"/>
      <c r="M37" s="2725"/>
      <c r="N37" s="2725"/>
      <c r="O37" s="2725"/>
      <c r="P37" s="3711" t="str">
        <f>A37</f>
        <v>估价对象XX用房的比较价值（楼面单价，元/平方米）</v>
      </c>
      <c r="Q37" s="3712"/>
      <c r="R37" s="3741">
        <f>IF(F1="售价",ROUND(IF(D36="简单平均",AVERAGE(R36:W36),R36*F36+T36*H36+V36*J36),0),ROUND(IF(D36="简单平均",AVERAGE(R36:V36),R36*F36+T36*H36+V36*J36),1))</f>
        <v>11900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2.9211454828915961E-2</v>
      </c>
      <c r="F40" s="449" t="str">
        <f>IF(OR(E40&gt;=0.3,E40&lt;=-0.3),"超过30%","")</f>
        <v/>
      </c>
      <c r="G40" s="448">
        <f>IF(G35&lt;G36,G36/G35-1,G35/G36-1)</f>
        <v>5.2253032928942789E-2</v>
      </c>
      <c r="H40" s="449" t="str">
        <f>IF(OR(G40&gt;=0.3,G40&lt;=-0.3),"超过30%","")</f>
        <v/>
      </c>
      <c r="I40" s="448">
        <f>IF(I35&lt;I36,I36/I35-1,I35/I36-1)</f>
        <v>2.914891839973266E-2</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5.6065857885615245E-2</v>
      </c>
      <c r="F41" s="449" t="str">
        <f>IF(OR(E41&gt;=0.2,E41&lt;=-0.2),"超过20%","")</f>
        <v/>
      </c>
      <c r="G41" s="448">
        <f>IF(G36&lt;I36,I36/G36-1,G36/I36-1)</f>
        <v>3.7521663778163017E-2</v>
      </c>
      <c r="H41" s="449" t="str">
        <f>IF(OR(G41&gt;=0.2,G41&lt;=-0.2),"超过20%","")</f>
        <v/>
      </c>
      <c r="I41" s="448">
        <f>IF(I36&lt;E36,E36/I36-1,I36/E36-1)</f>
        <v>1.7873548818174267E-2</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3.2940788931894893E-2</v>
      </c>
      <c r="F42" s="449" t="str">
        <f>IF(OR(E42&gt;=0.3,E42&lt;=-0.3),"超过30%","")</f>
        <v/>
      </c>
      <c r="G42" s="448">
        <f>IF(G35&lt;I35,I35/G35-1,G35/I35-1)</f>
        <v>1.4741003047022971E-2</v>
      </c>
      <c r="H42" s="449" t="str">
        <f>IF(OR(G42&gt;=0.3,G42&lt;=-0.3),"超过30%","")</f>
        <v/>
      </c>
      <c r="I42" s="448">
        <f>IF(I35&lt;E35,E35/I35-1,I35/E35-1)</f>
        <v>1.7935400097386811E-2</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3814">
        <f t="shared" ref="P46" si="17">EDATE(O46,-1)</f>
        <v>45383</v>
      </c>
      <c r="Q46" s="3814">
        <f t="shared" ref="Q46" si="18">EDATE(P46,-1)</f>
        <v>45352</v>
      </c>
      <c r="R46" s="2741"/>
      <c r="S46" s="2741"/>
      <c r="T46" s="2741"/>
      <c r="U46" s="2741"/>
      <c r="V46" s="2741"/>
      <c r="W46" s="2741"/>
      <c r="X46" s="2741"/>
      <c r="Y46" s="2741"/>
      <c r="Z46" s="2741"/>
      <c r="AA46" s="2741"/>
      <c r="AB46" s="2741"/>
      <c r="AC46" s="2741"/>
      <c r="AD46" s="2741"/>
    </row>
    <row r="47" spans="1:30" s="108" customFormat="1" ht="15">
      <c r="A47" s="458"/>
      <c r="B47" s="459"/>
      <c r="C47" s="1183">
        <v>100</v>
      </c>
      <c r="D47" s="461">
        <f>C47-C48</f>
        <v>100.2</v>
      </c>
      <c r="E47" s="461">
        <f t="shared" ref="E47:Q47" si="19">D47-D48</f>
        <v>100.2</v>
      </c>
      <c r="F47" s="461">
        <f t="shared" si="19"/>
        <v>100.2</v>
      </c>
      <c r="G47" s="461">
        <f t="shared" si="19"/>
        <v>100.2</v>
      </c>
      <c r="H47" s="461">
        <f t="shared" si="19"/>
        <v>100.2</v>
      </c>
      <c r="I47" s="461">
        <f t="shared" si="19"/>
        <v>100.2</v>
      </c>
      <c r="J47" s="461">
        <f t="shared" si="19"/>
        <v>100.2</v>
      </c>
      <c r="K47" s="461">
        <f t="shared" si="19"/>
        <v>100.2</v>
      </c>
      <c r="L47" s="461">
        <f t="shared" si="19"/>
        <v>100.2</v>
      </c>
      <c r="M47" s="461">
        <f t="shared" si="19"/>
        <v>100.2</v>
      </c>
      <c r="N47" s="461">
        <f t="shared" si="19"/>
        <v>100.2</v>
      </c>
      <c r="O47" s="461">
        <f t="shared" si="19"/>
        <v>100.2</v>
      </c>
      <c r="P47" s="461">
        <f t="shared" si="19"/>
        <v>100.2</v>
      </c>
      <c r="Q47" s="461">
        <f t="shared" si="19"/>
        <v>100.2</v>
      </c>
      <c r="R47" s="2661"/>
      <c r="S47" s="2661"/>
      <c r="T47" s="2661"/>
      <c r="U47" s="2661"/>
      <c r="V47" s="2661"/>
      <c r="W47" s="2661"/>
      <c r="X47" s="2661"/>
      <c r="Y47" s="2661"/>
      <c r="Z47" s="2661"/>
      <c r="AA47" s="2661"/>
      <c r="AB47" s="2661"/>
      <c r="AC47" s="2661"/>
      <c r="AD47" s="2661"/>
    </row>
    <row r="48" spans="1:30" s="108" customFormat="1" ht="15.75" thickBot="1">
      <c r="A48" s="464" t="s">
        <v>1716</v>
      </c>
      <c r="B48" s="465"/>
      <c r="C48" s="466">
        <v>-0.2</v>
      </c>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t="str">
        <f>C9</f>
        <v>地下仓储</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t="s">
        <v>3471</v>
      </c>
      <c r="D53" s="532" t="s">
        <v>3472</v>
      </c>
      <c r="E53" s="532" t="s">
        <v>3473</v>
      </c>
      <c r="F53" s="532" t="s">
        <v>3474</v>
      </c>
      <c r="G53" s="532" t="s">
        <v>3475</v>
      </c>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v>100</v>
      </c>
      <c r="D54" s="485">
        <f>C54-2</f>
        <v>98</v>
      </c>
      <c r="E54" s="485">
        <f t="shared" ref="E54:G54" si="20">D54-2</f>
        <v>96</v>
      </c>
      <c r="F54" s="485">
        <f t="shared" si="20"/>
        <v>94</v>
      </c>
      <c r="G54" s="485">
        <f t="shared" si="20"/>
        <v>92</v>
      </c>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98</v>
      </c>
      <c r="E62" s="493">
        <f>D62-$K14</f>
        <v>96</v>
      </c>
      <c r="F62" s="493">
        <f>E62-$K14</f>
        <v>94</v>
      </c>
      <c r="G62" s="493">
        <f>F62-$K14</f>
        <v>92</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98</v>
      </c>
      <c r="E64" s="493">
        <f>D64-$K16</f>
        <v>96</v>
      </c>
      <c r="F64" s="493">
        <f>E64-$K16</f>
        <v>94</v>
      </c>
      <c r="G64" s="493">
        <f>F64-$K16</f>
        <v>92</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99</v>
      </c>
      <c r="E66" s="493">
        <f>D66-$K18</f>
        <v>98</v>
      </c>
      <c r="F66" s="493">
        <f>E66-$K18</f>
        <v>97</v>
      </c>
      <c r="G66" s="493">
        <f>F66-$K18</f>
        <v>96</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98</v>
      </c>
      <c r="E68" s="493">
        <f>D68-$K20</f>
        <v>96</v>
      </c>
      <c r="F68" s="493">
        <f>E68-$K20</f>
        <v>94</v>
      </c>
      <c r="G68" s="493">
        <f>F68-$K20</f>
        <v>92</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t="s">
        <v>3486</v>
      </c>
      <c r="D69" s="503" t="s">
        <v>3487</v>
      </c>
      <c r="E69" s="503" t="s">
        <v>3488</v>
      </c>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98</v>
      </c>
      <c r="E70" s="493">
        <f>D70-$K22</f>
        <v>96</v>
      </c>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3809" t="s">
        <v>3476</v>
      </c>
      <c r="D77" s="3809" t="s">
        <v>3478</v>
      </c>
      <c r="E77" s="3810" t="s">
        <v>3479</v>
      </c>
      <c r="F77" s="3810" t="s">
        <v>3480</v>
      </c>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21">C78-$K26</f>
        <v>99</v>
      </c>
      <c r="E78" s="493">
        <f t="shared" si="21"/>
        <v>98</v>
      </c>
      <c r="F78" s="493">
        <f t="shared" si="21"/>
        <v>97</v>
      </c>
      <c r="G78" s="493">
        <f t="shared" si="21"/>
        <v>96</v>
      </c>
      <c r="H78" s="493">
        <f t="shared" si="21"/>
        <v>95</v>
      </c>
      <c r="I78" s="493">
        <f t="shared" si="21"/>
        <v>94</v>
      </c>
      <c r="J78" s="493">
        <f t="shared" si="21"/>
        <v>93</v>
      </c>
      <c r="K78" s="493">
        <f t="shared" si="21"/>
        <v>92</v>
      </c>
      <c r="L78" s="493">
        <f t="shared" si="21"/>
        <v>91</v>
      </c>
      <c r="M78" s="494">
        <f t="shared" si="21"/>
        <v>90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22">C81+$K27</f>
        <v>101</v>
      </c>
      <c r="E81" s="493">
        <f t="shared" si="22"/>
        <v>102</v>
      </c>
      <c r="F81" s="493">
        <f t="shared" si="22"/>
        <v>103</v>
      </c>
      <c r="G81" s="493">
        <f t="shared" si="22"/>
        <v>104</v>
      </c>
      <c r="H81" s="493">
        <f t="shared" si="22"/>
        <v>105</v>
      </c>
      <c r="I81" s="493">
        <f t="shared" si="22"/>
        <v>106</v>
      </c>
      <c r="J81" s="493">
        <f t="shared" si="22"/>
        <v>107</v>
      </c>
      <c r="K81" s="493">
        <f t="shared" si="22"/>
        <v>108</v>
      </c>
      <c r="L81" s="493">
        <f t="shared" si="22"/>
        <v>109</v>
      </c>
      <c r="M81" s="493">
        <f t="shared" si="22"/>
        <v>110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3809" t="s">
        <v>3482</v>
      </c>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23">C83-$K28</f>
        <v>99</v>
      </c>
      <c r="E83" s="493">
        <f t="shared" si="23"/>
        <v>98</v>
      </c>
      <c r="F83" s="493">
        <f t="shared" si="23"/>
        <v>97</v>
      </c>
      <c r="G83" s="493">
        <f t="shared" si="23"/>
        <v>96</v>
      </c>
      <c r="H83" s="493">
        <f t="shared" si="23"/>
        <v>95</v>
      </c>
      <c r="I83" s="493">
        <f t="shared" si="23"/>
        <v>94</v>
      </c>
      <c r="J83" s="493">
        <f t="shared" si="23"/>
        <v>93</v>
      </c>
      <c r="K83" s="493">
        <f t="shared" si="23"/>
        <v>92</v>
      </c>
      <c r="L83" s="493">
        <f t="shared" si="23"/>
        <v>91</v>
      </c>
      <c r="M83" s="494">
        <f t="shared" si="23"/>
        <v>90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3809" t="s">
        <v>3483</v>
      </c>
      <c r="D84" s="3809" t="s">
        <v>3484</v>
      </c>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4">C85+$K29</f>
        <v>100</v>
      </c>
      <c r="E85" s="493">
        <f t="shared" si="24"/>
        <v>100</v>
      </c>
      <c r="F85" s="493">
        <f t="shared" si="24"/>
        <v>100</v>
      </c>
      <c r="G85" s="493">
        <f t="shared" si="24"/>
        <v>100</v>
      </c>
      <c r="H85" s="493">
        <f t="shared" si="24"/>
        <v>100</v>
      </c>
      <c r="I85" s="493">
        <f t="shared" si="24"/>
        <v>100</v>
      </c>
      <c r="J85" s="493">
        <f t="shared" si="24"/>
        <v>100</v>
      </c>
      <c r="K85" s="493">
        <f t="shared" si="24"/>
        <v>100</v>
      </c>
      <c r="L85" s="493">
        <f t="shared" si="24"/>
        <v>100</v>
      </c>
      <c r="M85" s="493">
        <f t="shared" si="24"/>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5">C87&amp;"(含)"&amp;"-"&amp;D87</f>
        <v>0(含)-20</v>
      </c>
      <c r="D86" s="527" t="str">
        <f t="shared" si="25"/>
        <v>20(含)-40</v>
      </c>
      <c r="E86" s="527" t="str">
        <f t="shared" si="25"/>
        <v>40(含)-60</v>
      </c>
      <c r="F86" s="527" t="str">
        <f t="shared" si="25"/>
        <v>60(含)-</v>
      </c>
      <c r="G86" s="527" t="str">
        <f t="shared" si="25"/>
        <v>(含)-</v>
      </c>
      <c r="H86" s="527" t="str">
        <f t="shared" si="25"/>
        <v>(含)-</v>
      </c>
      <c r="I86" s="527" t="str">
        <f t="shared" si="25"/>
        <v>(含)-</v>
      </c>
      <c r="J86" s="527" t="str">
        <f t="shared" si="25"/>
        <v>(含)-</v>
      </c>
      <c r="K86" s="527" t="str">
        <f t="shared" si="25"/>
        <v>(含)-</v>
      </c>
      <c r="L86" s="527" t="str">
        <f t="shared" si="25"/>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657">
        <v>0</v>
      </c>
      <c r="D87" s="658">
        <v>20</v>
      </c>
      <c r="E87" s="658">
        <v>40</v>
      </c>
      <c r="F87" s="1305">
        <v>60</v>
      </c>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989">
        <v>100</v>
      </c>
      <c r="D88" s="990">
        <v>101</v>
      </c>
      <c r="E88" s="990">
        <v>102</v>
      </c>
      <c r="F88" s="1309">
        <v>103</v>
      </c>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t="str">
        <f>B32</f>
        <v>建成年代</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3461</v>
      </c>
      <c r="D1" s="1362" t="s">
        <v>43</v>
      </c>
      <c r="E1" s="1363" t="s">
        <v>678</v>
      </c>
      <c r="F1" s="1062">
        <f ca="1">J53</f>
        <v>29.27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18.432099999999998</v>
      </c>
      <c r="C2" s="1387" t="s">
        <v>879</v>
      </c>
      <c r="D2" s="1471">
        <f ca="1">C40+J29+L46</f>
        <v>184321</v>
      </c>
      <c r="E2" s="1388" t="s">
        <v>880</v>
      </c>
      <c r="F2" s="1389"/>
      <c r="G2" s="2706"/>
      <c r="H2" s="2695"/>
      <c r="I2" s="2695"/>
      <c r="J2" s="2695"/>
      <c r="K2" s="2696"/>
      <c r="L2" s="2695"/>
      <c r="M2" s="2695"/>
    </row>
    <row r="3" spans="1:37" ht="18" customHeight="1" thickBot="1">
      <c r="A3" s="1390" t="s">
        <v>881</v>
      </c>
      <c r="B3" s="1391">
        <f ca="1">IF(ISERROR(D2/F43),0,ROUND(D2/F43,0))</f>
        <v>4537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12621</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12605</v>
      </c>
      <c r="D6" s="155" t="s">
        <v>2105</v>
      </c>
      <c r="E6" s="302" t="s">
        <v>696</v>
      </c>
      <c r="F6" s="303">
        <f ca="1">INDIRECT("'数据-取费表'!u"&amp;$G$1)</f>
        <v>1</v>
      </c>
      <c r="G6" s="1384"/>
      <c r="H6" s="1069" t="s">
        <v>398</v>
      </c>
      <c r="I6" s="3655" t="s">
        <v>694</v>
      </c>
      <c r="J6" s="301">
        <f ca="1">ROUND(M6*M8*M7*(1-M9),0)</f>
        <v>0</v>
      </c>
      <c r="K6" s="1376" t="s">
        <v>2106</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40.630000000000003</v>
      </c>
      <c r="G7" s="1384"/>
      <c r="H7" s="304"/>
      <c r="I7" s="3656"/>
      <c r="J7" s="306"/>
      <c r="K7" s="307"/>
      <c r="L7" s="302" t="s">
        <v>697</v>
      </c>
      <c r="M7" s="303">
        <f ca="1">F7</f>
        <v>40.630000000000003</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0.15</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16</v>
      </c>
      <c r="D10" s="1366" t="s">
        <v>2115</v>
      </c>
      <c r="E10" s="313" t="s">
        <v>701</v>
      </c>
      <c r="F10" s="1116" t="s">
        <v>3439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159348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162520</v>
      </c>
      <c r="D14" s="1345" t="s">
        <v>708</v>
      </c>
      <c r="E14" s="1342"/>
      <c r="F14" s="319"/>
      <c r="G14" s="1384"/>
      <c r="H14" s="982" t="s">
        <v>398</v>
      </c>
      <c r="I14" s="302" t="s">
        <v>709</v>
      </c>
      <c r="J14" s="21">
        <f ca="1">C29</f>
        <v>227640</v>
      </c>
      <c r="K14" s="12"/>
      <c r="L14" s="807"/>
      <c r="M14" s="808"/>
    </row>
    <row r="15" spans="1:37" s="1397" customFormat="1" ht="18" customHeight="1" thickBot="1">
      <c r="A15" s="982" t="s">
        <v>399</v>
      </c>
      <c r="B15" s="302" t="s">
        <v>710</v>
      </c>
      <c r="C15" s="21">
        <f ca="1">ROUND(C14*F15,0)</f>
        <v>8126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455</v>
      </c>
      <c r="K16" s="1087" t="s">
        <v>715</v>
      </c>
      <c r="L16" s="1088"/>
      <c r="M16" s="1072"/>
    </row>
    <row r="17" spans="1:37" s="1397" customFormat="1" ht="18" customHeight="1">
      <c r="A17" s="982" t="s">
        <v>681</v>
      </c>
      <c r="B17" s="302" t="s">
        <v>716</v>
      </c>
      <c r="C17" s="21">
        <f ca="1">ROUND(F17*(F43+INDIRECT("'数据-取费表'!S"&amp;$G$1)),0)</f>
        <v>8126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4876</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183648</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3673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455</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5619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-455</v>
      </c>
      <c r="K25" s="1095" t="s">
        <v>753</v>
      </c>
      <c r="L25" s="1096"/>
      <c r="M25" s="1097"/>
    </row>
    <row r="26" spans="1:37" ht="18" customHeight="1">
      <c r="A26" s="982" t="s">
        <v>397</v>
      </c>
      <c r="B26" s="302" t="s">
        <v>754</v>
      </c>
      <c r="C26" s="21">
        <f ca="1">ROUND((C19+C20)*F26,0)</f>
        <v>14986</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227640</v>
      </c>
      <c r="D29" s="1092"/>
      <c r="E29" s="1090"/>
      <c r="F29" s="1093"/>
      <c r="G29" s="1396"/>
      <c r="H29" s="334" t="s">
        <v>396</v>
      </c>
      <c r="I29" s="335" t="s">
        <v>768</v>
      </c>
      <c r="J29" s="336">
        <f ca="1">ROUND(J26/(1+F40)^F41,0)</f>
        <v>0</v>
      </c>
      <c r="K29" s="337" t="s">
        <v>769</v>
      </c>
      <c r="L29" s="338"/>
      <c r="M29" s="339">
        <f ca="1">INDIRECT("'数据-取费表'!k"&amp;$G$1)</f>
        <v>40.630000000000003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2979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2113</v>
      </c>
      <c r="D31" s="1345" t="s">
        <v>720</v>
      </c>
      <c r="E31" s="1344" t="s">
        <v>770</v>
      </c>
      <c r="F31" s="2315" t="str">
        <f>IF(项目基本情况!B11="企业","——",IF(M47="住宅",IF(F6*F7*F8/12/(1+'数据-取费表'!F30)&gt;100000,4%,2.5%),IF(F6*F7*F8/12/(1+'数据-取费表'!F30)&gt;100000,12%,7%)))</f>
        <v>——</v>
      </c>
      <c r="G31" s="1384"/>
      <c r="H31" s="2808" t="s">
        <v>2305</v>
      </c>
      <c r="I31" s="1398"/>
      <c r="J31" s="1399"/>
      <c r="K31" s="2475"/>
      <c r="L31" s="2698"/>
      <c r="M31" s="2699"/>
    </row>
    <row r="32" spans="1:37" ht="18" customHeight="1">
      <c r="A32" s="982" t="s">
        <v>397</v>
      </c>
      <c r="B32" s="302" t="s">
        <v>723</v>
      </c>
      <c r="C32" s="21">
        <f ca="1">IF(项目基本情况!B11="自然人","——",ROUND(C6*F32/(1+'数据-取费表'!C42),0))</f>
        <v>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1441</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455</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159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252</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9642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173357</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29.27</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4267</v>
      </c>
      <c r="D43" s="337" t="s">
        <v>777</v>
      </c>
      <c r="E43" s="338" t="s">
        <v>778</v>
      </c>
      <c r="F43" s="339">
        <f ca="1">INDIRECT("'数据-取费表'!k"&amp;$G$1)</f>
        <v>40.630000000000003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-18.269300000000001</v>
      </c>
      <c r="D45" s="3432" t="s">
        <v>3352</v>
      </c>
      <c r="E45" s="1400"/>
      <c r="F45" s="1400"/>
      <c r="O45" s="1403" t="s">
        <v>808</v>
      </c>
      <c r="P45" s="1461"/>
      <c r="Q45" s="1461"/>
      <c r="R45" s="1461"/>
    </row>
    <row r="46" spans="1:18" s="1384" customFormat="1" ht="13.5" thickBot="1">
      <c r="A46" s="1404" t="s">
        <v>809</v>
      </c>
      <c r="C46" s="1405">
        <f ca="1">ROUND(C45,0)</f>
        <v>-18</v>
      </c>
      <c r="D46" s="1406" t="str">
        <f>C2</f>
        <v>万元</v>
      </c>
      <c r="I46" s="1407" t="s">
        <v>810</v>
      </c>
      <c r="J46" s="1408"/>
      <c r="K46" s="1409"/>
      <c r="L46" s="1410">
        <f ca="1">IF(M47="住宅",0,IF(L48&gt;J51,L60,J60))</f>
        <v>10964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3440</v>
      </c>
      <c r="K47" s="1416" t="s">
        <v>816</v>
      </c>
      <c r="L47" s="1417">
        <f ca="1">INDIRECT("'数据-取费表'!d"&amp;$G$1)</f>
        <v>50</v>
      </c>
      <c r="M47" s="1380" t="str">
        <f>IF(ISNUMBER(FIND("住宅",C1)),"住宅","非住宅")</f>
        <v>非住宅</v>
      </c>
      <c r="O47" s="1418" t="s">
        <v>403</v>
      </c>
      <c r="P47" s="1419" t="s">
        <v>817</v>
      </c>
      <c r="Q47" s="1420">
        <f ca="1">C40+J29</f>
        <v>173357</v>
      </c>
      <c r="R47" s="1420" t="s">
        <v>818</v>
      </c>
    </row>
    <row r="48" spans="1:18" s="1384" customFormat="1" ht="28.5" thickBot="1">
      <c r="A48" s="1110" t="s">
        <v>438</v>
      </c>
      <c r="B48" s="300" t="s">
        <v>692</v>
      </c>
      <c r="C48" s="1359">
        <f ca="1">C49+C53+C55</f>
        <v>0</v>
      </c>
      <c r="D48" s="1112"/>
      <c r="E48" s="1113"/>
      <c r="F48" s="962"/>
      <c r="G48" s="722"/>
      <c r="H48" s="723"/>
      <c r="I48" s="1421" t="s">
        <v>819</v>
      </c>
      <c r="J48" s="1422" t="s">
        <v>3441</v>
      </c>
      <c r="K48" s="1423" t="s">
        <v>820</v>
      </c>
      <c r="L48" s="1424">
        <f ca="1">INDIRECT("'数据-取费表'!f"&amp;$G$1)</f>
        <v>29.27</v>
      </c>
      <c r="O48" s="1418" t="s">
        <v>404</v>
      </c>
      <c r="P48" s="1419" t="s">
        <v>821</v>
      </c>
      <c r="Q48" s="1420">
        <f ca="1">J60</f>
        <v>10964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2007</v>
      </c>
      <c r="K49" s="1423" t="s">
        <v>824</v>
      </c>
      <c r="L49" s="1427"/>
      <c r="O49" s="1428" t="s">
        <v>405</v>
      </c>
      <c r="P49" s="1419" t="s">
        <v>825</v>
      </c>
      <c r="Q49" s="1420">
        <f ca="1">C29</f>
        <v>227640</v>
      </c>
      <c r="R49" s="1420" t="s">
        <v>818</v>
      </c>
    </row>
    <row r="50" spans="1:18" s="1384" customFormat="1" ht="13.5" thickBot="1">
      <c r="A50" s="976"/>
      <c r="B50" s="979"/>
      <c r="C50" s="980"/>
      <c r="D50" s="953"/>
      <c r="E50" s="1056" t="s">
        <v>697</v>
      </c>
      <c r="F50" s="1057">
        <f ca="1">F7</f>
        <v>40.630000000000003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-28317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29.27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29.27</v>
      </c>
      <c r="K53" s="3653" t="s">
        <v>837</v>
      </c>
      <c r="L53" s="3654"/>
      <c r="O53" s="1418" t="s">
        <v>409</v>
      </c>
      <c r="P53" s="1419" t="s">
        <v>838</v>
      </c>
      <c r="Q53" s="1420">
        <f ca="1">Q47+Q48</f>
        <v>184321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159348</v>
      </c>
      <c r="D56" s="1447"/>
      <c r="E56" s="1448"/>
      <c r="F56" s="1440"/>
      <c r="I56" s="1449" t="s">
        <v>842</v>
      </c>
      <c r="J56" s="1450" t="s">
        <v>3420</v>
      </c>
      <c r="K56" s="1421" t="s">
        <v>843</v>
      </c>
      <c r="L56" s="1424" t="str">
        <f ca="1">IF(L48&lt;J51,"——",L48-J51)</f>
        <v>——</v>
      </c>
      <c r="O56" s="1418" t="s">
        <v>403</v>
      </c>
      <c r="P56" s="1419" t="s">
        <v>817</v>
      </c>
      <c r="Q56" s="1420">
        <f ca="1">C40+J29</f>
        <v>173357</v>
      </c>
      <c r="R56" s="1420" t="s">
        <v>818</v>
      </c>
    </row>
    <row r="57" spans="1:18" s="1384" customFormat="1" ht="24.75" thickBot="1">
      <c r="A57" s="1451"/>
      <c r="B57" s="950" t="s">
        <v>767</v>
      </c>
      <c r="C57" s="238">
        <f ca="1">C29</f>
        <v>227640</v>
      </c>
      <c r="D57" s="1452"/>
      <c r="E57" s="1453"/>
      <c r="F57" s="1454"/>
      <c r="I57" s="1455" t="s">
        <v>844</v>
      </c>
      <c r="J57" s="1456">
        <f ca="1">IF(OR(M47="住宅",J51&lt;L48,J56="是"),"——",J51-L48)</f>
        <v>12.73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614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91056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10964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173357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455</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159</v>
      </c>
      <c r="D65" s="964" t="s">
        <v>743</v>
      </c>
      <c r="E65" s="950" t="s">
        <v>744</v>
      </c>
      <c r="F65" s="330">
        <f t="shared" ca="1" si="0"/>
        <v>1E-3</v>
      </c>
      <c r="I65" s="1462" t="s">
        <v>867</v>
      </c>
      <c r="J65" s="1463">
        <v>40</v>
      </c>
      <c r="K65" s="1463">
        <v>30</v>
      </c>
      <c r="L65" s="1463">
        <v>50</v>
      </c>
      <c r="M65" s="1465">
        <v>0.02</v>
      </c>
      <c r="O65" s="1418" t="s">
        <v>403</v>
      </c>
      <c r="P65" s="1419" t="s">
        <v>868</v>
      </c>
      <c r="Q65" s="1420">
        <f ca="1">C40+J29</f>
        <v>173357</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-614</v>
      </c>
      <c r="D67" s="963" t="s">
        <v>753</v>
      </c>
      <c r="E67" s="968"/>
      <c r="F67" s="969"/>
      <c r="O67" s="1428" t="s">
        <v>405</v>
      </c>
      <c r="P67" s="1419" t="s">
        <v>850</v>
      </c>
      <c r="Q67" s="1466">
        <f ca="1">L51</f>
        <v>-28317</v>
      </c>
      <c r="R67" s="1420" t="s">
        <v>870</v>
      </c>
    </row>
    <row r="68" spans="1:18" s="1384" customFormat="1" ht="16.5" thickBot="1">
      <c r="A68" s="947" t="s">
        <v>395</v>
      </c>
      <c r="B68" s="948" t="s">
        <v>774</v>
      </c>
      <c r="C68" s="301">
        <f ca="1">ROUND(C67*(1-((1+F70)/(1+F68))^F69)/(F68-F70),0)</f>
        <v>-9336</v>
      </c>
      <c r="D68" s="965" t="s">
        <v>758</v>
      </c>
      <c r="E68" s="950" t="s">
        <v>759</v>
      </c>
      <c r="F68" s="312">
        <f ca="1">F40</f>
        <v>0.05</v>
      </c>
      <c r="O68" s="1428" t="s">
        <v>406</v>
      </c>
      <c r="P68" s="1467" t="s">
        <v>871</v>
      </c>
      <c r="Q68" s="1420">
        <f ca="1">ROUND(Q69-Q70*Q71,0)</f>
        <v>-1512</v>
      </c>
      <c r="R68" s="1420" t="s">
        <v>414</v>
      </c>
    </row>
    <row r="69" spans="1:18" s="1384" customFormat="1" ht="13.5" thickBot="1">
      <c r="A69" s="951"/>
      <c r="B69" s="952"/>
      <c r="C69" s="306"/>
      <c r="D69" s="970" t="s">
        <v>762</v>
      </c>
      <c r="E69" s="950" t="s">
        <v>763</v>
      </c>
      <c r="F69" s="333">
        <f ca="1">F41</f>
        <v>29.27</v>
      </c>
      <c r="O69" s="1428" t="s">
        <v>411</v>
      </c>
      <c r="P69" s="1467" t="s">
        <v>872</v>
      </c>
      <c r="Q69" s="1420">
        <f ca="1">C39</f>
        <v>9642</v>
      </c>
      <c r="R69" s="1420" t="s">
        <v>818</v>
      </c>
    </row>
    <row r="70" spans="1:18" s="1384" customFormat="1" ht="13.5" thickBot="1">
      <c r="A70" s="954"/>
      <c r="B70" s="955"/>
      <c r="C70" s="310"/>
      <c r="D70" s="966"/>
      <c r="E70" s="950" t="s">
        <v>766</v>
      </c>
      <c r="F70" s="1054"/>
      <c r="O70" s="1428" t="s">
        <v>412</v>
      </c>
      <c r="P70" s="1467" t="s">
        <v>873</v>
      </c>
      <c r="Q70" s="1420">
        <f ca="1">C13</f>
        <v>159348</v>
      </c>
      <c r="R70" s="1420" t="s">
        <v>818</v>
      </c>
    </row>
    <row r="71" spans="1:18" s="1384" customFormat="1" ht="13.5" thickBot="1">
      <c r="A71" s="971" t="s">
        <v>396</v>
      </c>
      <c r="B71" s="972" t="s">
        <v>776</v>
      </c>
      <c r="C71" s="336">
        <f ca="1">ROUND(C68/F71,0)</f>
        <v>-230</v>
      </c>
      <c r="D71" s="973" t="s">
        <v>777</v>
      </c>
      <c r="E71" s="974" t="s">
        <v>778</v>
      </c>
      <c r="F71" s="339">
        <f ca="1">F43</f>
        <v>40.630000000000003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11154</v>
      </c>
      <c r="D75" s="1384"/>
      <c r="E75" s="1384"/>
      <c r="F75" s="1384"/>
      <c r="K75" s="1402"/>
      <c r="L75" s="1384"/>
      <c r="O75" s="1418" t="s">
        <v>409</v>
      </c>
      <c r="P75" s="1419" t="s">
        <v>838</v>
      </c>
      <c r="Q75" s="1420">
        <f ca="1">Q65+Q66</f>
        <v>173357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-0.15700000000000003</v>
      </c>
    </row>
    <row r="80" spans="1:18">
      <c r="B80" s="340" t="s">
        <v>800</v>
      </c>
      <c r="C80" s="274">
        <f ca="1">ROUND(C75/C39,3)</f>
        <v>1.157</v>
      </c>
    </row>
    <row r="81" spans="2:3">
      <c r="B81" s="270" t="s">
        <v>801</v>
      </c>
      <c r="C81" s="238"/>
    </row>
    <row r="82" spans="2:3">
      <c r="B82" s="273" t="s">
        <v>802</v>
      </c>
      <c r="C82" s="275">
        <f ca="1">1-C83</f>
        <v>8.0999999999999961E-2</v>
      </c>
    </row>
    <row r="83" spans="2:3">
      <c r="B83" s="273" t="s">
        <v>803</v>
      </c>
      <c r="C83" s="274">
        <f ca="1">ROUND(C13/C40,3)</f>
        <v>0.91900000000000004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3358</v>
      </c>
      <c r="E2" s="3444"/>
      <c r="F2" s="2846"/>
      <c r="G2" s="2847"/>
      <c r="H2" s="2848"/>
      <c r="I2" s="2849"/>
      <c r="J2" s="3658" t="s">
        <v>2316</v>
      </c>
      <c r="K2" s="3659"/>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660" t="s">
        <v>2326</v>
      </c>
      <c r="K3" s="3661"/>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660" t="s">
        <v>2328</v>
      </c>
      <c r="K4" s="3661"/>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662" t="s">
        <v>2332</v>
      </c>
      <c r="B6" s="3663"/>
      <c r="C6" s="3664"/>
      <c r="D6" s="2870"/>
      <c r="E6" s="2871"/>
      <c r="F6" s="2872"/>
      <c r="G6" s="2873"/>
      <c r="H6" s="2848"/>
      <c r="I6" s="2849"/>
      <c r="J6" s="3665">
        <v>1</v>
      </c>
      <c r="K6" s="3666"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665"/>
      <c r="K7" s="3667"/>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669" t="s">
        <v>2346</v>
      </c>
      <c r="C8" s="3670"/>
      <c r="D8" s="2889" t="s">
        <v>2347</v>
      </c>
      <c r="E8" s="2890" t="s">
        <v>2348</v>
      </c>
      <c r="F8" s="2891" t="s">
        <v>2349</v>
      </c>
      <c r="G8" s="2892"/>
      <c r="H8" s="2848"/>
      <c r="I8" s="2849"/>
      <c r="J8" s="3665"/>
      <c r="K8" s="3667"/>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669" t="s">
        <v>2352</v>
      </c>
      <c r="C9" s="3670"/>
      <c r="D9" s="2889">
        <f>ROUND(D6*E9,0)</f>
        <v>0</v>
      </c>
      <c r="E9" s="2893"/>
      <c r="F9" s="2894" t="s">
        <v>2353</v>
      </c>
      <c r="G9" s="2873"/>
      <c r="H9" s="2848"/>
      <c r="I9" s="2849"/>
      <c r="J9" s="3665"/>
      <c r="K9" s="3667"/>
      <c r="L9" s="2883" t="s">
        <v>2354</v>
      </c>
      <c r="M9" s="2884"/>
      <c r="N9" s="2860"/>
      <c r="O9" s="2885"/>
      <c r="P9" s="2885"/>
      <c r="Q9" s="2886">
        <v>365</v>
      </c>
      <c r="R9" s="2887">
        <f t="shared" si="0"/>
        <v>0</v>
      </c>
      <c r="S9" s="2841"/>
      <c r="T9" s="2841"/>
      <c r="U9" s="2841"/>
      <c r="V9" s="2849"/>
    </row>
    <row r="10" spans="1:22" s="2853" customFormat="1" ht="13.15" customHeight="1">
      <c r="A10" s="2888">
        <v>2</v>
      </c>
      <c r="B10" s="3669" t="s">
        <v>2355</v>
      </c>
      <c r="C10" s="3670"/>
      <c r="D10" s="2889">
        <f>ROUND(D6*E10,0)</f>
        <v>0</v>
      </c>
      <c r="E10" s="2893"/>
      <c r="F10" s="2894" t="s">
        <v>2356</v>
      </c>
      <c r="G10" s="2873"/>
      <c r="H10" s="2848"/>
      <c r="I10" s="2849"/>
      <c r="J10" s="3665"/>
      <c r="K10" s="3667"/>
      <c r="L10" s="2883" t="s">
        <v>2357</v>
      </c>
      <c r="M10" s="2884"/>
      <c r="N10" s="2860"/>
      <c r="O10" s="2885"/>
      <c r="P10" s="2885"/>
      <c r="Q10" s="2886">
        <v>365</v>
      </c>
      <c r="R10" s="2887">
        <f t="shared" si="0"/>
        <v>0</v>
      </c>
      <c r="S10" s="2841"/>
      <c r="T10" s="2841"/>
      <c r="U10" s="2841"/>
      <c r="V10" s="2849"/>
    </row>
    <row r="11" spans="1:22" s="2853" customFormat="1" ht="13.15" customHeight="1">
      <c r="A11" s="2888">
        <v>3</v>
      </c>
      <c r="B11" s="3669" t="s">
        <v>2358</v>
      </c>
      <c r="C11" s="3670"/>
      <c r="D11" s="2889">
        <f>D12+D14+D15+D16</f>
        <v>0</v>
      </c>
      <c r="E11" s="2895" t="e">
        <f>D11/D6</f>
        <v>#DIV/0!</v>
      </c>
      <c r="F11" s="2891"/>
      <c r="G11" s="2892"/>
      <c r="H11" s="2848"/>
      <c r="I11" s="2849"/>
      <c r="J11" s="3665"/>
      <c r="K11" s="3667"/>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671" t="s">
        <v>2361</v>
      </c>
      <c r="C12" s="3672"/>
      <c r="D12" s="2897">
        <f>ROUND(D13*1.2%*(1-30%),0)</f>
        <v>0</v>
      </c>
      <c r="E12" s="2898">
        <v>1.2E-2</v>
      </c>
      <c r="F12" s="2891" t="s">
        <v>2362</v>
      </c>
      <c r="G12" s="2892"/>
      <c r="H12" s="2848"/>
      <c r="I12" s="2849"/>
      <c r="J12" s="3665"/>
      <c r="K12" s="3667"/>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665"/>
      <c r="K13" s="3667"/>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671" t="s">
        <v>2367</v>
      </c>
      <c r="C14" s="3672"/>
      <c r="D14" s="2897">
        <f>ROUND(E14*B5/10000,0)</f>
        <v>0</v>
      </c>
      <c r="E14" s="2886"/>
      <c r="F14" s="2891" t="s">
        <v>2368</v>
      </c>
      <c r="G14" s="2892"/>
      <c r="H14" s="2848"/>
      <c r="I14" s="2849"/>
      <c r="J14" s="3665"/>
      <c r="K14" s="3668"/>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671" t="s">
        <v>2371</v>
      </c>
      <c r="C15" s="3672"/>
      <c r="D15" s="2897">
        <f>ROUND(D6*E15,0)</f>
        <v>0</v>
      </c>
      <c r="E15" s="2898">
        <v>5.5E-2</v>
      </c>
      <c r="F15" s="2891" t="s">
        <v>2372</v>
      </c>
      <c r="G15" s="2873"/>
      <c r="H15" s="2848"/>
      <c r="I15" s="2849"/>
      <c r="J15" s="3665">
        <v>2</v>
      </c>
      <c r="K15" s="3666"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671" t="s">
        <v>2380</v>
      </c>
      <c r="C16" s="3672"/>
      <c r="D16" s="2908">
        <f>D6*E16</f>
        <v>0</v>
      </c>
      <c r="E16" s="2909"/>
      <c r="F16" s="2894" t="s">
        <v>2381</v>
      </c>
      <c r="G16" s="2873"/>
      <c r="H16" s="2848"/>
      <c r="I16" s="2849"/>
      <c r="J16" s="3665"/>
      <c r="K16" s="3667"/>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673" t="s">
        <v>2383</v>
      </c>
      <c r="C17" s="3674"/>
      <c r="D17" s="2911">
        <f>ROUND(D6*E17,0)</f>
        <v>0</v>
      </c>
      <c r="E17" s="2912"/>
      <c r="F17" s="2913" t="s">
        <v>2384</v>
      </c>
      <c r="G17" s="2873"/>
      <c r="H17" s="2848"/>
      <c r="I17" s="2849"/>
      <c r="J17" s="3665"/>
      <c r="K17" s="3667"/>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665"/>
      <c r="K18" s="3667"/>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665"/>
      <c r="K19" s="3668"/>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5">
        <v>3</v>
      </c>
      <c r="K20" s="3666"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665"/>
      <c r="K21" s="3667"/>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665"/>
      <c r="K22" s="3667"/>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665"/>
      <c r="K23" s="3667"/>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665"/>
      <c r="K24" s="3668"/>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675">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658" t="s">
        <v>2316</v>
      </c>
      <c r="K32" s="3659"/>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660" t="s">
        <v>2326</v>
      </c>
      <c r="K33" s="3661"/>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660" t="s">
        <v>2328</v>
      </c>
      <c r="K34" s="366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665">
        <v>1</v>
      </c>
      <c r="K36" s="3666"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665"/>
      <c r="K37" s="3667"/>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5"/>
      <c r="K38" s="3667"/>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665"/>
      <c r="K39" s="3667"/>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665"/>
      <c r="K40" s="3668"/>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18.432099999999998</v>
      </c>
      <c r="C2" s="1872" t="s">
        <v>1651</v>
      </c>
      <c r="D2" s="1873" t="s">
        <v>1652</v>
      </c>
      <c r="E2" s="2607">
        <f>SUM(E6:E13)</f>
        <v>40.630000000000003</v>
      </c>
      <c r="F2" s="2707"/>
      <c r="G2" s="1489"/>
      <c r="H2" s="1489"/>
      <c r="I2" s="1489"/>
      <c r="J2" s="1489"/>
      <c r="K2" s="1489"/>
      <c r="L2" s="1489"/>
      <c r="M2" s="1489"/>
      <c r="N2" s="1489"/>
      <c r="O2" s="1489"/>
      <c r="P2" s="1489"/>
      <c r="Q2" s="1489"/>
      <c r="R2" s="1489"/>
      <c r="S2" s="1489"/>
    </row>
    <row r="3" spans="1:22" ht="15.75">
      <c r="A3" s="1870" t="s">
        <v>686</v>
      </c>
      <c r="B3" s="2601">
        <f ca="1">ROUND(B2*10000/E2,0)</f>
        <v>4537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7" t="s">
        <v>1654</v>
      </c>
      <c r="C5" s="367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18.432099999999998</v>
      </c>
      <c r="C6" s="1872" t="s">
        <v>1651</v>
      </c>
      <c r="D6" s="2709"/>
      <c r="E6" s="2606">
        <f>IF(OR(A6=0,F6="否"),0,'数据-取费表'!K6+'数据-取费表'!S6)</f>
        <v>40.630000000000003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N85" sqref="N8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40.630000000000003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01" t="s">
        <v>1672</v>
      </c>
      <c r="Q4" s="3702"/>
      <c r="R4" s="3684" t="s">
        <v>1668</v>
      </c>
      <c r="S4" s="3685"/>
      <c r="T4" s="3684" t="s">
        <v>1669</v>
      </c>
      <c r="U4" s="3685"/>
      <c r="V4" s="3709" t="s">
        <v>1670</v>
      </c>
      <c r="W4" s="3709"/>
      <c r="X4" s="1355"/>
      <c r="Y4" s="3684" t="s">
        <v>1672</v>
      </c>
      <c r="Z4" s="3685"/>
      <c r="AA4" s="3679" t="s">
        <v>1668</v>
      </c>
      <c r="AB4" s="3679" t="s">
        <v>1669</v>
      </c>
      <c r="AC4" s="3679" t="s">
        <v>1670</v>
      </c>
    </row>
    <row r="5" spans="1:29" ht="15">
      <c r="A5" s="358"/>
      <c r="B5" s="359"/>
      <c r="C5" s="3690" t="s">
        <v>1673</v>
      </c>
      <c r="D5" s="3691"/>
      <c r="E5" s="3688" t="s">
        <v>1674</v>
      </c>
      <c r="F5" s="3689"/>
      <c r="G5" s="3690" t="s">
        <v>1675</v>
      </c>
      <c r="H5" s="3691"/>
      <c r="I5" s="3690" t="s">
        <v>1676</v>
      </c>
      <c r="J5" s="3691"/>
      <c r="K5" s="1890"/>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1890"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45804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2" t="s">
        <v>1680</v>
      </c>
      <c r="Q7" s="3710"/>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6"/>
      <c r="Q11" s="1343"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6"/>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6"/>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6"/>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3" t="s">
        <v>1691</v>
      </c>
      <c r="Q15" s="1352" t="str">
        <f t="shared" si="6"/>
        <v>居住社区成熟度</v>
      </c>
      <c r="R15" s="705" t="s">
        <v>18</v>
      </c>
      <c r="S15" s="706">
        <f t="shared" si="0"/>
        <v>100</v>
      </c>
      <c r="T15" s="705" t="s">
        <v>18</v>
      </c>
      <c r="U15" s="706">
        <f t="shared" si="1"/>
        <v>100</v>
      </c>
      <c r="V15" s="705" t="s">
        <v>18</v>
      </c>
      <c r="W15" s="706">
        <f t="shared" si="2"/>
        <v>100</v>
      </c>
      <c r="X15" s="1355"/>
      <c r="Y15" s="371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4"/>
      <c r="Q16" s="1352"/>
      <c r="R16" s="705"/>
      <c r="S16" s="706"/>
      <c r="T16" s="705"/>
      <c r="U16" s="706"/>
      <c r="V16" s="705"/>
      <c r="W16" s="706"/>
      <c r="X16" s="1355"/>
      <c r="Y16" s="371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4"/>
      <c r="Q17" s="1352" t="str">
        <f>B17</f>
        <v>交通便捷度</v>
      </c>
      <c r="R17" s="705" t="s">
        <v>18</v>
      </c>
      <c r="S17" s="706">
        <f>F17</f>
        <v>100</v>
      </c>
      <c r="T17" s="705" t="s">
        <v>18</v>
      </c>
      <c r="U17" s="706">
        <f>H17</f>
        <v>100</v>
      </c>
      <c r="V17" s="705" t="s">
        <v>18</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4"/>
      <c r="Q18" s="1352"/>
      <c r="R18" s="705"/>
      <c r="S18" s="706"/>
      <c r="T18" s="705"/>
      <c r="U18" s="706"/>
      <c r="V18" s="705"/>
      <c r="W18" s="706"/>
      <c r="X18" s="1355"/>
      <c r="Y18" s="371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4"/>
      <c r="Q19" s="1352" t="str">
        <f>B19</f>
        <v>公共配套设施</v>
      </c>
      <c r="R19" s="705" t="s">
        <v>18</v>
      </c>
      <c r="S19" s="706">
        <f>F19</f>
        <v>100</v>
      </c>
      <c r="T19" s="705" t="s">
        <v>18</v>
      </c>
      <c r="U19" s="706">
        <f>H19</f>
        <v>100</v>
      </c>
      <c r="V19" s="705" t="s">
        <v>18</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4"/>
      <c r="Q20" s="1352"/>
      <c r="R20" s="705"/>
      <c r="S20" s="706"/>
      <c r="T20" s="705"/>
      <c r="U20" s="706"/>
      <c r="V20" s="705"/>
      <c r="W20" s="706"/>
      <c r="X20" s="1355"/>
      <c r="Y20" s="371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4"/>
      <c r="Q22" s="1352"/>
      <c r="R22" s="705"/>
      <c r="S22" s="706"/>
      <c r="T22" s="705"/>
      <c r="U22" s="706"/>
      <c r="V22" s="705"/>
      <c r="W22" s="706"/>
      <c r="X22" s="1355"/>
      <c r="Y22" s="371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4"/>
      <c r="Q23" s="1352" t="str">
        <f>B23</f>
        <v>自然及人文环境</v>
      </c>
      <c r="R23" s="705" t="s">
        <v>18</v>
      </c>
      <c r="S23" s="706">
        <f>F23</f>
        <v>100</v>
      </c>
      <c r="T23" s="705" t="s">
        <v>18</v>
      </c>
      <c r="U23" s="706">
        <f>H23</f>
        <v>100</v>
      </c>
      <c r="V23" s="705" t="s">
        <v>18</v>
      </c>
      <c r="W23" s="706">
        <f>J23</f>
        <v>100</v>
      </c>
      <c r="X23" s="1355"/>
      <c r="Y23" s="371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4"/>
      <c r="Q24" s="1352"/>
      <c r="R24" s="705"/>
      <c r="S24" s="706"/>
      <c r="T24" s="705"/>
      <c r="U24" s="706"/>
      <c r="V24" s="705"/>
      <c r="W24" s="706"/>
      <c r="X24" s="1355"/>
      <c r="Y24" s="371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4"/>
      <c r="Q26" s="1352" t="str">
        <f t="shared" si="11"/>
        <v>朝向</v>
      </c>
      <c r="R26" s="705" t="s">
        <v>18</v>
      </c>
      <c r="S26" s="706">
        <f t="shared" si="12"/>
        <v>100</v>
      </c>
      <c r="T26" s="705" t="s">
        <v>18</v>
      </c>
      <c r="U26" s="706">
        <f t="shared" si="13"/>
        <v>100</v>
      </c>
      <c r="V26" s="705" t="s">
        <v>18</v>
      </c>
      <c r="W26" s="706">
        <f t="shared" si="14"/>
        <v>100</v>
      </c>
      <c r="X26" s="1355"/>
      <c r="Y26" s="371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4"/>
      <c r="Q27" s="1343">
        <f t="shared" si="11"/>
        <v>111</v>
      </c>
      <c r="R27" s="701" t="s">
        <v>18</v>
      </c>
      <c r="S27" s="702">
        <f t="shared" si="12"/>
        <v>100</v>
      </c>
      <c r="T27" s="701" t="s">
        <v>18</v>
      </c>
      <c r="U27" s="702">
        <f t="shared" si="13"/>
        <v>100</v>
      </c>
      <c r="V27" s="701" t="s">
        <v>18</v>
      </c>
      <c r="W27" s="702">
        <f t="shared" si="14"/>
        <v>100</v>
      </c>
      <c r="X27" s="703"/>
      <c r="Y27" s="371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4"/>
      <c r="Q28" s="1352">
        <f t="shared" si="11"/>
        <v>111</v>
      </c>
      <c r="R28" s="705" t="s">
        <v>18</v>
      </c>
      <c r="S28" s="706">
        <f t="shared" si="12"/>
        <v>100</v>
      </c>
      <c r="T28" s="705" t="s">
        <v>18</v>
      </c>
      <c r="U28" s="706">
        <f t="shared" si="13"/>
        <v>100</v>
      </c>
      <c r="V28" s="705" t="s">
        <v>18</v>
      </c>
      <c r="W28" s="706">
        <f t="shared" si="14"/>
        <v>100</v>
      </c>
      <c r="X28" s="1355"/>
      <c r="Y28" s="371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4"/>
      <c r="Q29" s="1352">
        <f t="shared" si="11"/>
        <v>111</v>
      </c>
      <c r="R29" s="705" t="s">
        <v>18</v>
      </c>
      <c r="S29" s="706">
        <f t="shared" si="12"/>
        <v>100</v>
      </c>
      <c r="T29" s="705" t="s">
        <v>18</v>
      </c>
      <c r="U29" s="706">
        <f t="shared" si="13"/>
        <v>100</v>
      </c>
      <c r="V29" s="705" t="s">
        <v>18</v>
      </c>
      <c r="W29" s="706">
        <f t="shared" si="14"/>
        <v>100</v>
      </c>
      <c r="X29" s="1355"/>
      <c r="Y29" s="371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4"/>
      <c r="Q30" s="1352">
        <f t="shared" si="11"/>
        <v>111</v>
      </c>
      <c r="R30" s="705" t="s">
        <v>18</v>
      </c>
      <c r="S30" s="706">
        <f t="shared" si="12"/>
        <v>100</v>
      </c>
      <c r="T30" s="705" t="s">
        <v>18</v>
      </c>
      <c r="U30" s="706">
        <f t="shared" si="13"/>
        <v>100</v>
      </c>
      <c r="V30" s="705" t="s">
        <v>18</v>
      </c>
      <c r="W30" s="706">
        <f t="shared" si="14"/>
        <v>100</v>
      </c>
      <c r="X30" s="1355"/>
      <c r="Y30" s="371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4"/>
      <c r="Q31" s="1352">
        <f t="shared" si="11"/>
        <v>111</v>
      </c>
      <c r="R31" s="705" t="s">
        <v>18</v>
      </c>
      <c r="S31" s="706">
        <f t="shared" si="12"/>
        <v>100</v>
      </c>
      <c r="T31" s="705" t="s">
        <v>18</v>
      </c>
      <c r="U31" s="706">
        <f t="shared" si="13"/>
        <v>100</v>
      </c>
      <c r="V31" s="705" t="s">
        <v>18</v>
      </c>
      <c r="W31" s="706">
        <f t="shared" si="14"/>
        <v>100</v>
      </c>
      <c r="X31" s="1355"/>
      <c r="Y31" s="371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8" t="s">
        <v>1696</v>
      </c>
      <c r="Q32" s="1352" t="str">
        <f t="shared" si="11"/>
        <v>建筑类型</v>
      </c>
      <c r="R32" s="705" t="s">
        <v>18</v>
      </c>
      <c r="S32" s="706">
        <f t="shared" si="12"/>
        <v>100</v>
      </c>
      <c r="T32" s="705" t="s">
        <v>18</v>
      </c>
      <c r="U32" s="706">
        <f t="shared" si="13"/>
        <v>100</v>
      </c>
      <c r="V32" s="705" t="s">
        <v>18</v>
      </c>
      <c r="W32" s="706">
        <f t="shared" si="14"/>
        <v>100</v>
      </c>
      <c r="X32" s="1355"/>
      <c r="Y32" s="372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9"/>
      <c r="Q34" s="1352" t="str">
        <f t="shared" si="11"/>
        <v>建筑结构</v>
      </c>
      <c r="R34" s="705" t="s">
        <v>18</v>
      </c>
      <c r="S34" s="706">
        <f t="shared" si="12"/>
        <v>100</v>
      </c>
      <c r="T34" s="705" t="s">
        <v>18</v>
      </c>
      <c r="U34" s="706">
        <f t="shared" si="13"/>
        <v>100</v>
      </c>
      <c r="V34" s="705" t="s">
        <v>18</v>
      </c>
      <c r="W34" s="706">
        <f t="shared" si="14"/>
        <v>100</v>
      </c>
      <c r="X34" s="1355"/>
      <c r="Y34" s="372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9"/>
      <c r="Q35" s="1352" t="str">
        <f t="shared" si="11"/>
        <v>建筑品质</v>
      </c>
      <c r="R35" s="705" t="s">
        <v>18</v>
      </c>
      <c r="S35" s="706">
        <f t="shared" si="12"/>
        <v>100</v>
      </c>
      <c r="T35" s="705" t="s">
        <v>18</v>
      </c>
      <c r="U35" s="706">
        <f t="shared" si="13"/>
        <v>100</v>
      </c>
      <c r="V35" s="705" t="s">
        <v>18</v>
      </c>
      <c r="W35" s="706">
        <f t="shared" si="14"/>
        <v>100</v>
      </c>
      <c r="X35" s="1355"/>
      <c r="Y35" s="372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9"/>
      <c r="Q36" s="1352" t="str">
        <f t="shared" si="11"/>
        <v>公共部分装修</v>
      </c>
      <c r="R36" s="705" t="s">
        <v>18</v>
      </c>
      <c r="S36" s="706">
        <f t="shared" si="12"/>
        <v>100</v>
      </c>
      <c r="T36" s="705" t="s">
        <v>18</v>
      </c>
      <c r="U36" s="706">
        <f t="shared" si="13"/>
        <v>100</v>
      </c>
      <c r="V36" s="705" t="s">
        <v>18</v>
      </c>
      <c r="W36" s="706">
        <f t="shared" si="14"/>
        <v>100</v>
      </c>
      <c r="X36" s="1355"/>
      <c r="Y36" s="372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9"/>
      <c r="Q37" s="1343"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9" t="s">
        <v>1696</v>
      </c>
      <c r="Q38" s="1352" t="str">
        <f t="shared" si="11"/>
        <v>物业管理</v>
      </c>
      <c r="R38" s="705" t="s">
        <v>18</v>
      </c>
      <c r="S38" s="706">
        <f t="shared" si="12"/>
        <v>100</v>
      </c>
      <c r="T38" s="705" t="s">
        <v>18</v>
      </c>
      <c r="U38" s="706">
        <f t="shared" si="13"/>
        <v>100</v>
      </c>
      <c r="V38" s="705" t="s">
        <v>18</v>
      </c>
      <c r="W38" s="706">
        <f t="shared" si="14"/>
        <v>100</v>
      </c>
      <c r="X38" s="1355"/>
      <c r="Y38" s="372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9"/>
      <c r="Q39" s="1352" t="str">
        <f t="shared" si="11"/>
        <v>市政基础设施</v>
      </c>
      <c r="R39" s="705" t="s">
        <v>18</v>
      </c>
      <c r="S39" s="706">
        <f t="shared" si="12"/>
        <v>100</v>
      </c>
      <c r="T39" s="705" t="s">
        <v>18</v>
      </c>
      <c r="U39" s="706">
        <f t="shared" si="13"/>
        <v>100</v>
      </c>
      <c r="V39" s="705" t="s">
        <v>18</v>
      </c>
      <c r="W39" s="706">
        <f t="shared" si="14"/>
        <v>100</v>
      </c>
      <c r="X39" s="1355"/>
      <c r="Y39" s="372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9"/>
      <c r="Q40" s="1352" t="str">
        <f t="shared" si="11"/>
        <v>房型</v>
      </c>
      <c r="R40" s="705" t="s">
        <v>18</v>
      </c>
      <c r="S40" s="706">
        <f t="shared" si="12"/>
        <v>100</v>
      </c>
      <c r="T40" s="705" t="s">
        <v>18</v>
      </c>
      <c r="U40" s="706">
        <f t="shared" si="13"/>
        <v>100</v>
      </c>
      <c r="V40" s="705" t="s">
        <v>18</v>
      </c>
      <c r="W40" s="706">
        <f t="shared" si="14"/>
        <v>100</v>
      </c>
      <c r="X40" s="1355"/>
      <c r="Y40" s="372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9"/>
      <c r="Q42" s="1352" t="str">
        <f t="shared" si="11"/>
        <v>内部装修</v>
      </c>
      <c r="R42" s="705" t="s">
        <v>18</v>
      </c>
      <c r="S42" s="706">
        <f t="shared" si="12"/>
        <v>100</v>
      </c>
      <c r="T42" s="705" t="s">
        <v>18</v>
      </c>
      <c r="U42" s="706">
        <f t="shared" si="13"/>
        <v>100</v>
      </c>
      <c r="V42" s="705" t="s">
        <v>18</v>
      </c>
      <c r="W42" s="706">
        <f t="shared" si="14"/>
        <v>100</v>
      </c>
      <c r="X42" s="1355"/>
      <c r="Y42" s="372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9"/>
      <c r="Q43" s="1352" t="str">
        <f t="shared" si="11"/>
        <v>内部装修维护情况</v>
      </c>
      <c r="R43" s="705" t="s">
        <v>18</v>
      </c>
      <c r="S43" s="706">
        <f t="shared" si="12"/>
        <v>100</v>
      </c>
      <c r="T43" s="705" t="s">
        <v>18</v>
      </c>
      <c r="U43" s="706">
        <f t="shared" si="13"/>
        <v>100</v>
      </c>
      <c r="V43" s="705" t="s">
        <v>18</v>
      </c>
      <c r="W43" s="706">
        <f t="shared" si="14"/>
        <v>100</v>
      </c>
      <c r="X43" s="1355"/>
      <c r="Y43" s="372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9"/>
      <c r="Q44" s="1343">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9"/>
      <c r="Q45" s="1352">
        <f t="shared" si="11"/>
        <v>111</v>
      </c>
      <c r="R45" s="705" t="s">
        <v>18</v>
      </c>
      <c r="S45" s="706">
        <f t="shared" si="12"/>
        <v>100</v>
      </c>
      <c r="T45" s="705" t="s">
        <v>18</v>
      </c>
      <c r="U45" s="706">
        <f t="shared" si="13"/>
        <v>100</v>
      </c>
      <c r="V45" s="705" t="s">
        <v>18</v>
      </c>
      <c r="W45" s="706">
        <f t="shared" si="14"/>
        <v>100</v>
      </c>
      <c r="X45" s="1355"/>
      <c r="Y45" s="372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0"/>
      <c r="Q46" s="1352">
        <f t="shared" si="11"/>
        <v>111</v>
      </c>
      <c r="R46" s="705" t="s">
        <v>17</v>
      </c>
      <c r="S46" s="706">
        <f t="shared" si="12"/>
        <v>100</v>
      </c>
      <c r="T46" s="705" t="s">
        <v>17</v>
      </c>
      <c r="U46" s="706">
        <f t="shared" si="13"/>
        <v>100</v>
      </c>
      <c r="V46" s="705" t="s">
        <v>17</v>
      </c>
      <c r="W46" s="706">
        <f t="shared" si="14"/>
        <v>100</v>
      </c>
      <c r="X46" s="1355"/>
      <c r="Y46" s="372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4" t="str">
        <f>A47</f>
        <v>成交单价（元/平方米）</v>
      </c>
      <c r="Q47" s="3714"/>
      <c r="R47" s="3715">
        <f>E47</f>
        <v>0</v>
      </c>
      <c r="S47" s="3715"/>
      <c r="T47" s="3715">
        <f>G47</f>
        <v>0</v>
      </c>
      <c r="U47" s="3715"/>
      <c r="V47" s="3715">
        <f>I47</f>
        <v>0</v>
      </c>
      <c r="W47" s="3715"/>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40.630000000000003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709"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709"/>
      <c r="AC6" s="3681"/>
    </row>
    <row r="7" spans="1:29" s="108" customFormat="1" ht="15.75" thickBot="1">
      <c r="A7" s="362" t="s">
        <v>1679</v>
      </c>
      <c r="B7" s="363"/>
      <c r="C7" s="364">
        <f>'数据-取费表'!B2</f>
        <v>45804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6"/>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3" t="s">
        <v>1691</v>
      </c>
      <c r="Q15" s="1352" t="str">
        <f t="shared" si="6"/>
        <v>商业繁华度</v>
      </c>
      <c r="R15" s="705" t="s">
        <v>14</v>
      </c>
      <c r="S15" s="706">
        <f t="shared" si="0"/>
        <v>100</v>
      </c>
      <c r="T15" s="705" t="s">
        <v>14</v>
      </c>
      <c r="U15" s="706">
        <f t="shared" si="1"/>
        <v>100</v>
      </c>
      <c r="V15" s="705" t="s">
        <v>14</v>
      </c>
      <c r="W15" s="706">
        <f t="shared" si="2"/>
        <v>100</v>
      </c>
      <c r="X15" s="1355"/>
      <c r="Y15" s="371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4"/>
      <c r="Q16" s="1352"/>
      <c r="R16" s="705"/>
      <c r="S16" s="706"/>
      <c r="T16" s="705"/>
      <c r="U16" s="706"/>
      <c r="V16" s="705"/>
      <c r="W16" s="706"/>
      <c r="X16" s="1355"/>
      <c r="Y16" s="371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4"/>
      <c r="Q18" s="1352"/>
      <c r="R18" s="705"/>
      <c r="S18" s="706"/>
      <c r="T18" s="705"/>
      <c r="U18" s="706"/>
      <c r="V18" s="705"/>
      <c r="W18" s="706"/>
      <c r="X18" s="1355"/>
      <c r="Y18" s="371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4"/>
      <c r="Q20" s="1352"/>
      <c r="R20" s="705"/>
      <c r="S20" s="706"/>
      <c r="T20" s="705"/>
      <c r="U20" s="706"/>
      <c r="V20" s="705"/>
      <c r="W20" s="706"/>
      <c r="X20" s="1355"/>
      <c r="Y20" s="371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4"/>
      <c r="Q22" s="1352"/>
      <c r="R22" s="705"/>
      <c r="S22" s="706"/>
      <c r="T22" s="705"/>
      <c r="U22" s="706"/>
      <c r="V22" s="705"/>
      <c r="W22" s="706"/>
      <c r="X22" s="1355"/>
      <c r="Y22" s="371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4"/>
      <c r="Q23" s="1352" t="str">
        <f>B23</f>
        <v>自然及人文环境</v>
      </c>
      <c r="R23" s="705" t="s">
        <v>14</v>
      </c>
      <c r="S23" s="706">
        <f>F23</f>
        <v>100</v>
      </c>
      <c r="T23" s="705" t="s">
        <v>14</v>
      </c>
      <c r="U23" s="706">
        <f>H23</f>
        <v>100</v>
      </c>
      <c r="V23" s="705" t="s">
        <v>14</v>
      </c>
      <c r="W23" s="706">
        <f>J23</f>
        <v>100</v>
      </c>
      <c r="X23" s="1355"/>
      <c r="Y23" s="371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4"/>
      <c r="Q24" s="1352"/>
      <c r="R24" s="705"/>
      <c r="S24" s="706"/>
      <c r="T24" s="705"/>
      <c r="U24" s="706"/>
      <c r="V24" s="705"/>
      <c r="W24" s="706"/>
      <c r="X24" s="1355"/>
      <c r="Y24" s="371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4"/>
      <c r="Q25" s="1352" t="str">
        <f t="shared" ref="Q25:Q46" si="11">B25</f>
        <v>临街状况</v>
      </c>
      <c r="R25" s="705" t="s">
        <v>14</v>
      </c>
      <c r="S25" s="706">
        <f>F25</f>
        <v>100</v>
      </c>
      <c r="T25" s="705" t="s">
        <v>14</v>
      </c>
      <c r="U25" s="706">
        <f>H25</f>
        <v>100</v>
      </c>
      <c r="V25" s="705" t="s">
        <v>14</v>
      </c>
      <c r="W25" s="706">
        <f>J25</f>
        <v>100</v>
      </c>
      <c r="X25" s="1355"/>
      <c r="Y25" s="371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4"/>
      <c r="Q26" s="1352" t="str">
        <f t="shared" si="11"/>
        <v>平面位置/可视性</v>
      </c>
      <c r="R26" s="705" t="s">
        <v>14</v>
      </c>
      <c r="S26" s="706">
        <f>F26</f>
        <v>100</v>
      </c>
      <c r="T26" s="705" t="s">
        <v>14</v>
      </c>
      <c r="U26" s="706">
        <f>H26</f>
        <v>100</v>
      </c>
      <c r="V26" s="705" t="s">
        <v>14</v>
      </c>
      <c r="W26" s="706">
        <f>J26</f>
        <v>100</v>
      </c>
      <c r="X26" s="1355"/>
      <c r="Y26" s="371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4"/>
      <c r="Q27" s="1343" t="str">
        <f t="shared" si="11"/>
        <v>人流量</v>
      </c>
      <c r="R27" s="701" t="s">
        <v>14</v>
      </c>
      <c r="S27" s="702">
        <f>F27</f>
        <v>100</v>
      </c>
      <c r="T27" s="701" t="s">
        <v>14</v>
      </c>
      <c r="U27" s="702">
        <f>H27</f>
        <v>100</v>
      </c>
      <c r="V27" s="701" t="s">
        <v>14</v>
      </c>
      <c r="W27" s="702">
        <f>J27</f>
        <v>100</v>
      </c>
      <c r="X27" s="703"/>
      <c r="Y27" s="371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4"/>
      <c r="Q29" s="1352">
        <f t="shared" si="11"/>
        <v>111</v>
      </c>
      <c r="R29" s="705" t="s">
        <v>14</v>
      </c>
      <c r="S29" s="706">
        <f t="shared" si="12"/>
        <v>100</v>
      </c>
      <c r="T29" s="705" t="s">
        <v>14</v>
      </c>
      <c r="U29" s="706">
        <f t="shared" si="13"/>
        <v>100</v>
      </c>
      <c r="V29" s="705" t="s">
        <v>14</v>
      </c>
      <c r="W29" s="706">
        <f t="shared" si="14"/>
        <v>100</v>
      </c>
      <c r="X29" s="1355"/>
      <c r="Y29" s="371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8" t="s">
        <v>1696</v>
      </c>
      <c r="Q32" s="1352" t="str">
        <f t="shared" si="11"/>
        <v>商业类型</v>
      </c>
      <c r="R32" s="705" t="s">
        <v>14</v>
      </c>
      <c r="S32" s="706">
        <f t="shared" si="12"/>
        <v>100</v>
      </c>
      <c r="T32" s="705" t="s">
        <v>14</v>
      </c>
      <c r="U32" s="706">
        <f t="shared" si="13"/>
        <v>100</v>
      </c>
      <c r="V32" s="705" t="s">
        <v>14</v>
      </c>
      <c r="W32" s="706">
        <f t="shared" si="14"/>
        <v>100</v>
      </c>
      <c r="X32" s="1355"/>
      <c r="Y32" s="372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9"/>
      <c r="Q34" s="1352" t="str">
        <f t="shared" si="11"/>
        <v>建筑结构</v>
      </c>
      <c r="R34" s="705" t="s">
        <v>14</v>
      </c>
      <c r="S34" s="706">
        <f t="shared" si="12"/>
        <v>100</v>
      </c>
      <c r="T34" s="705" t="s">
        <v>14</v>
      </c>
      <c r="U34" s="706">
        <f t="shared" si="13"/>
        <v>100</v>
      </c>
      <c r="V34" s="705" t="s">
        <v>14</v>
      </c>
      <c r="W34" s="706">
        <f t="shared" si="14"/>
        <v>100</v>
      </c>
      <c r="X34" s="1355"/>
      <c r="Y34" s="372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9"/>
      <c r="Q35" s="1352" t="str">
        <f t="shared" si="11"/>
        <v>公共部分装修</v>
      </c>
      <c r="R35" s="705" t="s">
        <v>14</v>
      </c>
      <c r="S35" s="706">
        <f t="shared" si="12"/>
        <v>100</v>
      </c>
      <c r="T35" s="705" t="s">
        <v>14</v>
      </c>
      <c r="U35" s="706">
        <f t="shared" si="13"/>
        <v>100</v>
      </c>
      <c r="V35" s="705" t="s">
        <v>14</v>
      </c>
      <c r="W35" s="706">
        <f t="shared" si="14"/>
        <v>100</v>
      </c>
      <c r="X35" s="1355"/>
      <c r="Y35" s="372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9"/>
      <c r="Q36" s="1352" t="str">
        <f t="shared" si="11"/>
        <v>成新度</v>
      </c>
      <c r="R36" s="705" t="s">
        <v>14</v>
      </c>
      <c r="S36" s="706" t="e">
        <f t="shared" si="12"/>
        <v>#N/A</v>
      </c>
      <c r="T36" s="705" t="s">
        <v>14</v>
      </c>
      <c r="U36" s="706" t="e">
        <f t="shared" si="13"/>
        <v>#N/A</v>
      </c>
      <c r="V36" s="705" t="s">
        <v>14</v>
      </c>
      <c r="W36" s="706" t="e">
        <f t="shared" si="14"/>
        <v>#N/A</v>
      </c>
      <c r="X36" s="1355"/>
      <c r="Y36" s="372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9"/>
      <c r="Q37" s="1343"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9" t="s">
        <v>1696</v>
      </c>
      <c r="Q38" s="1352" t="str">
        <f t="shared" si="11"/>
        <v>业态</v>
      </c>
      <c r="R38" s="705" t="s">
        <v>14</v>
      </c>
      <c r="S38" s="706">
        <f t="shared" si="12"/>
        <v>100</v>
      </c>
      <c r="T38" s="705" t="s">
        <v>14</v>
      </c>
      <c r="U38" s="706">
        <f t="shared" si="13"/>
        <v>100</v>
      </c>
      <c r="V38" s="705" t="s">
        <v>14</v>
      </c>
      <c r="W38" s="706">
        <f t="shared" si="14"/>
        <v>100</v>
      </c>
      <c r="X38" s="1355"/>
      <c r="Y38" s="372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9"/>
      <c r="Q39" s="1352" t="str">
        <f t="shared" si="11"/>
        <v>层高</v>
      </c>
      <c r="R39" s="705" t="s">
        <v>14</v>
      </c>
      <c r="S39" s="706">
        <f t="shared" si="12"/>
        <v>100</v>
      </c>
      <c r="T39" s="705" t="s">
        <v>14</v>
      </c>
      <c r="U39" s="706">
        <f t="shared" si="13"/>
        <v>100</v>
      </c>
      <c r="V39" s="705" t="s">
        <v>14</v>
      </c>
      <c r="W39" s="706">
        <f t="shared" si="14"/>
        <v>100</v>
      </c>
      <c r="X39" s="1355"/>
      <c r="Y39" s="372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9"/>
      <c r="Q40" s="1352" t="str">
        <f t="shared" si="11"/>
        <v>单套建筑面积</v>
      </c>
      <c r="R40" s="705" t="s">
        <v>14</v>
      </c>
      <c r="S40" s="706">
        <f t="shared" si="12"/>
        <v>100</v>
      </c>
      <c r="T40" s="705" t="s">
        <v>14</v>
      </c>
      <c r="U40" s="706">
        <f t="shared" si="13"/>
        <v>100</v>
      </c>
      <c r="V40" s="705" t="s">
        <v>14</v>
      </c>
      <c r="W40" s="706">
        <f t="shared" si="14"/>
        <v>100</v>
      </c>
      <c r="X40" s="1355"/>
      <c r="Y40" s="372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9"/>
      <c r="Q42" s="1352" t="str">
        <f t="shared" si="11"/>
        <v>内部装修</v>
      </c>
      <c r="R42" s="705" t="s">
        <v>14</v>
      </c>
      <c r="S42" s="706">
        <f t="shared" si="12"/>
        <v>100</v>
      </c>
      <c r="T42" s="705" t="s">
        <v>14</v>
      </c>
      <c r="U42" s="706">
        <f t="shared" si="13"/>
        <v>100</v>
      </c>
      <c r="V42" s="705" t="s">
        <v>14</v>
      </c>
      <c r="W42" s="706">
        <f t="shared" si="14"/>
        <v>100</v>
      </c>
      <c r="X42" s="1355"/>
      <c r="Y42" s="372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9"/>
      <c r="Q43" s="1352" t="str">
        <f t="shared" si="11"/>
        <v>内部装修维护情况</v>
      </c>
      <c r="R43" s="705" t="s">
        <v>14</v>
      </c>
      <c r="S43" s="706">
        <f t="shared" si="12"/>
        <v>100</v>
      </c>
      <c r="T43" s="705" t="s">
        <v>14</v>
      </c>
      <c r="U43" s="706">
        <f t="shared" si="13"/>
        <v>100</v>
      </c>
      <c r="V43" s="705" t="s">
        <v>14</v>
      </c>
      <c r="W43" s="706">
        <f t="shared" si="14"/>
        <v>100</v>
      </c>
      <c r="X43" s="1355"/>
      <c r="Y43" s="372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9"/>
      <c r="Q44" s="1343">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9"/>
      <c r="Q45" s="1352">
        <f t="shared" si="11"/>
        <v>111</v>
      </c>
      <c r="R45" s="705" t="s">
        <v>14</v>
      </c>
      <c r="S45" s="706">
        <f t="shared" si="12"/>
        <v>100</v>
      </c>
      <c r="T45" s="705" t="s">
        <v>14</v>
      </c>
      <c r="U45" s="706">
        <f t="shared" si="13"/>
        <v>100</v>
      </c>
      <c r="V45" s="705" t="s">
        <v>14</v>
      </c>
      <c r="W45" s="706">
        <f t="shared" si="14"/>
        <v>100</v>
      </c>
      <c r="X45" s="1355"/>
      <c r="Y45" s="372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4" t="str">
        <f>A47</f>
        <v>成交单价（元/平方米）</v>
      </c>
      <c r="Q47" s="3714"/>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40.630000000000003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31" t="s">
        <v>1775</v>
      </c>
      <c r="Q4" s="3732"/>
      <c r="R4" s="3726" t="s">
        <v>1771</v>
      </c>
      <c r="S4" s="3727"/>
      <c r="T4" s="3726" t="s">
        <v>1772</v>
      </c>
      <c r="U4" s="3727"/>
      <c r="V4" s="3735" t="s">
        <v>1773</v>
      </c>
      <c r="W4" s="3735"/>
      <c r="X4" s="1958"/>
      <c r="Y4" s="3726" t="s">
        <v>1775</v>
      </c>
      <c r="Z4" s="3727"/>
      <c r="AA4" s="3725" t="s">
        <v>1771</v>
      </c>
      <c r="AB4" s="3725" t="s">
        <v>1772</v>
      </c>
      <c r="AC4" s="3728" t="s">
        <v>1773</v>
      </c>
    </row>
    <row r="5" spans="1:29" ht="15">
      <c r="A5" s="358"/>
      <c r="B5" s="359"/>
      <c r="C5" s="3690" t="s">
        <v>1673</v>
      </c>
      <c r="D5" s="3691"/>
      <c r="E5" s="3688" t="s">
        <v>1674</v>
      </c>
      <c r="F5" s="3689"/>
      <c r="G5" s="3690" t="s">
        <v>1675</v>
      </c>
      <c r="H5" s="3691"/>
      <c r="I5" s="3690" t="s">
        <v>1676</v>
      </c>
      <c r="J5" s="3691"/>
      <c r="K5" s="559"/>
      <c r="L5" s="2715"/>
      <c r="M5" s="2716"/>
      <c r="N5" s="2716"/>
      <c r="O5" s="2716"/>
      <c r="P5" s="3733"/>
      <c r="Q5" s="3704"/>
      <c r="R5" s="3686"/>
      <c r="S5" s="3687"/>
      <c r="T5" s="3686"/>
      <c r="U5" s="3687"/>
      <c r="V5" s="3709"/>
      <c r="W5" s="3709"/>
      <c r="X5" s="1355"/>
      <c r="Y5" s="3686"/>
      <c r="Z5" s="3687"/>
      <c r="AA5" s="3680"/>
      <c r="AB5" s="3680"/>
      <c r="AC5" s="3729"/>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34"/>
      <c r="Q6" s="3706"/>
      <c r="R6" s="3686"/>
      <c r="S6" s="3687"/>
      <c r="T6" s="3707"/>
      <c r="U6" s="3708"/>
      <c r="V6" s="3709"/>
      <c r="W6" s="3709"/>
      <c r="X6" s="1355"/>
      <c r="Y6" s="3707"/>
      <c r="Z6" s="3708"/>
      <c r="AA6" s="3681"/>
      <c r="AB6" s="3681"/>
      <c r="AC6" s="3730"/>
    </row>
    <row r="7" spans="1:29" s="108" customFormat="1" ht="15.75" thickBot="1">
      <c r="A7" s="362" t="s">
        <v>1679</v>
      </c>
      <c r="B7" s="363"/>
      <c r="C7" s="364">
        <f>'数据-取费表'!B2</f>
        <v>45804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683"/>
      <c r="R8" s="701" t="s">
        <v>14</v>
      </c>
      <c r="S8" s="702">
        <f t="shared" si="0"/>
        <v>100</v>
      </c>
      <c r="T8" s="701" t="s">
        <v>14</v>
      </c>
      <c r="U8" s="702">
        <f t="shared" si="1"/>
        <v>100</v>
      </c>
      <c r="V8" s="701" t="s">
        <v>14</v>
      </c>
      <c r="W8" s="702">
        <f t="shared" si="2"/>
        <v>100</v>
      </c>
      <c r="X8" s="703"/>
      <c r="Y8" s="3682" t="s">
        <v>1683</v>
      </c>
      <c r="Z8" s="368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3" t="s">
        <v>1691</v>
      </c>
      <c r="Q15" s="1352" t="str">
        <f t="shared" si="6"/>
        <v>办公集聚程度</v>
      </c>
      <c r="R15" s="705" t="s">
        <v>14</v>
      </c>
      <c r="S15" s="706">
        <f t="shared" si="0"/>
        <v>100</v>
      </c>
      <c r="T15" s="705" t="s">
        <v>14</v>
      </c>
      <c r="U15" s="706">
        <f t="shared" si="1"/>
        <v>100</v>
      </c>
      <c r="V15" s="705" t="s">
        <v>14</v>
      </c>
      <c r="W15" s="706">
        <f t="shared" si="2"/>
        <v>100</v>
      </c>
      <c r="X15" s="1355"/>
      <c r="Y15" s="371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4"/>
      <c r="Q16" s="1352"/>
      <c r="R16" s="705"/>
      <c r="S16" s="706"/>
      <c r="T16" s="705"/>
      <c r="U16" s="706"/>
      <c r="V16" s="705"/>
      <c r="W16" s="706"/>
      <c r="X16" s="1355"/>
      <c r="Y16" s="371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4"/>
      <c r="Q18" s="1352"/>
      <c r="R18" s="705"/>
      <c r="S18" s="706"/>
      <c r="T18" s="705"/>
      <c r="U18" s="706"/>
      <c r="V18" s="705"/>
      <c r="W18" s="706"/>
      <c r="X18" s="1355"/>
      <c r="Y18" s="371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4"/>
      <c r="Q20" s="1352"/>
      <c r="R20" s="705"/>
      <c r="S20" s="706"/>
      <c r="T20" s="705"/>
      <c r="U20" s="706"/>
      <c r="V20" s="705"/>
      <c r="W20" s="706"/>
      <c r="X20" s="1355"/>
      <c r="Y20" s="371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4"/>
      <c r="Q22" s="1352"/>
      <c r="R22" s="705"/>
      <c r="S22" s="706"/>
      <c r="T22" s="705"/>
      <c r="U22" s="706"/>
      <c r="V22" s="705"/>
      <c r="W22" s="706"/>
      <c r="X22" s="1355"/>
      <c r="Y22" s="371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4"/>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4"/>
      <c r="Q24" s="1352"/>
      <c r="R24" s="705"/>
      <c r="S24" s="706"/>
      <c r="T24" s="705"/>
      <c r="U24" s="706"/>
      <c r="V24" s="705"/>
      <c r="W24" s="706"/>
      <c r="X24" s="1355"/>
      <c r="Y24" s="371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4"/>
      <c r="Q25" s="1352" t="str">
        <f>B25</f>
        <v>毗邻道路的类型与等级</v>
      </c>
      <c r="R25" s="705" t="s">
        <v>14</v>
      </c>
      <c r="S25" s="706">
        <f>F25</f>
        <v>100</v>
      </c>
      <c r="T25" s="705" t="s">
        <v>14</v>
      </c>
      <c r="U25" s="706">
        <f>H25</f>
        <v>100</v>
      </c>
      <c r="V25" s="705" t="s">
        <v>14</v>
      </c>
      <c r="W25" s="706">
        <f>J25</f>
        <v>100</v>
      </c>
      <c r="X25" s="1355"/>
      <c r="Y25" s="371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4"/>
      <c r="Q26" s="1352"/>
      <c r="R26" s="705"/>
      <c r="S26" s="706"/>
      <c r="T26" s="705"/>
      <c r="U26" s="706"/>
      <c r="V26" s="705"/>
      <c r="W26" s="706"/>
      <c r="X26" s="1355"/>
      <c r="Y26" s="371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4"/>
      <c r="Q27" s="1352" t="str">
        <f t="shared" ref="Q27:Q47" si="11">B27</f>
        <v>楼层</v>
      </c>
      <c r="R27" s="705" t="s">
        <v>14</v>
      </c>
      <c r="S27" s="706">
        <f>F27</f>
        <v>100</v>
      </c>
      <c r="T27" s="705" t="s">
        <v>14</v>
      </c>
      <c r="U27" s="706">
        <f>H27</f>
        <v>100</v>
      </c>
      <c r="V27" s="705" t="s">
        <v>14</v>
      </c>
      <c r="W27" s="706">
        <f>J27</f>
        <v>100</v>
      </c>
      <c r="X27" s="1355"/>
      <c r="Y27" s="371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4"/>
      <c r="Q28" s="1343" t="str">
        <f t="shared" si="11"/>
        <v>朝向</v>
      </c>
      <c r="R28" s="701" t="s">
        <v>14</v>
      </c>
      <c r="S28" s="702">
        <f>F28</f>
        <v>100</v>
      </c>
      <c r="T28" s="701" t="s">
        <v>14</v>
      </c>
      <c r="U28" s="702">
        <f>H28</f>
        <v>100</v>
      </c>
      <c r="V28" s="701" t="s">
        <v>14</v>
      </c>
      <c r="W28" s="702">
        <f>J28</f>
        <v>100</v>
      </c>
      <c r="X28" s="703"/>
      <c r="Y28" s="371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71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4"/>
      <c r="Q32" s="1352">
        <f t="shared" si="11"/>
        <v>111</v>
      </c>
      <c r="R32" s="705" t="s">
        <v>14</v>
      </c>
      <c r="S32" s="706">
        <f t="shared" si="12"/>
        <v>100</v>
      </c>
      <c r="T32" s="705" t="s">
        <v>14</v>
      </c>
      <c r="U32" s="706">
        <f t="shared" si="13"/>
        <v>100</v>
      </c>
      <c r="V32" s="705" t="s">
        <v>14</v>
      </c>
      <c r="W32" s="706">
        <f t="shared" si="14"/>
        <v>100</v>
      </c>
      <c r="X32" s="1355"/>
      <c r="Y32" s="371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8" t="s">
        <v>1696</v>
      </c>
      <c r="Q33" s="1352" t="str">
        <f t="shared" si="11"/>
        <v>建筑类型</v>
      </c>
      <c r="R33" s="705" t="s">
        <v>14</v>
      </c>
      <c r="S33" s="706">
        <f t="shared" si="12"/>
        <v>100</v>
      </c>
      <c r="T33" s="705" t="s">
        <v>14</v>
      </c>
      <c r="U33" s="706">
        <f t="shared" si="13"/>
        <v>100</v>
      </c>
      <c r="V33" s="705" t="s">
        <v>14</v>
      </c>
      <c r="W33" s="706">
        <f t="shared" si="14"/>
        <v>100</v>
      </c>
      <c r="X33" s="1355"/>
      <c r="Y33" s="372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9"/>
      <c r="Q34" s="707" t="str">
        <f t="shared" si="11"/>
        <v>项目建筑规模</v>
      </c>
      <c r="R34" s="708" t="s">
        <v>14</v>
      </c>
      <c r="S34" s="709" t="e">
        <f t="shared" si="12"/>
        <v>#N/A</v>
      </c>
      <c r="T34" s="708" t="s">
        <v>14</v>
      </c>
      <c r="U34" s="709" t="e">
        <f t="shared" si="13"/>
        <v>#N/A</v>
      </c>
      <c r="V34" s="708" t="s">
        <v>14</v>
      </c>
      <c r="W34" s="709" t="e">
        <f t="shared" si="14"/>
        <v>#N/A</v>
      </c>
      <c r="X34" s="710"/>
      <c r="Y34" s="372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9"/>
      <c r="Q35" s="1352" t="str">
        <f t="shared" si="11"/>
        <v>建筑结构</v>
      </c>
      <c r="R35" s="705" t="s">
        <v>14</v>
      </c>
      <c r="S35" s="706">
        <f t="shared" si="12"/>
        <v>100</v>
      </c>
      <c r="T35" s="705" t="s">
        <v>14</v>
      </c>
      <c r="U35" s="706">
        <f t="shared" si="13"/>
        <v>100</v>
      </c>
      <c r="V35" s="705" t="s">
        <v>14</v>
      </c>
      <c r="W35" s="706">
        <f t="shared" si="14"/>
        <v>100</v>
      </c>
      <c r="X35" s="1355"/>
      <c r="Y35" s="372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9"/>
      <c r="Q36" s="1352" t="str">
        <f t="shared" si="11"/>
        <v>公共部分装修</v>
      </c>
      <c r="R36" s="705" t="s">
        <v>14</v>
      </c>
      <c r="S36" s="706">
        <f t="shared" si="12"/>
        <v>100</v>
      </c>
      <c r="T36" s="705" t="s">
        <v>14</v>
      </c>
      <c r="U36" s="706">
        <f t="shared" si="13"/>
        <v>100</v>
      </c>
      <c r="V36" s="705" t="s">
        <v>14</v>
      </c>
      <c r="W36" s="706">
        <f t="shared" si="14"/>
        <v>100</v>
      </c>
      <c r="X36" s="1355"/>
      <c r="Y36" s="372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9"/>
      <c r="Q37" s="1352" t="str">
        <f t="shared" si="11"/>
        <v>成新度</v>
      </c>
      <c r="R37" s="705" t="s">
        <v>14</v>
      </c>
      <c r="S37" s="706" t="e">
        <f t="shared" si="12"/>
        <v>#N/A</v>
      </c>
      <c r="T37" s="705" t="s">
        <v>14</v>
      </c>
      <c r="U37" s="706" t="e">
        <f t="shared" si="13"/>
        <v>#N/A</v>
      </c>
      <c r="V37" s="705" t="s">
        <v>14</v>
      </c>
      <c r="W37" s="706" t="e">
        <f t="shared" si="14"/>
        <v>#N/A</v>
      </c>
      <c r="X37" s="1355"/>
      <c r="Y37" s="372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9"/>
      <c r="Q38" s="1343"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9" t="s">
        <v>1696</v>
      </c>
      <c r="Q39" s="1352" t="str">
        <f t="shared" si="11"/>
        <v>物业管理</v>
      </c>
      <c r="R39" s="705" t="s">
        <v>14</v>
      </c>
      <c r="S39" s="706">
        <f t="shared" si="12"/>
        <v>100</v>
      </c>
      <c r="T39" s="705" t="s">
        <v>14</v>
      </c>
      <c r="U39" s="706">
        <f t="shared" si="13"/>
        <v>100</v>
      </c>
      <c r="V39" s="705" t="s">
        <v>14</v>
      </c>
      <c r="W39" s="706">
        <f t="shared" si="14"/>
        <v>100</v>
      </c>
      <c r="X39" s="1355"/>
      <c r="Y39" s="372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9"/>
      <c r="Q40" s="1352" t="str">
        <f t="shared" si="11"/>
        <v>市政基础设施</v>
      </c>
      <c r="R40" s="705" t="s">
        <v>14</v>
      </c>
      <c r="S40" s="706">
        <f t="shared" si="12"/>
        <v>100</v>
      </c>
      <c r="T40" s="705" t="s">
        <v>14</v>
      </c>
      <c r="U40" s="706">
        <f t="shared" si="13"/>
        <v>100</v>
      </c>
      <c r="V40" s="705" t="s">
        <v>14</v>
      </c>
      <c r="W40" s="706">
        <f t="shared" si="14"/>
        <v>100</v>
      </c>
      <c r="X40" s="1355"/>
      <c r="Y40" s="372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9"/>
      <c r="Q41" s="1352" t="str">
        <f t="shared" si="11"/>
        <v>层高</v>
      </c>
      <c r="R41" s="705" t="s">
        <v>14</v>
      </c>
      <c r="S41" s="706">
        <f t="shared" si="12"/>
        <v>100</v>
      </c>
      <c r="T41" s="705" t="s">
        <v>14</v>
      </c>
      <c r="U41" s="706">
        <f t="shared" si="13"/>
        <v>100</v>
      </c>
      <c r="V41" s="705" t="s">
        <v>14</v>
      </c>
      <c r="W41" s="706">
        <f t="shared" si="14"/>
        <v>100</v>
      </c>
      <c r="X41" s="1355"/>
      <c r="Y41" s="372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9"/>
      <c r="Q43" s="1352" t="str">
        <f t="shared" si="11"/>
        <v>内部装修</v>
      </c>
      <c r="R43" s="705" t="s">
        <v>14</v>
      </c>
      <c r="S43" s="706">
        <f t="shared" si="12"/>
        <v>100</v>
      </c>
      <c r="T43" s="705" t="s">
        <v>14</v>
      </c>
      <c r="U43" s="706">
        <f t="shared" si="13"/>
        <v>100</v>
      </c>
      <c r="V43" s="705" t="s">
        <v>14</v>
      </c>
      <c r="W43" s="706">
        <f t="shared" si="14"/>
        <v>100</v>
      </c>
      <c r="X43" s="1355"/>
      <c r="Y43" s="372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9"/>
      <c r="Q44" s="1352" t="str">
        <f t="shared" si="11"/>
        <v>内部装修维护情况</v>
      </c>
      <c r="R44" s="705" t="s">
        <v>14</v>
      </c>
      <c r="S44" s="706">
        <f t="shared" si="12"/>
        <v>100</v>
      </c>
      <c r="T44" s="705" t="s">
        <v>14</v>
      </c>
      <c r="U44" s="706">
        <f t="shared" si="13"/>
        <v>100</v>
      </c>
      <c r="V44" s="705" t="s">
        <v>14</v>
      </c>
      <c r="W44" s="706">
        <f t="shared" si="14"/>
        <v>100</v>
      </c>
      <c r="X44" s="1355"/>
      <c r="Y44" s="372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9"/>
      <c r="Q45" s="1343">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0"/>
      <c r="Q47" s="1352">
        <f t="shared" si="11"/>
        <v>111</v>
      </c>
      <c r="R47" s="705" t="s">
        <v>14</v>
      </c>
      <c r="S47" s="706">
        <f t="shared" si="12"/>
        <v>100</v>
      </c>
      <c r="T47" s="705" t="s">
        <v>14</v>
      </c>
      <c r="U47" s="706">
        <f t="shared" si="13"/>
        <v>100</v>
      </c>
      <c r="V47" s="705" t="s">
        <v>14</v>
      </c>
      <c r="W47" s="706">
        <f t="shared" si="14"/>
        <v>100</v>
      </c>
      <c r="X47" s="1355"/>
      <c r="Y47" s="372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6" t="str">
        <f>A48</f>
        <v>成交单价（元/平方米）</v>
      </c>
      <c r="Q48" s="3714"/>
      <c r="R48" s="3715">
        <f>E48</f>
        <v>0</v>
      </c>
      <c r="S48" s="3715"/>
      <c r="T48" s="3715">
        <f>G48</f>
        <v>0</v>
      </c>
      <c r="U48" s="3715"/>
      <c r="V48" s="3715">
        <f>I48</f>
        <v>0</v>
      </c>
      <c r="W48" s="3715"/>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受贵公司委托，我公司对北京市西城区马连道路15号院4号楼-2层01等[24]库房用房房地产抵押价值进行了预评估。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估价对象为北京市西城区马连道路15号院4号楼-2层01等[24]库房用房房地产，为所有。根据《国有土地使用证》[]，估价对象（分摊）出让国有建设用地使用权面积为0平方米，建筑面积为40.63平方米。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马连道路15号院4号楼-2层01等[24]库房用房房地产,属开发建设的居住项目，该项目尚在开发建设中。根据《国有土地使用证》[]，估价对象（分摊）出让国有建设用地使用权面积为0平方米，规划建筑面积为40.63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西城区马连道路15号院4号楼-2层01等[24]库房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40.630000000000003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913"/>
      <c r="M5" s="914"/>
      <c r="N5" s="914"/>
      <c r="O5" s="914"/>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3"/>
      <c r="M6" s="914"/>
      <c r="N6" s="914"/>
      <c r="O6" s="914"/>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45804</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7"/>
      <c r="Q16" s="1352"/>
      <c r="R16" s="705"/>
      <c r="S16" s="706"/>
      <c r="T16" s="705"/>
      <c r="U16" s="706"/>
      <c r="V16" s="705"/>
      <c r="W16" s="706"/>
      <c r="X16" s="1355"/>
      <c r="Y16" s="371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7"/>
      <c r="Q18" s="1352"/>
      <c r="R18" s="705"/>
      <c r="S18" s="706"/>
      <c r="T18" s="705"/>
      <c r="U18" s="706"/>
      <c r="V18" s="705"/>
      <c r="W18" s="706"/>
      <c r="X18" s="1355"/>
      <c r="Y18" s="371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7"/>
      <c r="Q20" s="1352"/>
      <c r="R20" s="705"/>
      <c r="S20" s="706"/>
      <c r="T20" s="705"/>
      <c r="U20" s="706"/>
      <c r="V20" s="705"/>
      <c r="W20" s="706"/>
      <c r="X20" s="1355"/>
      <c r="Y20" s="371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7"/>
      <c r="Q22" s="1352"/>
      <c r="R22" s="705"/>
      <c r="S22" s="706"/>
      <c r="T22" s="705"/>
      <c r="U22" s="706"/>
      <c r="V22" s="705"/>
      <c r="W22" s="706"/>
      <c r="X22" s="1355"/>
      <c r="Y22" s="371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7"/>
      <c r="Q24" s="1352"/>
      <c r="R24" s="705"/>
      <c r="S24" s="706"/>
      <c r="T24" s="705"/>
      <c r="U24" s="706"/>
      <c r="V24" s="705"/>
      <c r="W24" s="706"/>
      <c r="X24" s="1355"/>
      <c r="Y24" s="371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2">
        <f>B25</f>
        <v>111</v>
      </c>
      <c r="R25" s="705" t="s">
        <v>14</v>
      </c>
      <c r="S25" s="706">
        <f>F25</f>
        <v>100</v>
      </c>
      <c r="T25" s="705" t="s">
        <v>14</v>
      </c>
      <c r="U25" s="706">
        <f>H25</f>
        <v>100</v>
      </c>
      <c r="V25" s="705" t="s">
        <v>14</v>
      </c>
      <c r="W25" s="706">
        <f>J25</f>
        <v>100</v>
      </c>
      <c r="X25" s="1355"/>
      <c r="Y25" s="371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2">
        <f t="shared" ref="Q26:Q40" si="11">B26</f>
        <v>111</v>
      </c>
      <c r="R26" s="705" t="s">
        <v>14</v>
      </c>
      <c r="S26" s="706">
        <f>F26</f>
        <v>100</v>
      </c>
      <c r="T26" s="705" t="s">
        <v>14</v>
      </c>
      <c r="U26" s="706">
        <f>H26</f>
        <v>100</v>
      </c>
      <c r="V26" s="705" t="s">
        <v>14</v>
      </c>
      <c r="W26" s="706">
        <f>J26</f>
        <v>100</v>
      </c>
      <c r="X26" s="1355"/>
      <c r="Y26" s="371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3">
        <f t="shared" si="11"/>
        <v>111</v>
      </c>
      <c r="R27" s="701" t="s">
        <v>14</v>
      </c>
      <c r="S27" s="702">
        <f>F27</f>
        <v>100</v>
      </c>
      <c r="T27" s="701" t="s">
        <v>14</v>
      </c>
      <c r="U27" s="702">
        <f>H27</f>
        <v>100</v>
      </c>
      <c r="V27" s="701" t="s">
        <v>14</v>
      </c>
      <c r="W27" s="702">
        <f>J27</f>
        <v>100</v>
      </c>
      <c r="X27" s="703"/>
      <c r="Y27" s="371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2">
        <f t="shared" si="11"/>
        <v>111</v>
      </c>
      <c r="R28" s="705" t="s">
        <v>14</v>
      </c>
      <c r="S28" s="706">
        <f t="shared" ref="S28:S40" si="12">F28</f>
        <v>100</v>
      </c>
      <c r="T28" s="705" t="s">
        <v>14</v>
      </c>
      <c r="U28" s="706">
        <f t="shared" ref="U28:U40" si="13">H28</f>
        <v>100</v>
      </c>
      <c r="V28" s="705" t="s">
        <v>14</v>
      </c>
      <c r="W28" s="706">
        <f t="shared" ref="W28:W40" si="14">J28</f>
        <v>100</v>
      </c>
      <c r="X28" s="1355"/>
      <c r="Y28" s="371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72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2" t="str">
        <f t="shared" si="11"/>
        <v>建筑结构</v>
      </c>
      <c r="R31" s="705" t="s">
        <v>14</v>
      </c>
      <c r="S31" s="706">
        <f t="shared" si="12"/>
        <v>100</v>
      </c>
      <c r="T31" s="705" t="s">
        <v>14</v>
      </c>
      <c r="U31" s="706">
        <f t="shared" si="13"/>
        <v>100</v>
      </c>
      <c r="V31" s="705" t="s">
        <v>14</v>
      </c>
      <c r="W31" s="706">
        <f t="shared" si="14"/>
        <v>100</v>
      </c>
      <c r="X31" s="1355"/>
      <c r="Y31" s="372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2" t="str">
        <f t="shared" si="11"/>
        <v>公共部分装修</v>
      </c>
      <c r="R32" s="705" t="s">
        <v>14</v>
      </c>
      <c r="S32" s="706">
        <f t="shared" si="12"/>
        <v>100</v>
      </c>
      <c r="T32" s="705" t="s">
        <v>14</v>
      </c>
      <c r="U32" s="706">
        <f t="shared" si="13"/>
        <v>100</v>
      </c>
      <c r="V32" s="705" t="s">
        <v>14</v>
      </c>
      <c r="W32" s="706">
        <f t="shared" si="14"/>
        <v>100</v>
      </c>
      <c r="X32" s="1355"/>
      <c r="Y32" s="372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2" t="str">
        <f t="shared" si="11"/>
        <v>成新度</v>
      </c>
      <c r="R33" s="705" t="s">
        <v>14</v>
      </c>
      <c r="S33" s="706" t="e">
        <f t="shared" si="12"/>
        <v>#N/A</v>
      </c>
      <c r="T33" s="705" t="s">
        <v>14</v>
      </c>
      <c r="U33" s="706" t="e">
        <f t="shared" si="13"/>
        <v>#N/A</v>
      </c>
      <c r="V33" s="705" t="s">
        <v>14</v>
      </c>
      <c r="W33" s="706" t="e">
        <f t="shared" si="14"/>
        <v>#N/A</v>
      </c>
      <c r="X33" s="1355"/>
      <c r="Y33" s="372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3"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1696</v>
      </c>
      <c r="Q35" s="1352" t="str">
        <f t="shared" si="11"/>
        <v>市政基础设施</v>
      </c>
      <c r="R35" s="705" t="s">
        <v>14</v>
      </c>
      <c r="S35" s="706">
        <f t="shared" si="12"/>
        <v>100</v>
      </c>
      <c r="T35" s="705" t="s">
        <v>14</v>
      </c>
      <c r="U35" s="706">
        <f t="shared" si="13"/>
        <v>100</v>
      </c>
      <c r="V35" s="705" t="s">
        <v>14</v>
      </c>
      <c r="W35" s="706">
        <f t="shared" si="14"/>
        <v>100</v>
      </c>
      <c r="X35" s="1355"/>
      <c r="Y35" s="372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2" t="str">
        <f t="shared" si="11"/>
        <v>内部装修</v>
      </c>
      <c r="R36" s="705" t="s">
        <v>14</v>
      </c>
      <c r="S36" s="706">
        <f t="shared" si="12"/>
        <v>100</v>
      </c>
      <c r="T36" s="705" t="s">
        <v>14</v>
      </c>
      <c r="U36" s="706">
        <f t="shared" si="13"/>
        <v>100</v>
      </c>
      <c r="V36" s="705" t="s">
        <v>14</v>
      </c>
      <c r="W36" s="706">
        <f t="shared" si="14"/>
        <v>100</v>
      </c>
      <c r="X36" s="1355"/>
      <c r="Y36" s="372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2" t="str">
        <f t="shared" si="11"/>
        <v>内部装修状况</v>
      </c>
      <c r="R37" s="705" t="s">
        <v>14</v>
      </c>
      <c r="S37" s="706">
        <f t="shared" si="12"/>
        <v>100</v>
      </c>
      <c r="T37" s="705" t="s">
        <v>14</v>
      </c>
      <c r="U37" s="706">
        <f t="shared" si="13"/>
        <v>100</v>
      </c>
      <c r="V37" s="705" t="s">
        <v>14</v>
      </c>
      <c r="W37" s="706">
        <f t="shared" si="14"/>
        <v>100</v>
      </c>
      <c r="X37" s="1355"/>
      <c r="Y37" s="372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2">
        <f t="shared" si="11"/>
        <v>111</v>
      </c>
      <c r="R39" s="705" t="s">
        <v>14</v>
      </c>
      <c r="S39" s="706">
        <f t="shared" si="12"/>
        <v>100</v>
      </c>
      <c r="T39" s="705" t="s">
        <v>14</v>
      </c>
      <c r="U39" s="706">
        <f t="shared" si="13"/>
        <v>100</v>
      </c>
      <c r="V39" s="705" t="s">
        <v>14</v>
      </c>
      <c r="W39" s="706">
        <f t="shared" si="14"/>
        <v>100</v>
      </c>
      <c r="X39" s="1355"/>
      <c r="Y39" s="372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2">
        <f t="shared" si="11"/>
        <v>111</v>
      </c>
      <c r="R40" s="705" t="s">
        <v>14</v>
      </c>
      <c r="S40" s="706">
        <f t="shared" si="12"/>
        <v>100</v>
      </c>
      <c r="T40" s="705" t="s">
        <v>14</v>
      </c>
      <c r="U40" s="706">
        <f t="shared" si="13"/>
        <v>100</v>
      </c>
      <c r="V40" s="705" t="s">
        <v>14</v>
      </c>
      <c r="W40" s="706">
        <f t="shared" si="14"/>
        <v>100</v>
      </c>
      <c r="X40" s="1355"/>
      <c r="Y40" s="372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45804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4"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7"/>
      <c r="Q15" s="1352"/>
      <c r="R15" s="705"/>
      <c r="S15" s="706"/>
      <c r="T15" s="705"/>
      <c r="U15" s="706"/>
      <c r="V15" s="705"/>
      <c r="W15" s="706"/>
      <c r="X15" s="1355"/>
      <c r="Y15" s="371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7"/>
      <c r="Q17" s="1352"/>
      <c r="R17" s="705"/>
      <c r="S17" s="706"/>
      <c r="T17" s="705"/>
      <c r="U17" s="706"/>
      <c r="V17" s="705"/>
      <c r="W17" s="706"/>
      <c r="X17" s="1355"/>
      <c r="Y17" s="371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7"/>
      <c r="Q19" s="1352"/>
      <c r="R19" s="705"/>
      <c r="S19" s="706"/>
      <c r="T19" s="705"/>
      <c r="U19" s="706"/>
      <c r="V19" s="705"/>
      <c r="W19" s="706"/>
      <c r="X19" s="1355"/>
      <c r="Y19" s="371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7"/>
      <c r="Q21" s="1352"/>
      <c r="R21" s="705"/>
      <c r="S21" s="706"/>
      <c r="T21" s="705"/>
      <c r="U21" s="706"/>
      <c r="V21" s="705"/>
      <c r="W21" s="706"/>
      <c r="X21" s="1355"/>
      <c r="Y21" s="371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7"/>
      <c r="Q24" s="1352">
        <f t="shared" ref="Q24:Q36"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1"/>
      <c r="Q28" s="1352" t="str">
        <f t="shared" si="11"/>
        <v>公共部分装修</v>
      </c>
      <c r="R28" s="705" t="s">
        <v>14</v>
      </c>
      <c r="S28" s="706">
        <f t="shared" si="12"/>
        <v>100</v>
      </c>
      <c r="T28" s="705" t="s">
        <v>14</v>
      </c>
      <c r="U28" s="706">
        <f t="shared" si="13"/>
        <v>100</v>
      </c>
      <c r="V28" s="705" t="s">
        <v>14</v>
      </c>
      <c r="W28" s="706">
        <f t="shared" si="14"/>
        <v>100</v>
      </c>
      <c r="X28" s="1355"/>
      <c r="Y28" s="372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1"/>
      <c r="Q29" s="1352" t="str">
        <f t="shared" si="11"/>
        <v>成新率</v>
      </c>
      <c r="R29" s="705" t="s">
        <v>14</v>
      </c>
      <c r="S29" s="706" t="e">
        <f t="shared" si="12"/>
        <v>#N/A</v>
      </c>
      <c r="T29" s="705" t="s">
        <v>14</v>
      </c>
      <c r="U29" s="706" t="e">
        <f t="shared" si="13"/>
        <v>#N/A</v>
      </c>
      <c r="V29" s="705" t="s">
        <v>14</v>
      </c>
      <c r="W29" s="706" t="e">
        <f t="shared" si="14"/>
        <v>#N/A</v>
      </c>
      <c r="X29" s="1355"/>
      <c r="Y29" s="372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1"/>
      <c r="Q30" s="1352" t="str">
        <f t="shared" si="11"/>
        <v>物业等级</v>
      </c>
      <c r="R30" s="705" t="s">
        <v>14</v>
      </c>
      <c r="S30" s="706">
        <f t="shared" si="12"/>
        <v>100</v>
      </c>
      <c r="T30" s="705" t="s">
        <v>14</v>
      </c>
      <c r="U30" s="706">
        <f t="shared" si="13"/>
        <v>100</v>
      </c>
      <c r="V30" s="705" t="s">
        <v>14</v>
      </c>
      <c r="W30" s="706">
        <f t="shared" si="14"/>
        <v>100</v>
      </c>
      <c r="X30" s="1355"/>
      <c r="Y30" s="372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1"/>
      <c r="Q31" s="1343"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1" t="s">
        <v>1696</v>
      </c>
      <c r="Q32" s="1352" t="str">
        <f t="shared" si="11"/>
        <v>车位类型</v>
      </c>
      <c r="R32" s="705" t="s">
        <v>14</v>
      </c>
      <c r="S32" s="706">
        <f t="shared" si="12"/>
        <v>100</v>
      </c>
      <c r="T32" s="705" t="s">
        <v>14</v>
      </c>
      <c r="U32" s="706">
        <f t="shared" si="13"/>
        <v>100</v>
      </c>
      <c r="V32" s="705" t="s">
        <v>14</v>
      </c>
      <c r="W32" s="706">
        <f t="shared" si="14"/>
        <v>100</v>
      </c>
      <c r="X32" s="1355"/>
      <c r="Y32" s="372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1"/>
      <c r="Q33" s="1352" t="str">
        <f t="shared" si="11"/>
        <v>是否直接入户</v>
      </c>
      <c r="R33" s="705" t="s">
        <v>14</v>
      </c>
      <c r="S33" s="706">
        <f t="shared" si="12"/>
        <v>100</v>
      </c>
      <c r="T33" s="705" t="s">
        <v>14</v>
      </c>
      <c r="U33" s="706">
        <f t="shared" si="13"/>
        <v>100</v>
      </c>
      <c r="V33" s="705" t="s">
        <v>14</v>
      </c>
      <c r="W33" s="706">
        <f t="shared" si="14"/>
        <v>100</v>
      </c>
      <c r="X33" s="1355"/>
      <c r="Y33" s="372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1"/>
      <c r="Q36" s="1352">
        <f t="shared" si="11"/>
        <v>111</v>
      </c>
      <c r="R36" s="705" t="s">
        <v>14</v>
      </c>
      <c r="S36" s="706">
        <f t="shared" si="12"/>
        <v>100</v>
      </c>
      <c r="T36" s="705" t="s">
        <v>14</v>
      </c>
      <c r="U36" s="706">
        <f t="shared" si="13"/>
        <v>100</v>
      </c>
      <c r="V36" s="705" t="s">
        <v>14</v>
      </c>
      <c r="W36" s="706">
        <f t="shared" si="14"/>
        <v>100</v>
      </c>
      <c r="X36" s="1355"/>
      <c r="Y36" s="3721"/>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14" t="str">
        <f>A37</f>
        <v>成交单价</v>
      </c>
      <c r="Q37" s="3714"/>
      <c r="R37" s="3715">
        <f>E37</f>
        <v>0</v>
      </c>
      <c r="S37" s="3715"/>
      <c r="T37" s="3715">
        <f>G37</f>
        <v>0</v>
      </c>
      <c r="U37" s="3715"/>
      <c r="V37" s="3715">
        <f>I37</f>
        <v>0</v>
      </c>
      <c r="W37" s="3715"/>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1" t="str">
        <f>A39</f>
        <v>估价对象XX用房的比较价值（楼面单价，元/平方米）</v>
      </c>
      <c r="Q39" s="3712"/>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30"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30" s="108" customFormat="1" ht="15.75" thickBot="1">
      <c r="A7" s="362" t="s">
        <v>1679</v>
      </c>
      <c r="B7" s="363"/>
      <c r="C7" s="364">
        <f>'数据-取费表'!B2</f>
        <v>45804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14"/>
      <c r="Q10" s="1343" t="str">
        <f t="shared" si="6"/>
        <v>土地使用年限（年）</v>
      </c>
      <c r="R10" s="701" t="s">
        <v>14</v>
      </c>
      <c r="S10" s="702">
        <f t="shared" si="0"/>
        <v>123</v>
      </c>
      <c r="T10" s="701" t="s">
        <v>14</v>
      </c>
      <c r="U10" s="702">
        <f t="shared" si="1"/>
        <v>123</v>
      </c>
      <c r="V10" s="701" t="s">
        <v>14</v>
      </c>
      <c r="W10" s="702">
        <f t="shared" si="2"/>
        <v>123</v>
      </c>
      <c r="X10" s="703"/>
      <c r="Y10" s="3626"/>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4"/>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6" t="s">
        <v>1691</v>
      </c>
      <c r="Q15" s="1352" t="str">
        <f t="shared" si="6"/>
        <v>居住社区成熟度</v>
      </c>
      <c r="R15" s="705" t="s">
        <v>14</v>
      </c>
      <c r="S15" s="706">
        <f t="shared" si="0"/>
        <v>100</v>
      </c>
      <c r="T15" s="705" t="s">
        <v>14</v>
      </c>
      <c r="U15" s="706">
        <f t="shared" si="1"/>
        <v>100</v>
      </c>
      <c r="V15" s="705" t="s">
        <v>14</v>
      </c>
      <c r="W15" s="706">
        <f t="shared" si="2"/>
        <v>100</v>
      </c>
      <c r="X15" s="1355"/>
      <c r="Y15" s="371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7"/>
      <c r="Q16" s="1352"/>
      <c r="R16" s="705"/>
      <c r="S16" s="706"/>
      <c r="T16" s="705"/>
      <c r="U16" s="706"/>
      <c r="V16" s="705"/>
      <c r="W16" s="706"/>
      <c r="X16" s="1355"/>
      <c r="Y16" s="371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7"/>
      <c r="Q17" s="1352" t="str">
        <f>B17</f>
        <v>商业繁华度</v>
      </c>
      <c r="R17" s="705" t="s">
        <v>14</v>
      </c>
      <c r="S17" s="706">
        <f>F17</f>
        <v>100</v>
      </c>
      <c r="T17" s="705" t="s">
        <v>14</v>
      </c>
      <c r="U17" s="706">
        <f>H17</f>
        <v>100</v>
      </c>
      <c r="V17" s="705" t="s">
        <v>14</v>
      </c>
      <c r="W17" s="706">
        <f>J17</f>
        <v>100</v>
      </c>
      <c r="X17" s="1355"/>
      <c r="Y17" s="371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7"/>
      <c r="Q18" s="1352"/>
      <c r="R18" s="705"/>
      <c r="S18" s="706"/>
      <c r="T18" s="705"/>
      <c r="U18" s="706"/>
      <c r="V18" s="705"/>
      <c r="W18" s="706"/>
      <c r="X18" s="1355"/>
      <c r="Y18" s="371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7"/>
      <c r="Q19" s="1352" t="str">
        <f>B19</f>
        <v>办公集聚程度</v>
      </c>
      <c r="R19" s="705" t="s">
        <v>14</v>
      </c>
      <c r="S19" s="706">
        <f>F19</f>
        <v>100</v>
      </c>
      <c r="T19" s="705" t="s">
        <v>14</v>
      </c>
      <c r="U19" s="706">
        <f>H19</f>
        <v>100</v>
      </c>
      <c r="V19" s="705" t="s">
        <v>14</v>
      </c>
      <c r="W19" s="706">
        <f>J19</f>
        <v>100</v>
      </c>
      <c r="X19" s="1355"/>
      <c r="Y19" s="371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7"/>
      <c r="Q20" s="1352"/>
      <c r="R20" s="705"/>
      <c r="S20" s="706"/>
      <c r="T20" s="705"/>
      <c r="U20" s="706"/>
      <c r="V20" s="705"/>
      <c r="W20" s="706"/>
      <c r="X20" s="1355"/>
      <c r="Y20" s="371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7"/>
      <c r="Q21" s="1352" t="str">
        <f>B21</f>
        <v>交通便捷度</v>
      </c>
      <c r="R21" s="705" t="s">
        <v>14</v>
      </c>
      <c r="S21" s="706">
        <f>F21</f>
        <v>100</v>
      </c>
      <c r="T21" s="705" t="s">
        <v>14</v>
      </c>
      <c r="U21" s="706">
        <f>H21</f>
        <v>100</v>
      </c>
      <c r="V21" s="705" t="s">
        <v>14</v>
      </c>
      <c r="W21" s="706">
        <f>J21</f>
        <v>100</v>
      </c>
      <c r="X21" s="1355"/>
      <c r="Y21" s="371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7"/>
      <c r="Q22" s="1352"/>
      <c r="R22" s="705"/>
      <c r="S22" s="706"/>
      <c r="T22" s="705"/>
      <c r="U22" s="706"/>
      <c r="V22" s="705"/>
      <c r="W22" s="706"/>
      <c r="X22" s="1355"/>
      <c r="Y22" s="371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7"/>
      <c r="Q23" s="1352" t="str">
        <f t="shared" ref="Q23:Q37" si="8">B23</f>
        <v>区域土地利用方向</v>
      </c>
      <c r="R23" s="705" t="s">
        <v>14</v>
      </c>
      <c r="S23" s="706">
        <f>F23</f>
        <v>100</v>
      </c>
      <c r="T23" s="705" t="s">
        <v>14</v>
      </c>
      <c r="U23" s="706">
        <f>H23</f>
        <v>100</v>
      </c>
      <c r="V23" s="705" t="s">
        <v>14</v>
      </c>
      <c r="W23" s="706">
        <f>J23</f>
        <v>100</v>
      </c>
      <c r="X23" s="1355"/>
      <c r="Y23" s="371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7"/>
      <c r="Q24" s="1352"/>
      <c r="R24" s="705"/>
      <c r="S24" s="706"/>
      <c r="T24" s="705"/>
      <c r="U24" s="706"/>
      <c r="V24" s="705"/>
      <c r="W24" s="706"/>
      <c r="X24" s="1355"/>
      <c r="Y24" s="371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7"/>
      <c r="Q25" s="1352" t="str">
        <f t="shared" si="8"/>
        <v>自然及人文环境状况</v>
      </c>
      <c r="R25" s="705" t="s">
        <v>14</v>
      </c>
      <c r="S25" s="706">
        <f>F25</f>
        <v>100</v>
      </c>
      <c r="T25" s="705" t="s">
        <v>14</v>
      </c>
      <c r="U25" s="706">
        <f>H25</f>
        <v>100</v>
      </c>
      <c r="V25" s="705" t="s">
        <v>14</v>
      </c>
      <c r="W25" s="706">
        <f>J25</f>
        <v>100</v>
      </c>
      <c r="X25" s="1355"/>
      <c r="Y25" s="371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7"/>
      <c r="Q26" s="1352"/>
      <c r="R26" s="705"/>
      <c r="S26" s="706"/>
      <c r="T26" s="705"/>
      <c r="U26" s="706"/>
      <c r="V26" s="705"/>
      <c r="W26" s="706"/>
      <c r="X26" s="1355"/>
      <c r="Y26" s="371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7"/>
      <c r="Q27" s="1343" t="str">
        <f t="shared" si="8"/>
        <v>公共配套设施</v>
      </c>
      <c r="R27" s="701" t="s">
        <v>14</v>
      </c>
      <c r="S27" s="702">
        <f>F27</f>
        <v>100</v>
      </c>
      <c r="T27" s="701" t="s">
        <v>14</v>
      </c>
      <c r="U27" s="702">
        <f>H27</f>
        <v>100</v>
      </c>
      <c r="V27" s="701" t="s">
        <v>14</v>
      </c>
      <c r="W27" s="702">
        <f>J27</f>
        <v>100</v>
      </c>
      <c r="X27" s="703"/>
      <c r="Y27" s="371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7"/>
      <c r="Q28" s="1343"/>
      <c r="R28" s="701"/>
      <c r="S28" s="702"/>
      <c r="T28" s="701"/>
      <c r="U28" s="702"/>
      <c r="V28" s="701"/>
      <c r="W28" s="702"/>
      <c r="X28" s="703"/>
      <c r="Y28" s="371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7"/>
      <c r="Q29" s="1343"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7"/>
      <c r="Q30" s="1343"/>
      <c r="R30" s="701"/>
      <c r="S30" s="702"/>
      <c r="T30" s="701"/>
      <c r="U30" s="702"/>
      <c r="V30" s="701"/>
      <c r="W30" s="702"/>
      <c r="X30" s="703"/>
      <c r="Y30" s="371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7"/>
      <c r="Q32" s="1352" t="str">
        <f t="shared" si="8"/>
        <v>毗邻道路的类型与等级</v>
      </c>
      <c r="R32" s="705" t="s">
        <v>14</v>
      </c>
      <c r="S32" s="706">
        <f t="shared" si="10"/>
        <v>100</v>
      </c>
      <c r="T32" s="705" t="s">
        <v>14</v>
      </c>
      <c r="U32" s="706">
        <f t="shared" si="11"/>
        <v>100</v>
      </c>
      <c r="V32" s="705" t="s">
        <v>14</v>
      </c>
      <c r="W32" s="706">
        <f t="shared" si="12"/>
        <v>100</v>
      </c>
      <c r="X32" s="1355"/>
      <c r="Y32" s="371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7"/>
      <c r="Q33" s="1352"/>
      <c r="R33" s="705"/>
      <c r="S33" s="706"/>
      <c r="T33" s="705"/>
      <c r="U33" s="706"/>
      <c r="V33" s="705"/>
      <c r="W33" s="706"/>
      <c r="X33" s="1355"/>
      <c r="Y33" s="371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7"/>
      <c r="Q34" s="1352" t="str">
        <f t="shared" si="8"/>
        <v>土地级别</v>
      </c>
      <c r="R34" s="705" t="s">
        <v>14</v>
      </c>
      <c r="S34" s="706">
        <f t="shared" si="10"/>
        <v>100</v>
      </c>
      <c r="T34" s="705" t="s">
        <v>14</v>
      </c>
      <c r="U34" s="706">
        <f t="shared" si="11"/>
        <v>100</v>
      </c>
      <c r="V34" s="705" t="s">
        <v>14</v>
      </c>
      <c r="W34" s="706">
        <f t="shared" si="12"/>
        <v>100</v>
      </c>
      <c r="X34" s="1355"/>
      <c r="Y34" s="371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7"/>
      <c r="Q35" s="1352">
        <f t="shared" si="8"/>
        <v>111</v>
      </c>
      <c r="R35" s="705" t="s">
        <v>14</v>
      </c>
      <c r="S35" s="706">
        <f t="shared" si="10"/>
        <v>100</v>
      </c>
      <c r="T35" s="705" t="s">
        <v>14</v>
      </c>
      <c r="U35" s="706">
        <f t="shared" si="11"/>
        <v>100</v>
      </c>
      <c r="V35" s="705" t="s">
        <v>14</v>
      </c>
      <c r="W35" s="706">
        <f t="shared" si="12"/>
        <v>100</v>
      </c>
      <c r="X35" s="1355"/>
      <c r="Y35" s="371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72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1"/>
      <c r="Q37" s="1352">
        <f t="shared" si="8"/>
        <v>111</v>
      </c>
      <c r="R37" s="708" t="s">
        <v>14</v>
      </c>
      <c r="S37" s="709">
        <f t="shared" si="10"/>
        <v>100</v>
      </c>
      <c r="T37" s="708" t="s">
        <v>14</v>
      </c>
      <c r="U37" s="709">
        <f t="shared" si="11"/>
        <v>100</v>
      </c>
      <c r="V37" s="708" t="s">
        <v>14</v>
      </c>
      <c r="W37" s="709">
        <f t="shared" si="12"/>
        <v>100</v>
      </c>
      <c r="X37" s="710"/>
      <c r="Y37" s="372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1"/>
      <c r="Q38" s="1352" t="str">
        <f>B38</f>
        <v>宗地面积</v>
      </c>
      <c r="R38" s="705" t="s">
        <v>14</v>
      </c>
      <c r="S38" s="706" t="e">
        <f t="shared" si="10"/>
        <v>#N/A</v>
      </c>
      <c r="T38" s="705" t="s">
        <v>14</v>
      </c>
      <c r="U38" s="706" t="e">
        <f t="shared" si="11"/>
        <v>#N/A</v>
      </c>
      <c r="V38" s="705" t="s">
        <v>14</v>
      </c>
      <c r="W38" s="706" t="e">
        <f t="shared" si="12"/>
        <v>#N/A</v>
      </c>
      <c r="X38" s="1355"/>
      <c r="Y38" s="372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1"/>
      <c r="Q39" s="1352" t="str">
        <f t="shared" ref="Q39:Q45" si="14">B39</f>
        <v>宗地形状</v>
      </c>
      <c r="R39" s="705" t="s">
        <v>14</v>
      </c>
      <c r="S39" s="706">
        <f t="shared" si="10"/>
        <v>100</v>
      </c>
      <c r="T39" s="705" t="s">
        <v>14</v>
      </c>
      <c r="U39" s="706">
        <f t="shared" si="11"/>
        <v>100</v>
      </c>
      <c r="V39" s="705" t="s">
        <v>14</v>
      </c>
      <c r="W39" s="706">
        <f t="shared" si="12"/>
        <v>100</v>
      </c>
      <c r="X39" s="1355"/>
      <c r="Y39" s="372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1"/>
      <c r="Q40" s="1352" t="str">
        <f t="shared" si="14"/>
        <v>临街宽度及深度</v>
      </c>
      <c r="R40" s="705" t="s">
        <v>14</v>
      </c>
      <c r="S40" s="706">
        <f t="shared" si="10"/>
        <v>100</v>
      </c>
      <c r="T40" s="705" t="s">
        <v>14</v>
      </c>
      <c r="U40" s="706">
        <f t="shared" si="11"/>
        <v>100</v>
      </c>
      <c r="V40" s="705" t="s">
        <v>14</v>
      </c>
      <c r="W40" s="706">
        <f t="shared" si="12"/>
        <v>100</v>
      </c>
      <c r="X40" s="1355"/>
      <c r="Y40" s="372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1"/>
      <c r="Q41" s="1352" t="str">
        <f t="shared" si="14"/>
        <v>宗地开发程度</v>
      </c>
      <c r="R41" s="701" t="s">
        <v>14</v>
      </c>
      <c r="S41" s="702">
        <f t="shared" si="10"/>
        <v>100</v>
      </c>
      <c r="T41" s="701" t="s">
        <v>14</v>
      </c>
      <c r="U41" s="702">
        <f t="shared" si="11"/>
        <v>100</v>
      </c>
      <c r="V41" s="701" t="s">
        <v>14</v>
      </c>
      <c r="W41" s="702">
        <f t="shared" si="12"/>
        <v>100</v>
      </c>
      <c r="X41" s="703"/>
      <c r="Y41" s="372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1" t="s">
        <v>1696</v>
      </c>
      <c r="Q42" s="1352" t="str">
        <f t="shared" si="14"/>
        <v>工程地质条件</v>
      </c>
      <c r="R42" s="705" t="s">
        <v>14</v>
      </c>
      <c r="S42" s="706">
        <f t="shared" si="10"/>
        <v>100</v>
      </c>
      <c r="T42" s="705" t="s">
        <v>14</v>
      </c>
      <c r="U42" s="706">
        <f t="shared" si="11"/>
        <v>100</v>
      </c>
      <c r="V42" s="705" t="s">
        <v>14</v>
      </c>
      <c r="W42" s="706">
        <f t="shared" si="12"/>
        <v>100</v>
      </c>
      <c r="X42" s="1355"/>
      <c r="Y42" s="372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1"/>
      <c r="Q43" s="1352">
        <f t="shared" si="14"/>
        <v>111</v>
      </c>
      <c r="R43" s="705" t="s">
        <v>14</v>
      </c>
      <c r="S43" s="706">
        <f t="shared" si="10"/>
        <v>100</v>
      </c>
      <c r="T43" s="705" t="s">
        <v>14</v>
      </c>
      <c r="U43" s="706">
        <f t="shared" si="11"/>
        <v>100</v>
      </c>
      <c r="V43" s="705" t="s">
        <v>14</v>
      </c>
      <c r="W43" s="706">
        <f t="shared" si="12"/>
        <v>100</v>
      </c>
      <c r="X43" s="1355"/>
      <c r="Y43" s="372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1"/>
      <c r="Q44" s="1352">
        <f t="shared" si="14"/>
        <v>111</v>
      </c>
      <c r="R44" s="705" t="s">
        <v>14</v>
      </c>
      <c r="S44" s="706">
        <f t="shared" si="10"/>
        <v>100</v>
      </c>
      <c r="T44" s="705" t="s">
        <v>14</v>
      </c>
      <c r="U44" s="706">
        <f t="shared" si="11"/>
        <v>100</v>
      </c>
      <c r="V44" s="705" t="s">
        <v>14</v>
      </c>
      <c r="W44" s="706">
        <f t="shared" si="12"/>
        <v>100</v>
      </c>
      <c r="X44" s="1355"/>
      <c r="Y44" s="372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1"/>
      <c r="Q45" s="1352">
        <f t="shared" si="14"/>
        <v>111</v>
      </c>
      <c r="R45" s="708" t="s">
        <v>14</v>
      </c>
      <c r="S45" s="709">
        <f t="shared" si="10"/>
        <v>100</v>
      </c>
      <c r="T45" s="708" t="s">
        <v>14</v>
      </c>
      <c r="U45" s="709">
        <f t="shared" si="11"/>
        <v>100</v>
      </c>
      <c r="V45" s="708" t="s">
        <v>14</v>
      </c>
      <c r="W45" s="709">
        <f t="shared" si="12"/>
        <v>100</v>
      </c>
      <c r="X45" s="710"/>
      <c r="Y45" s="372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4" t="str">
        <f>A46</f>
        <v>成交单价</v>
      </c>
      <c r="Q46" s="3714"/>
      <c r="R46" s="3709">
        <f>E46</f>
        <v>0</v>
      </c>
      <c r="S46" s="3709"/>
      <c r="T46" s="3709">
        <f>G46</f>
        <v>0</v>
      </c>
      <c r="U46" s="3709"/>
      <c r="V46" s="3709">
        <f>I46</f>
        <v>0</v>
      </c>
      <c r="W46" s="3709"/>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14" t="str">
        <f>A47</f>
        <v>比较价值（元/平方米）</v>
      </c>
      <c r="Q47" s="3714"/>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1" t="str">
        <f>A48</f>
        <v>估价对象XX用房的比较价值（楼面单价，元/平方米）</v>
      </c>
      <c r="Q48" s="3712"/>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96"/>
      <c r="H56" s="371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40.630000000000003</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40.630000000000003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45804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14"/>
      <c r="Q10" s="1343" t="str">
        <f t="shared" si="6"/>
        <v>土地使用年限（年）</v>
      </c>
      <c r="R10" s="701" t="s">
        <v>14</v>
      </c>
      <c r="S10" s="702">
        <f t="shared" si="0"/>
        <v>123</v>
      </c>
      <c r="T10" s="701" t="s">
        <v>14</v>
      </c>
      <c r="U10" s="702">
        <f t="shared" si="1"/>
        <v>123</v>
      </c>
      <c r="V10" s="701" t="s">
        <v>14</v>
      </c>
      <c r="W10" s="702">
        <f t="shared" si="2"/>
        <v>123</v>
      </c>
      <c r="X10" s="703"/>
      <c r="Y10" s="3626"/>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7"/>
      <c r="Q16" s="1352"/>
      <c r="R16" s="705"/>
      <c r="S16" s="706"/>
      <c r="T16" s="705"/>
      <c r="U16" s="706"/>
      <c r="V16" s="705"/>
      <c r="W16" s="706"/>
      <c r="X16" s="1355"/>
      <c r="Y16" s="371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7"/>
      <c r="Q18" s="1352"/>
      <c r="R18" s="705"/>
      <c r="S18" s="706"/>
      <c r="T18" s="705"/>
      <c r="U18" s="706"/>
      <c r="V18" s="705"/>
      <c r="W18" s="706"/>
      <c r="X18" s="1355"/>
      <c r="Y18" s="371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7"/>
      <c r="Q19" s="1352" t="str">
        <f t="shared" ref="Q19:Q33" si="8">B19</f>
        <v>区域土地利用方向</v>
      </c>
      <c r="R19" s="705" t="s">
        <v>14</v>
      </c>
      <c r="S19" s="706">
        <f>F19</f>
        <v>100</v>
      </c>
      <c r="T19" s="705" t="s">
        <v>14</v>
      </c>
      <c r="U19" s="706">
        <f>H19</f>
        <v>100</v>
      </c>
      <c r="V19" s="705" t="s">
        <v>14</v>
      </c>
      <c r="W19" s="706">
        <f>J19</f>
        <v>100</v>
      </c>
      <c r="X19" s="1355"/>
      <c r="Y19" s="371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7"/>
      <c r="Q20" s="1352"/>
      <c r="R20" s="705"/>
      <c r="S20" s="706"/>
      <c r="T20" s="705"/>
      <c r="U20" s="706"/>
      <c r="V20" s="705"/>
      <c r="W20" s="706"/>
      <c r="X20" s="1355"/>
      <c r="Y20" s="371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7"/>
      <c r="Q21" s="1352" t="str">
        <f t="shared" si="8"/>
        <v>环境状况</v>
      </c>
      <c r="R21" s="705" t="s">
        <v>14</v>
      </c>
      <c r="S21" s="706">
        <f>F21</f>
        <v>100</v>
      </c>
      <c r="T21" s="705" t="s">
        <v>14</v>
      </c>
      <c r="U21" s="706">
        <f>H21</f>
        <v>100</v>
      </c>
      <c r="V21" s="705" t="s">
        <v>14</v>
      </c>
      <c r="W21" s="706">
        <f>J21</f>
        <v>100</v>
      </c>
      <c r="X21" s="1355"/>
      <c r="Y21" s="371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7"/>
      <c r="Q22" s="1352"/>
      <c r="R22" s="705"/>
      <c r="S22" s="706"/>
      <c r="T22" s="705"/>
      <c r="U22" s="706"/>
      <c r="V22" s="705"/>
      <c r="W22" s="706"/>
      <c r="X22" s="1355"/>
      <c r="Y22" s="371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7"/>
      <c r="Q23" s="1343" t="str">
        <f t="shared" si="8"/>
        <v>公共配套设施</v>
      </c>
      <c r="R23" s="701" t="s">
        <v>14</v>
      </c>
      <c r="S23" s="702">
        <f>F23</f>
        <v>100</v>
      </c>
      <c r="T23" s="701" t="s">
        <v>14</v>
      </c>
      <c r="U23" s="702">
        <f>H23</f>
        <v>100</v>
      </c>
      <c r="V23" s="701" t="s">
        <v>14</v>
      </c>
      <c r="W23" s="702">
        <f>J23</f>
        <v>100</v>
      </c>
      <c r="X23" s="703"/>
      <c r="Y23" s="371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7"/>
      <c r="Q24" s="1343"/>
      <c r="R24" s="701"/>
      <c r="S24" s="702"/>
      <c r="T24" s="701"/>
      <c r="U24" s="702"/>
      <c r="V24" s="701"/>
      <c r="W24" s="702"/>
      <c r="X24" s="703"/>
      <c r="Y24" s="371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7"/>
      <c r="Q25" s="1343"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7"/>
      <c r="Q26" s="1343"/>
      <c r="R26" s="701"/>
      <c r="S26" s="702"/>
      <c r="T26" s="701"/>
      <c r="U26" s="702"/>
      <c r="V26" s="701"/>
      <c r="W26" s="702"/>
      <c r="X26" s="703"/>
      <c r="Y26" s="371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7"/>
      <c r="Q28" s="1352" t="str">
        <f t="shared" si="8"/>
        <v>毗邻道路的类型与等级</v>
      </c>
      <c r="R28" s="705" t="s">
        <v>14</v>
      </c>
      <c r="S28" s="706">
        <f t="shared" si="10"/>
        <v>100</v>
      </c>
      <c r="T28" s="705" t="s">
        <v>14</v>
      </c>
      <c r="U28" s="706">
        <f t="shared" si="11"/>
        <v>100</v>
      </c>
      <c r="V28" s="705" t="s">
        <v>14</v>
      </c>
      <c r="W28" s="706">
        <f t="shared" si="12"/>
        <v>100</v>
      </c>
      <c r="X28" s="1355"/>
      <c r="Y28" s="371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7"/>
      <c r="Q29" s="1352"/>
      <c r="R29" s="705"/>
      <c r="S29" s="706"/>
      <c r="T29" s="705"/>
      <c r="U29" s="706"/>
      <c r="V29" s="705"/>
      <c r="W29" s="706"/>
      <c r="X29" s="1355"/>
      <c r="Y29" s="371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7"/>
      <c r="Q30" s="1352" t="str">
        <f t="shared" si="8"/>
        <v>土地级别</v>
      </c>
      <c r="R30" s="705" t="s">
        <v>14</v>
      </c>
      <c r="S30" s="706">
        <f t="shared" si="10"/>
        <v>100</v>
      </c>
      <c r="T30" s="705" t="s">
        <v>14</v>
      </c>
      <c r="U30" s="706">
        <f t="shared" si="11"/>
        <v>100</v>
      </c>
      <c r="V30" s="705" t="s">
        <v>14</v>
      </c>
      <c r="W30" s="706">
        <f t="shared" si="12"/>
        <v>100</v>
      </c>
      <c r="X30" s="1355"/>
      <c r="Y30" s="371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7"/>
      <c r="Q31" s="1352">
        <f t="shared" si="8"/>
        <v>111</v>
      </c>
      <c r="R31" s="705" t="s">
        <v>14</v>
      </c>
      <c r="S31" s="706">
        <f t="shared" si="10"/>
        <v>100</v>
      </c>
      <c r="T31" s="705" t="s">
        <v>14</v>
      </c>
      <c r="U31" s="706">
        <f t="shared" si="11"/>
        <v>100</v>
      </c>
      <c r="V31" s="705" t="s">
        <v>14</v>
      </c>
      <c r="W31" s="706">
        <f t="shared" si="12"/>
        <v>100</v>
      </c>
      <c r="X31" s="1355"/>
      <c r="Y31" s="371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72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1"/>
      <c r="Q33" s="1352">
        <f t="shared" si="8"/>
        <v>111</v>
      </c>
      <c r="R33" s="708" t="s">
        <v>14</v>
      </c>
      <c r="S33" s="709">
        <f t="shared" si="10"/>
        <v>100</v>
      </c>
      <c r="T33" s="708" t="s">
        <v>14</v>
      </c>
      <c r="U33" s="709">
        <f t="shared" si="11"/>
        <v>100</v>
      </c>
      <c r="V33" s="708" t="s">
        <v>14</v>
      </c>
      <c r="W33" s="709">
        <f t="shared" si="12"/>
        <v>100</v>
      </c>
      <c r="X33" s="710"/>
      <c r="Y33" s="372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1"/>
      <c r="Q34" s="1352" t="str">
        <f>B34</f>
        <v>宗地面积</v>
      </c>
      <c r="R34" s="705" t="s">
        <v>14</v>
      </c>
      <c r="S34" s="706" t="e">
        <f t="shared" si="10"/>
        <v>#N/A</v>
      </c>
      <c r="T34" s="705" t="s">
        <v>14</v>
      </c>
      <c r="U34" s="706" t="e">
        <f t="shared" si="11"/>
        <v>#N/A</v>
      </c>
      <c r="V34" s="705" t="s">
        <v>14</v>
      </c>
      <c r="W34" s="706" t="e">
        <f t="shared" si="12"/>
        <v>#N/A</v>
      </c>
      <c r="X34" s="1355"/>
      <c r="Y34" s="372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1"/>
      <c r="Q35" s="1352" t="str">
        <f t="shared" ref="Q35:Q40" si="14">B35</f>
        <v>宗地形状</v>
      </c>
      <c r="R35" s="705" t="s">
        <v>14</v>
      </c>
      <c r="S35" s="706">
        <f t="shared" si="10"/>
        <v>100</v>
      </c>
      <c r="T35" s="705" t="s">
        <v>14</v>
      </c>
      <c r="U35" s="706">
        <f t="shared" si="11"/>
        <v>100</v>
      </c>
      <c r="V35" s="705" t="s">
        <v>14</v>
      </c>
      <c r="W35" s="706">
        <f t="shared" si="12"/>
        <v>100</v>
      </c>
      <c r="X35" s="1355"/>
      <c r="Y35" s="372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1"/>
      <c r="Q36" s="1352"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1" t="s">
        <v>1696</v>
      </c>
      <c r="Q37" s="1352" t="str">
        <f t="shared" si="14"/>
        <v>工程地质条件</v>
      </c>
      <c r="R37" s="705" t="s">
        <v>14</v>
      </c>
      <c r="S37" s="706">
        <f t="shared" si="10"/>
        <v>100</v>
      </c>
      <c r="T37" s="705" t="s">
        <v>14</v>
      </c>
      <c r="U37" s="706">
        <f t="shared" si="11"/>
        <v>100</v>
      </c>
      <c r="V37" s="705" t="s">
        <v>14</v>
      </c>
      <c r="W37" s="706">
        <f t="shared" si="12"/>
        <v>100</v>
      </c>
      <c r="X37" s="1355"/>
      <c r="Y37" s="372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1"/>
      <c r="Q38" s="1352">
        <f t="shared" si="14"/>
        <v>111</v>
      </c>
      <c r="R38" s="705" t="s">
        <v>14</v>
      </c>
      <c r="S38" s="706">
        <f t="shared" si="10"/>
        <v>100</v>
      </c>
      <c r="T38" s="705" t="s">
        <v>14</v>
      </c>
      <c r="U38" s="706">
        <f t="shared" si="11"/>
        <v>100</v>
      </c>
      <c r="V38" s="705" t="s">
        <v>14</v>
      </c>
      <c r="W38" s="706">
        <f t="shared" si="12"/>
        <v>100</v>
      </c>
      <c r="X38" s="1355"/>
      <c r="Y38" s="372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1"/>
      <c r="Q39" s="1352">
        <f t="shared" si="14"/>
        <v>111</v>
      </c>
      <c r="R39" s="705" t="s">
        <v>14</v>
      </c>
      <c r="S39" s="706">
        <f t="shared" si="10"/>
        <v>100</v>
      </c>
      <c r="T39" s="705" t="s">
        <v>14</v>
      </c>
      <c r="U39" s="706">
        <f t="shared" si="11"/>
        <v>100</v>
      </c>
      <c r="V39" s="705" t="s">
        <v>14</v>
      </c>
      <c r="W39" s="706">
        <f t="shared" si="12"/>
        <v>100</v>
      </c>
      <c r="X39" s="1355"/>
      <c r="Y39" s="372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1"/>
      <c r="Q40" s="1352">
        <f t="shared" si="14"/>
        <v>111</v>
      </c>
      <c r="R40" s="708" t="s">
        <v>14</v>
      </c>
      <c r="S40" s="709">
        <f t="shared" si="10"/>
        <v>100</v>
      </c>
      <c r="T40" s="708" t="s">
        <v>14</v>
      </c>
      <c r="U40" s="709">
        <f t="shared" si="11"/>
        <v>100</v>
      </c>
      <c r="V40" s="708" t="s">
        <v>14</v>
      </c>
      <c r="W40" s="709">
        <f t="shared" si="12"/>
        <v>100</v>
      </c>
      <c r="X40" s="710"/>
      <c r="Y40" s="372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4" t="str">
        <f>A41</f>
        <v>成交单价</v>
      </c>
      <c r="Q41" s="3714"/>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14" t="str">
        <f>A42</f>
        <v>比较价值（元/平方米）</v>
      </c>
      <c r="Q42" s="3714"/>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1" t="str">
        <f>A43</f>
        <v>估价对象XX用房的比较价值（楼面单价，元/平方米）</v>
      </c>
      <c r="Q43" s="3712"/>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96"/>
      <c r="H51" s="371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40.630000000000003</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selection activeCell="W25" sqref="W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0(含)-20</v>
      </c>
      <c r="D2" s="653" t="str">
        <f t="shared" si="0"/>
        <v>20(含)-40</v>
      </c>
      <c r="E2" s="653" t="str">
        <f t="shared" si="0"/>
        <v>40(含)-60</v>
      </c>
      <c r="F2" s="653" t="str">
        <f t="shared" si="0"/>
        <v>60(含)-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f>'比较法-仓储'!C87</f>
        <v>0</v>
      </c>
      <c r="D3" s="657">
        <f>'比较法-仓储'!D87</f>
        <v>20</v>
      </c>
      <c r="E3" s="657">
        <f>'比较法-仓储'!E87</f>
        <v>40</v>
      </c>
      <c r="F3" s="657">
        <f>'比较法-仓储'!F87</f>
        <v>60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'比较法-仓储'!C88</f>
        <v>100</v>
      </c>
      <c r="D4" s="989">
        <f>'比较法-仓储'!D88</f>
        <v>101</v>
      </c>
      <c r="E4" s="989">
        <f>'比较法-仓储'!E88</f>
        <v>102</v>
      </c>
      <c r="F4" s="989">
        <f>'比较法-仓储'!F88</f>
        <v>103</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hidden="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hidden="1"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idden="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hidden="1"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hidden="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hidden="1"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t="s">
        <v>3464</v>
      </c>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722</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8857</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815.19</v>
      </c>
      <c r="C22" s="3749" t="s">
        <v>27</v>
      </c>
      <c r="D22" s="3750"/>
      <c r="E22" s="3750"/>
      <c r="F22" s="3750"/>
      <c r="G22" s="3750"/>
      <c r="H22" s="3750"/>
      <c r="I22" s="3750"/>
      <c r="J22" s="3750"/>
      <c r="K22" s="3750"/>
      <c r="L22" s="3750"/>
      <c r="M22" s="3750"/>
      <c r="N22" s="3750"/>
      <c r="O22" s="3750"/>
      <c r="P22" s="3750"/>
      <c r="Q22" s="3751"/>
      <c r="R22" s="663">
        <f ca="1">ROUND(S22*10000/B22,0)</f>
        <v>8857</v>
      </c>
      <c r="S22" s="21">
        <f ca="1">SUM(S24:S10000)</f>
        <v>722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清单!E3</f>
        <v>1</v>
      </c>
      <c r="B24" s="665">
        <f>清单!F3</f>
        <v>40.630000000000003</v>
      </c>
      <c r="C24" s="2810">
        <v>1</v>
      </c>
      <c r="D24" s="2811"/>
      <c r="E24" s="2810">
        <v>1</v>
      </c>
      <c r="F24" s="2811"/>
      <c r="G24" s="2810">
        <v>1</v>
      </c>
      <c r="H24" s="2811"/>
      <c r="I24" s="2810">
        <v>1</v>
      </c>
      <c r="J24" s="2811"/>
      <c r="K24" s="2810">
        <v>1</v>
      </c>
      <c r="L24" s="2811"/>
      <c r="M24" s="2810">
        <v>1</v>
      </c>
      <c r="N24" s="2811"/>
      <c r="O24" s="2810">
        <v>1</v>
      </c>
      <c r="P24" s="2811" t="s">
        <v>3465</v>
      </c>
      <c r="Q24" s="2810">
        <v>1</v>
      </c>
      <c r="R24" s="668">
        <f ca="1">结果表!G20</f>
        <v>8955</v>
      </c>
      <c r="S24" s="666">
        <f t="shared" ref="S24:S54" ca="1" si="11">ROUND(R24*B24/10000,0)</f>
        <v>36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清单!E4</f>
        <v>2</v>
      </c>
      <c r="B25" s="665">
        <f>清单!F4</f>
        <v>40.630000000000003</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2811" t="s">
        <v>3465</v>
      </c>
      <c r="Q25" s="21">
        <f>(SUMIF($17:$17,P25,$18:$18)-SUMIF($17:$17,$P$24,$18:$18)+100)/100</f>
        <v>1</v>
      </c>
      <c r="R25" s="663">
        <f ca="1">IF(B25="",0,ROUND($R$24*C25*E25*G25*I25*K25*M25*O25*Q25,0))</f>
        <v>8955</v>
      </c>
      <c r="S25" s="316">
        <f t="shared" ca="1" si="11"/>
        <v>36</v>
      </c>
    </row>
    <row r="26" spans="1:45">
      <c r="A26" s="665">
        <f>清单!E5</f>
        <v>3</v>
      </c>
      <c r="B26" s="665">
        <f>清单!F5</f>
        <v>31.1</v>
      </c>
      <c r="C26" s="21">
        <f t="shared" ref="C26:C89" si="12">IF(B26="",1,(LOOKUP(B26,$3:$3,$4:$4)-LOOKUP($B$24,$3:$3,$4:$4)+100)/100)</f>
        <v>0.99</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2811" t="s">
        <v>3465</v>
      </c>
      <c r="Q26" s="21">
        <f t="shared" ref="Q26:Q89" si="19">(SUMIF($17:$17,P26,$18:$18)-SUMIF($17:$17,$P$24,$18:$18)+100)/100</f>
        <v>1</v>
      </c>
      <c r="R26" s="663">
        <f t="shared" ref="R26:R89" ca="1" si="20">IF(B26="",0,ROUND($R$24*C26*E26*G26*I26*K26*M26*O26*Q26,0))</f>
        <v>8865</v>
      </c>
      <c r="S26" s="316">
        <f t="shared" ca="1" si="11"/>
        <v>28</v>
      </c>
    </row>
    <row r="27" spans="1:45">
      <c r="A27" s="665">
        <f>清单!E6</f>
        <v>4</v>
      </c>
      <c r="B27" s="665">
        <f>清单!F6</f>
        <v>28.39</v>
      </c>
      <c r="C27" s="21">
        <f t="shared" si="12"/>
        <v>0.99</v>
      </c>
      <c r="D27" s="667"/>
      <c r="E27" s="21">
        <f t="shared" si="13"/>
        <v>1</v>
      </c>
      <c r="F27" s="667"/>
      <c r="G27" s="21">
        <f t="shared" si="14"/>
        <v>1</v>
      </c>
      <c r="H27" s="667"/>
      <c r="I27" s="21">
        <f t="shared" si="15"/>
        <v>1</v>
      </c>
      <c r="J27" s="667"/>
      <c r="K27" s="21">
        <f t="shared" si="16"/>
        <v>1</v>
      </c>
      <c r="L27" s="667"/>
      <c r="M27" s="21">
        <f t="shared" si="17"/>
        <v>1</v>
      </c>
      <c r="N27" s="667"/>
      <c r="O27" s="21">
        <f t="shared" si="18"/>
        <v>1</v>
      </c>
      <c r="P27" s="2811" t="s">
        <v>3465</v>
      </c>
      <c r="Q27" s="21">
        <f t="shared" si="19"/>
        <v>1</v>
      </c>
      <c r="R27" s="663">
        <f t="shared" ca="1" si="20"/>
        <v>8865</v>
      </c>
      <c r="S27" s="316">
        <f t="shared" ca="1" si="11"/>
        <v>25</v>
      </c>
    </row>
    <row r="28" spans="1:45">
      <c r="A28" s="665">
        <f>清单!E7</f>
        <v>5</v>
      </c>
      <c r="B28" s="665">
        <f>清单!F7</f>
        <v>36.08</v>
      </c>
      <c r="C28" s="21">
        <f t="shared" si="12"/>
        <v>0.99</v>
      </c>
      <c r="D28" s="667"/>
      <c r="E28" s="21">
        <f t="shared" si="13"/>
        <v>1</v>
      </c>
      <c r="F28" s="667"/>
      <c r="G28" s="21">
        <f t="shared" si="14"/>
        <v>1</v>
      </c>
      <c r="H28" s="667"/>
      <c r="I28" s="21">
        <f t="shared" si="15"/>
        <v>1</v>
      </c>
      <c r="J28" s="667"/>
      <c r="K28" s="21">
        <f t="shared" si="16"/>
        <v>1</v>
      </c>
      <c r="L28" s="667"/>
      <c r="M28" s="21">
        <f t="shared" si="17"/>
        <v>1</v>
      </c>
      <c r="N28" s="667"/>
      <c r="O28" s="21">
        <f t="shared" si="18"/>
        <v>1</v>
      </c>
      <c r="P28" s="2811" t="s">
        <v>3465</v>
      </c>
      <c r="Q28" s="21">
        <f t="shared" si="19"/>
        <v>1</v>
      </c>
      <c r="R28" s="663">
        <f t="shared" ca="1" si="20"/>
        <v>8865</v>
      </c>
      <c r="S28" s="316">
        <f t="shared" ca="1" si="11"/>
        <v>32</v>
      </c>
    </row>
    <row r="29" spans="1:45">
      <c r="A29" s="665">
        <f>清单!E8</f>
        <v>6</v>
      </c>
      <c r="B29" s="665">
        <f>清单!F8</f>
        <v>42.63</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2811" t="s">
        <v>3465</v>
      </c>
      <c r="Q29" s="21">
        <f t="shared" si="19"/>
        <v>1</v>
      </c>
      <c r="R29" s="663">
        <f t="shared" ca="1" si="20"/>
        <v>8955</v>
      </c>
      <c r="S29" s="316">
        <f t="shared" ca="1" si="11"/>
        <v>38</v>
      </c>
    </row>
    <row r="30" spans="1:45">
      <c r="A30" s="665">
        <f>清单!E9</f>
        <v>7</v>
      </c>
      <c r="B30" s="665">
        <f>清单!F9</f>
        <v>8.26</v>
      </c>
      <c r="C30" s="21">
        <f t="shared" si="12"/>
        <v>0.98</v>
      </c>
      <c r="D30" s="667"/>
      <c r="E30" s="21">
        <f t="shared" si="13"/>
        <v>1</v>
      </c>
      <c r="F30" s="667"/>
      <c r="G30" s="21">
        <f t="shared" si="14"/>
        <v>1</v>
      </c>
      <c r="H30" s="667"/>
      <c r="I30" s="21">
        <f t="shared" si="15"/>
        <v>1</v>
      </c>
      <c r="J30" s="667"/>
      <c r="K30" s="21">
        <f t="shared" si="16"/>
        <v>1</v>
      </c>
      <c r="L30" s="667"/>
      <c r="M30" s="21">
        <f t="shared" si="17"/>
        <v>1</v>
      </c>
      <c r="N30" s="667"/>
      <c r="O30" s="21">
        <f t="shared" si="18"/>
        <v>1</v>
      </c>
      <c r="P30" s="2811" t="s">
        <v>3465</v>
      </c>
      <c r="Q30" s="21">
        <f t="shared" si="19"/>
        <v>1</v>
      </c>
      <c r="R30" s="663">
        <f t="shared" ca="1" si="20"/>
        <v>8776</v>
      </c>
      <c r="S30" s="316">
        <f t="shared" ca="1" si="11"/>
        <v>7</v>
      </c>
    </row>
    <row r="31" spans="1:45">
      <c r="A31" s="665">
        <f>清单!E10</f>
        <v>8</v>
      </c>
      <c r="B31" s="665">
        <f>清单!F10</f>
        <v>33.26</v>
      </c>
      <c r="C31" s="21">
        <f t="shared" si="12"/>
        <v>0.99</v>
      </c>
      <c r="D31" s="667"/>
      <c r="E31" s="21">
        <f t="shared" si="13"/>
        <v>1</v>
      </c>
      <c r="F31" s="667"/>
      <c r="G31" s="21">
        <f t="shared" si="14"/>
        <v>1</v>
      </c>
      <c r="H31" s="667"/>
      <c r="I31" s="21">
        <f t="shared" si="15"/>
        <v>1</v>
      </c>
      <c r="J31" s="667"/>
      <c r="K31" s="21">
        <f t="shared" si="16"/>
        <v>1</v>
      </c>
      <c r="L31" s="667"/>
      <c r="M31" s="21">
        <f t="shared" si="17"/>
        <v>1</v>
      </c>
      <c r="N31" s="667"/>
      <c r="O31" s="21">
        <f t="shared" si="18"/>
        <v>1</v>
      </c>
      <c r="P31" s="2811" t="s">
        <v>3465</v>
      </c>
      <c r="Q31" s="21">
        <f t="shared" si="19"/>
        <v>1</v>
      </c>
      <c r="R31" s="663">
        <f t="shared" ca="1" si="20"/>
        <v>8865</v>
      </c>
      <c r="S31" s="316">
        <f t="shared" ca="1" si="11"/>
        <v>29</v>
      </c>
    </row>
    <row r="32" spans="1:45">
      <c r="A32" s="665">
        <f>清单!E11</f>
        <v>9</v>
      </c>
      <c r="B32" s="665">
        <f>清单!F11</f>
        <v>56.84</v>
      </c>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2811" t="s">
        <v>3465</v>
      </c>
      <c r="Q32" s="21">
        <f t="shared" si="19"/>
        <v>1</v>
      </c>
      <c r="R32" s="663">
        <f t="shared" ca="1" si="20"/>
        <v>8955</v>
      </c>
      <c r="S32" s="316">
        <f t="shared" ca="1" si="11"/>
        <v>51</v>
      </c>
    </row>
    <row r="33" spans="1:19">
      <c r="A33" s="665">
        <f>清单!E12</f>
        <v>10</v>
      </c>
      <c r="B33" s="665">
        <f>清单!F12</f>
        <v>30.93</v>
      </c>
      <c r="C33" s="21">
        <f t="shared" si="12"/>
        <v>0.99</v>
      </c>
      <c r="D33" s="667"/>
      <c r="E33" s="21">
        <f t="shared" si="13"/>
        <v>1</v>
      </c>
      <c r="F33" s="667"/>
      <c r="G33" s="21">
        <f t="shared" si="14"/>
        <v>1</v>
      </c>
      <c r="H33" s="667"/>
      <c r="I33" s="21">
        <f t="shared" si="15"/>
        <v>1</v>
      </c>
      <c r="J33" s="667"/>
      <c r="K33" s="21">
        <f t="shared" si="16"/>
        <v>1</v>
      </c>
      <c r="L33" s="667"/>
      <c r="M33" s="21">
        <f t="shared" si="17"/>
        <v>1</v>
      </c>
      <c r="N33" s="667"/>
      <c r="O33" s="21">
        <f t="shared" si="18"/>
        <v>1</v>
      </c>
      <c r="P33" s="2811" t="s">
        <v>3465</v>
      </c>
      <c r="Q33" s="21">
        <f t="shared" si="19"/>
        <v>1</v>
      </c>
      <c r="R33" s="663">
        <f t="shared" ca="1" si="20"/>
        <v>8865</v>
      </c>
      <c r="S33" s="316">
        <f t="shared" ca="1" si="11"/>
        <v>27</v>
      </c>
    </row>
    <row r="34" spans="1:19">
      <c r="A34" s="665">
        <f>清单!E13</f>
        <v>11</v>
      </c>
      <c r="B34" s="665">
        <f>清单!F13</f>
        <v>53.88</v>
      </c>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2811" t="s">
        <v>3465</v>
      </c>
      <c r="Q34" s="21">
        <f t="shared" si="19"/>
        <v>1</v>
      </c>
      <c r="R34" s="663">
        <f t="shared" ca="1" si="20"/>
        <v>8955</v>
      </c>
      <c r="S34" s="316">
        <f t="shared" ca="1" si="11"/>
        <v>48</v>
      </c>
    </row>
    <row r="35" spans="1:19">
      <c r="A35" s="665">
        <f>清单!E14</f>
        <v>12</v>
      </c>
      <c r="B35" s="665">
        <f>清单!F14</f>
        <v>29.7</v>
      </c>
      <c r="C35" s="21">
        <f t="shared" si="12"/>
        <v>0.99</v>
      </c>
      <c r="D35" s="667"/>
      <c r="E35" s="21">
        <f t="shared" si="13"/>
        <v>1</v>
      </c>
      <c r="F35" s="667"/>
      <c r="G35" s="21">
        <f t="shared" si="14"/>
        <v>1</v>
      </c>
      <c r="H35" s="667"/>
      <c r="I35" s="21">
        <f t="shared" si="15"/>
        <v>1</v>
      </c>
      <c r="J35" s="667"/>
      <c r="K35" s="21">
        <f t="shared" si="16"/>
        <v>1</v>
      </c>
      <c r="L35" s="667"/>
      <c r="M35" s="21">
        <f t="shared" si="17"/>
        <v>1</v>
      </c>
      <c r="N35" s="667"/>
      <c r="O35" s="21">
        <f t="shared" si="18"/>
        <v>1</v>
      </c>
      <c r="P35" s="2811" t="s">
        <v>3465</v>
      </c>
      <c r="Q35" s="21">
        <f t="shared" si="19"/>
        <v>1</v>
      </c>
      <c r="R35" s="663">
        <f t="shared" ca="1" si="20"/>
        <v>8865</v>
      </c>
      <c r="S35" s="316">
        <f t="shared" ca="1" si="11"/>
        <v>26</v>
      </c>
    </row>
    <row r="36" spans="1:19">
      <c r="A36" s="665">
        <f>清单!E15</f>
        <v>13</v>
      </c>
      <c r="B36" s="665">
        <f>清单!F15</f>
        <v>31.01</v>
      </c>
      <c r="C36" s="21">
        <f t="shared" si="12"/>
        <v>0.99</v>
      </c>
      <c r="D36" s="667"/>
      <c r="E36" s="21">
        <f t="shared" si="13"/>
        <v>1</v>
      </c>
      <c r="F36" s="667"/>
      <c r="G36" s="21">
        <f t="shared" si="14"/>
        <v>1</v>
      </c>
      <c r="H36" s="667"/>
      <c r="I36" s="21">
        <f t="shared" si="15"/>
        <v>1</v>
      </c>
      <c r="J36" s="667"/>
      <c r="K36" s="21">
        <f t="shared" si="16"/>
        <v>1</v>
      </c>
      <c r="L36" s="667"/>
      <c r="M36" s="21">
        <f t="shared" si="17"/>
        <v>1</v>
      </c>
      <c r="N36" s="667"/>
      <c r="O36" s="21">
        <f t="shared" si="18"/>
        <v>1</v>
      </c>
      <c r="P36" s="2811" t="s">
        <v>3465</v>
      </c>
      <c r="Q36" s="21">
        <f t="shared" si="19"/>
        <v>1</v>
      </c>
      <c r="R36" s="663">
        <f t="shared" ca="1" si="20"/>
        <v>8865</v>
      </c>
      <c r="S36" s="316">
        <f t="shared" ca="1" si="11"/>
        <v>27</v>
      </c>
    </row>
    <row r="37" spans="1:19">
      <c r="A37" s="665">
        <f>清单!E16</f>
        <v>14</v>
      </c>
      <c r="B37" s="665">
        <f>清单!F16</f>
        <v>37.57</v>
      </c>
      <c r="C37" s="21">
        <f t="shared" si="12"/>
        <v>0.99</v>
      </c>
      <c r="D37" s="667"/>
      <c r="E37" s="21">
        <f t="shared" si="13"/>
        <v>1</v>
      </c>
      <c r="F37" s="667"/>
      <c r="G37" s="21">
        <f t="shared" si="14"/>
        <v>1</v>
      </c>
      <c r="H37" s="667"/>
      <c r="I37" s="21">
        <f t="shared" si="15"/>
        <v>1</v>
      </c>
      <c r="J37" s="667"/>
      <c r="K37" s="21">
        <f t="shared" si="16"/>
        <v>1</v>
      </c>
      <c r="L37" s="667"/>
      <c r="M37" s="21">
        <f t="shared" si="17"/>
        <v>1</v>
      </c>
      <c r="N37" s="667"/>
      <c r="O37" s="21">
        <f t="shared" si="18"/>
        <v>1</v>
      </c>
      <c r="P37" s="2811" t="s">
        <v>3465</v>
      </c>
      <c r="Q37" s="21">
        <f t="shared" si="19"/>
        <v>1</v>
      </c>
      <c r="R37" s="663">
        <f t="shared" ca="1" si="20"/>
        <v>8865</v>
      </c>
      <c r="S37" s="316">
        <f t="shared" ca="1" si="11"/>
        <v>33</v>
      </c>
    </row>
    <row r="38" spans="1:19">
      <c r="A38" s="665">
        <f>清单!E17</f>
        <v>15</v>
      </c>
      <c r="B38" s="665">
        <f>清单!F17</f>
        <v>40.299999999999997</v>
      </c>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2811" t="s">
        <v>3465</v>
      </c>
      <c r="Q38" s="21">
        <f t="shared" si="19"/>
        <v>1</v>
      </c>
      <c r="R38" s="663">
        <f t="shared" ca="1" si="20"/>
        <v>8955</v>
      </c>
      <c r="S38" s="316">
        <f t="shared" ca="1" si="11"/>
        <v>36</v>
      </c>
    </row>
    <row r="39" spans="1:19">
      <c r="A39" s="665">
        <f>清单!E18</f>
        <v>16</v>
      </c>
      <c r="B39" s="665">
        <f>清单!F18</f>
        <v>43.98</v>
      </c>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2811" t="s">
        <v>3465</v>
      </c>
      <c r="Q39" s="21">
        <f t="shared" si="19"/>
        <v>1</v>
      </c>
      <c r="R39" s="663">
        <f t="shared" ca="1" si="20"/>
        <v>8955</v>
      </c>
      <c r="S39" s="316">
        <f t="shared" ca="1" si="11"/>
        <v>39</v>
      </c>
    </row>
    <row r="40" spans="1:19">
      <c r="A40" s="665">
        <f>清单!E19</f>
        <v>17</v>
      </c>
      <c r="B40" s="665">
        <f>清单!F19</f>
        <v>8.26</v>
      </c>
      <c r="C40" s="21">
        <f t="shared" si="12"/>
        <v>0.98</v>
      </c>
      <c r="D40" s="667"/>
      <c r="E40" s="21">
        <f t="shared" si="13"/>
        <v>1</v>
      </c>
      <c r="F40" s="667"/>
      <c r="G40" s="21">
        <f t="shared" si="14"/>
        <v>1</v>
      </c>
      <c r="H40" s="667"/>
      <c r="I40" s="21">
        <f t="shared" si="15"/>
        <v>1</v>
      </c>
      <c r="J40" s="667"/>
      <c r="K40" s="21">
        <f t="shared" si="16"/>
        <v>1</v>
      </c>
      <c r="L40" s="667"/>
      <c r="M40" s="21">
        <f t="shared" si="17"/>
        <v>1</v>
      </c>
      <c r="N40" s="667"/>
      <c r="O40" s="21">
        <f t="shared" si="18"/>
        <v>1</v>
      </c>
      <c r="P40" s="2811" t="s">
        <v>3465</v>
      </c>
      <c r="Q40" s="21">
        <f t="shared" si="19"/>
        <v>1</v>
      </c>
      <c r="R40" s="663">
        <f t="shared" ca="1" si="20"/>
        <v>8776</v>
      </c>
      <c r="S40" s="316">
        <f t="shared" ca="1" si="11"/>
        <v>7</v>
      </c>
    </row>
    <row r="41" spans="1:19">
      <c r="A41" s="665">
        <f>清单!E20</f>
        <v>18</v>
      </c>
      <c r="B41" s="665">
        <f>清单!F20</f>
        <v>32.5</v>
      </c>
      <c r="C41" s="21">
        <f t="shared" si="12"/>
        <v>0.99</v>
      </c>
      <c r="D41" s="667"/>
      <c r="E41" s="21">
        <f t="shared" si="13"/>
        <v>1</v>
      </c>
      <c r="F41" s="667"/>
      <c r="G41" s="21">
        <f t="shared" si="14"/>
        <v>1</v>
      </c>
      <c r="H41" s="667"/>
      <c r="I41" s="21">
        <f t="shared" si="15"/>
        <v>1</v>
      </c>
      <c r="J41" s="667"/>
      <c r="K41" s="21">
        <f t="shared" si="16"/>
        <v>1</v>
      </c>
      <c r="L41" s="667"/>
      <c r="M41" s="21">
        <f t="shared" si="17"/>
        <v>1</v>
      </c>
      <c r="N41" s="667"/>
      <c r="O41" s="21">
        <f t="shared" si="18"/>
        <v>1</v>
      </c>
      <c r="P41" s="2811" t="s">
        <v>3465</v>
      </c>
      <c r="Q41" s="21">
        <f t="shared" si="19"/>
        <v>1</v>
      </c>
      <c r="R41" s="663">
        <f t="shared" ca="1" si="20"/>
        <v>8865</v>
      </c>
      <c r="S41" s="316">
        <f t="shared" ca="1" si="11"/>
        <v>29</v>
      </c>
    </row>
    <row r="42" spans="1:19">
      <c r="A42" s="665">
        <f>清单!E21</f>
        <v>19</v>
      </c>
      <c r="B42" s="665">
        <f>清单!F21</f>
        <v>32.5</v>
      </c>
      <c r="C42" s="21">
        <f t="shared" si="12"/>
        <v>0.99</v>
      </c>
      <c r="D42" s="667"/>
      <c r="E42" s="21">
        <f t="shared" si="13"/>
        <v>1</v>
      </c>
      <c r="F42" s="667"/>
      <c r="G42" s="21">
        <f t="shared" si="14"/>
        <v>1</v>
      </c>
      <c r="H42" s="667"/>
      <c r="I42" s="21">
        <f t="shared" si="15"/>
        <v>1</v>
      </c>
      <c r="J42" s="667"/>
      <c r="K42" s="21">
        <f t="shared" si="16"/>
        <v>1</v>
      </c>
      <c r="L42" s="667"/>
      <c r="M42" s="21">
        <f t="shared" si="17"/>
        <v>1</v>
      </c>
      <c r="N42" s="667"/>
      <c r="O42" s="21">
        <f t="shared" si="18"/>
        <v>1</v>
      </c>
      <c r="P42" s="2811" t="s">
        <v>3465</v>
      </c>
      <c r="Q42" s="21">
        <f t="shared" si="19"/>
        <v>1</v>
      </c>
      <c r="R42" s="663">
        <f t="shared" ca="1" si="20"/>
        <v>8865</v>
      </c>
      <c r="S42" s="316">
        <f t="shared" ca="1" si="11"/>
        <v>29</v>
      </c>
    </row>
    <row r="43" spans="1:19">
      <c r="A43" s="665">
        <f>清单!E22</f>
        <v>20</v>
      </c>
      <c r="B43" s="665">
        <f>清单!F22</f>
        <v>34.479999999999997</v>
      </c>
      <c r="C43" s="21">
        <f t="shared" si="12"/>
        <v>0.99</v>
      </c>
      <c r="D43" s="667"/>
      <c r="E43" s="21">
        <f t="shared" si="13"/>
        <v>1</v>
      </c>
      <c r="F43" s="667"/>
      <c r="G43" s="21">
        <f t="shared" si="14"/>
        <v>1</v>
      </c>
      <c r="H43" s="667"/>
      <c r="I43" s="21">
        <f t="shared" si="15"/>
        <v>1</v>
      </c>
      <c r="J43" s="667"/>
      <c r="K43" s="21">
        <f t="shared" si="16"/>
        <v>1</v>
      </c>
      <c r="L43" s="667"/>
      <c r="M43" s="21">
        <f t="shared" si="17"/>
        <v>1</v>
      </c>
      <c r="N43" s="667"/>
      <c r="O43" s="21">
        <f t="shared" si="18"/>
        <v>1</v>
      </c>
      <c r="P43" s="2811" t="s">
        <v>3465</v>
      </c>
      <c r="Q43" s="21">
        <f t="shared" si="19"/>
        <v>1</v>
      </c>
      <c r="R43" s="663">
        <f t="shared" ca="1" si="20"/>
        <v>8865</v>
      </c>
      <c r="S43" s="316">
        <f t="shared" ca="1" si="11"/>
        <v>31</v>
      </c>
    </row>
    <row r="44" spans="1:19">
      <c r="A44" s="665">
        <f>清单!E23</f>
        <v>21</v>
      </c>
      <c r="B44" s="665">
        <f>清单!F23</f>
        <v>17.649999999999999</v>
      </c>
      <c r="C44" s="21">
        <f t="shared" si="12"/>
        <v>0.98</v>
      </c>
      <c r="D44" s="667"/>
      <c r="E44" s="21">
        <f t="shared" si="13"/>
        <v>1</v>
      </c>
      <c r="F44" s="667"/>
      <c r="G44" s="21">
        <f t="shared" si="14"/>
        <v>1</v>
      </c>
      <c r="H44" s="667"/>
      <c r="I44" s="21">
        <f t="shared" si="15"/>
        <v>1</v>
      </c>
      <c r="J44" s="667"/>
      <c r="K44" s="21">
        <f t="shared" si="16"/>
        <v>1</v>
      </c>
      <c r="L44" s="667"/>
      <c r="M44" s="21">
        <f t="shared" si="17"/>
        <v>1</v>
      </c>
      <c r="N44" s="667"/>
      <c r="O44" s="21">
        <f t="shared" si="18"/>
        <v>1</v>
      </c>
      <c r="P44" s="2811" t="s">
        <v>3465</v>
      </c>
      <c r="Q44" s="21">
        <f t="shared" si="19"/>
        <v>1</v>
      </c>
      <c r="R44" s="663">
        <f t="shared" ca="1" si="20"/>
        <v>8776</v>
      </c>
      <c r="S44" s="316">
        <f t="shared" ca="1" si="11"/>
        <v>15</v>
      </c>
    </row>
    <row r="45" spans="1:19">
      <c r="A45" s="665">
        <f>清单!E24</f>
        <v>22</v>
      </c>
      <c r="B45" s="665">
        <f>清单!F24</f>
        <v>40.32</v>
      </c>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2811" t="s">
        <v>3465</v>
      </c>
      <c r="Q45" s="21">
        <f t="shared" si="19"/>
        <v>1</v>
      </c>
      <c r="R45" s="663">
        <f t="shared" ca="1" si="20"/>
        <v>8955</v>
      </c>
      <c r="S45" s="316">
        <f t="shared" ca="1" si="11"/>
        <v>36</v>
      </c>
    </row>
    <row r="46" spans="1:19">
      <c r="A46" s="665">
        <f>清单!E25</f>
        <v>23</v>
      </c>
      <c r="B46" s="665">
        <f>清单!F25</f>
        <v>33.08</v>
      </c>
      <c r="C46" s="21">
        <f t="shared" si="12"/>
        <v>0.99</v>
      </c>
      <c r="D46" s="667"/>
      <c r="E46" s="21">
        <f t="shared" si="13"/>
        <v>1</v>
      </c>
      <c r="F46" s="667"/>
      <c r="G46" s="21">
        <f t="shared" si="14"/>
        <v>1</v>
      </c>
      <c r="H46" s="667"/>
      <c r="I46" s="21">
        <f t="shared" si="15"/>
        <v>1</v>
      </c>
      <c r="J46" s="667"/>
      <c r="K46" s="21">
        <f t="shared" si="16"/>
        <v>1</v>
      </c>
      <c r="L46" s="667"/>
      <c r="M46" s="21">
        <f t="shared" si="17"/>
        <v>1</v>
      </c>
      <c r="N46" s="667"/>
      <c r="O46" s="21">
        <f t="shared" si="18"/>
        <v>1</v>
      </c>
      <c r="P46" s="2811" t="s">
        <v>3465</v>
      </c>
      <c r="Q46" s="21">
        <f t="shared" si="19"/>
        <v>1</v>
      </c>
      <c r="R46" s="663">
        <f t="shared" ca="1" si="20"/>
        <v>8865</v>
      </c>
      <c r="S46" s="316">
        <f t="shared" ca="1" si="11"/>
        <v>29</v>
      </c>
    </row>
    <row r="47" spans="1:19">
      <c r="A47" s="665">
        <f>清单!E26</f>
        <v>24</v>
      </c>
      <c r="B47" s="665">
        <f>清单!F26</f>
        <v>31.21</v>
      </c>
      <c r="C47" s="21">
        <f t="shared" si="12"/>
        <v>0.99</v>
      </c>
      <c r="D47" s="667"/>
      <c r="E47" s="21">
        <f t="shared" si="13"/>
        <v>1</v>
      </c>
      <c r="F47" s="667"/>
      <c r="G47" s="21">
        <f t="shared" si="14"/>
        <v>1</v>
      </c>
      <c r="H47" s="667"/>
      <c r="I47" s="21">
        <f t="shared" si="15"/>
        <v>1</v>
      </c>
      <c r="J47" s="667"/>
      <c r="K47" s="21">
        <f t="shared" si="16"/>
        <v>1</v>
      </c>
      <c r="L47" s="667"/>
      <c r="M47" s="21">
        <f t="shared" si="17"/>
        <v>1</v>
      </c>
      <c r="N47" s="667"/>
      <c r="O47" s="21">
        <f t="shared" si="18"/>
        <v>1</v>
      </c>
      <c r="P47" s="2811" t="s">
        <v>3465</v>
      </c>
      <c r="Q47" s="21">
        <f t="shared" si="19"/>
        <v>1</v>
      </c>
      <c r="R47" s="663">
        <f t="shared" ca="1" si="20"/>
        <v>8865</v>
      </c>
      <c r="S47" s="316">
        <f t="shared" ca="1" si="11"/>
        <v>28</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47.668399999999998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11732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249208.54</v>
      </c>
      <c r="D5" s="211" t="s">
        <v>1469</v>
      </c>
      <c r="E5" s="212" t="s">
        <v>1470</v>
      </c>
      <c r="F5" s="212" t="s">
        <v>1471</v>
      </c>
      <c r="G5" s="213"/>
    </row>
    <row r="6" spans="1:8" s="214" customFormat="1" ht="13.5" customHeight="1">
      <c r="A6" s="778" t="s">
        <v>1472</v>
      </c>
      <c r="B6" s="215" t="s">
        <v>1473</v>
      </c>
      <c r="C6" s="216">
        <f ca="1">基准地价修正!C41*'成本法 (元)'!D10</f>
        <v>233947.54</v>
      </c>
      <c r="D6" s="217"/>
      <c r="E6" s="218"/>
      <c r="F6" s="218"/>
      <c r="G6" s="219"/>
    </row>
    <row r="7" spans="1:8" s="214" customFormat="1" ht="13.5" customHeight="1">
      <c r="A7" s="778" t="s">
        <v>1474</v>
      </c>
      <c r="B7" s="215" t="s">
        <v>1475</v>
      </c>
      <c r="C7" s="220">
        <f ca="1">ROUND(C6*F7,0)</f>
        <v>7135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8126</v>
      </c>
      <c r="D8" s="222"/>
      <c r="E8" s="220"/>
      <c r="F8" s="221"/>
      <c r="G8" s="1856" t="s">
        <v>3457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8126</v>
      </c>
      <c r="D10" s="845">
        <f ca="1">IF(B1="",'数据-汇总表'!E6,IF(INDIRECT("'数据-取费表'!c"&amp;$G$1)="住宅",INDIRECT("'数据-取费表'!s"&amp;$G$1),INDIRECT("'数据-取费表'!k"&amp;$G$1)+INDIRECT("'数据-取费表'!s"&amp;$G$1)))</f>
        <v>40.630000000000003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40.630000000000003</v>
      </c>
      <c r="E19" s="211">
        <f>'数据-取费表'!B31</f>
        <v>200</v>
      </c>
      <c r="F19" s="231"/>
      <c r="G19" s="1856" t="s">
        <v>3458</v>
      </c>
    </row>
    <row r="20" spans="1:7" s="214" customFormat="1" ht="13.5" customHeight="1">
      <c r="A20" s="255" t="s">
        <v>1574</v>
      </c>
      <c r="B20" s="210" t="s">
        <v>1575</v>
      </c>
      <c r="C20" s="232">
        <f ca="1">ROUND((C5+C19)*F20,0)</f>
        <v>4984</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15327</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15177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150</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20335</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ROUND((C5+C19+C20)*F27,0)</f>
        <v>20335</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317336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183648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162520</v>
      </c>
      <c r="D34" s="217"/>
      <c r="E34" s="220"/>
      <c r="F34" s="257"/>
      <c r="G34" s="219"/>
    </row>
    <row r="35" spans="1:7" ht="13.5" customHeight="1">
      <c r="A35" s="780" t="s">
        <v>351</v>
      </c>
      <c r="B35" s="215" t="s">
        <v>1527</v>
      </c>
      <c r="C35" s="220">
        <f ca="1">ROUND(C34*F35,0)</f>
        <v>8126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8126</v>
      </c>
      <c r="D37" s="217">
        <f ca="1">D19</f>
        <v>40.630000000000003</v>
      </c>
      <c r="E37" s="249">
        <f>'数据-取费表'!B35</f>
        <v>200</v>
      </c>
      <c r="F37" s="259"/>
      <c r="G37" s="261"/>
    </row>
    <row r="38" spans="1:7" ht="13.5" customHeight="1">
      <c r="A38" s="780" t="s">
        <v>354</v>
      </c>
      <c r="B38" s="215" t="s">
        <v>1533</v>
      </c>
      <c r="C38" s="220">
        <f ca="1">ROUND(C34*F38,0)</f>
        <v>4876</v>
      </c>
      <c r="D38" s="220"/>
      <c r="E38" s="220"/>
      <c r="F38" s="259">
        <f>'数据-取费表'!B36</f>
        <v>0.03</v>
      </c>
      <c r="G38" s="219" t="s">
        <v>1528</v>
      </c>
    </row>
    <row r="39" spans="1:7" s="214" customFormat="1" ht="13.5" customHeight="1">
      <c r="A39" s="255" t="s">
        <v>1534</v>
      </c>
      <c r="B39" s="210" t="s">
        <v>1535</v>
      </c>
      <c r="C39" s="232">
        <f ca="1">ROUND(C33*F20,0)</f>
        <v>3673</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5619</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5509</v>
      </c>
      <c r="D42" s="238"/>
      <c r="E42" s="238"/>
      <c r="F42" s="239"/>
      <c r="G42" s="3650" t="s">
        <v>1591</v>
      </c>
    </row>
    <row r="43" spans="1:7" ht="13.5" customHeight="1">
      <c r="A43" s="780" t="s">
        <v>347</v>
      </c>
      <c r="B43" s="215" t="s">
        <v>1545</v>
      </c>
      <c r="C43" s="238">
        <f ca="1">ROUND(IF('数据-取费表'!B22&lt;=1,C39*F22*'数据-取费表'!B20/2,C39*(POWER((1+F22),'数据-取费表'!B20/2)-1)),0)</f>
        <v>110</v>
      </c>
      <c r="D43" s="238"/>
      <c r="E43" s="238"/>
      <c r="F43" s="239"/>
      <c r="G43" s="3651"/>
    </row>
    <row r="44" spans="1:7" ht="13.5" customHeight="1">
      <c r="A44" s="780" t="s">
        <v>348</v>
      </c>
      <c r="B44" s="215" t="s">
        <v>1546</v>
      </c>
      <c r="C44" s="238">
        <f ca="1">ROUND(IF('数据-取费表'!B22&lt;=1,C40*F22*'数据-取费表'!B20/2,C40*(POWER((1+F22),'数据-取费表'!B20/2)-1)),4)</f>
        <v>8.9999999999999998E-4</v>
      </c>
      <c r="D44" s="238"/>
      <c r="E44" s="238"/>
      <c r="F44" s="239"/>
      <c r="G44" s="3652"/>
    </row>
    <row r="45" spans="1:7" s="214" customFormat="1" ht="13.5" customHeight="1">
      <c r="A45" s="255" t="s">
        <v>1547</v>
      </c>
      <c r="B45" s="244" t="s">
        <v>1513</v>
      </c>
      <c r="C45" s="245">
        <f ca="1">C46</f>
        <v>14986</v>
      </c>
      <c r="D45" s="235">
        <f ca="1">C47</f>
        <v>2.3999999999999998E-3</v>
      </c>
      <c r="E45" s="236" t="s">
        <v>1539</v>
      </c>
      <c r="F45" s="246">
        <f ca="1">F27</f>
        <v>0.08</v>
      </c>
      <c r="G45" s="247" t="s">
        <v>1548</v>
      </c>
    </row>
    <row r="46" spans="1:7" s="214" customFormat="1" ht="13.5" customHeight="1">
      <c r="A46" s="780" t="s">
        <v>346</v>
      </c>
      <c r="B46" s="248" t="s">
        <v>1549</v>
      </c>
      <c r="C46" s="249">
        <f ca="1">ROUND((C33+C39)*F27,0)</f>
        <v>14986</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227640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159348</v>
      </c>
      <c r="D51" s="232"/>
      <c r="E51" s="232"/>
      <c r="F51" s="264"/>
      <c r="G51" s="234" t="s">
        <v>1560</v>
      </c>
    </row>
    <row r="52" spans="1:7" s="208" customFormat="1" ht="16.5" thickBot="1">
      <c r="A52" s="265" t="s">
        <v>1561</v>
      </c>
      <c r="B52" s="266"/>
      <c r="C52" s="267">
        <f ca="1">C31+C51</f>
        <v>476684</v>
      </c>
      <c r="D52" s="266"/>
      <c r="E52" s="266"/>
      <c r="F52" s="266"/>
      <c r="G52" s="268"/>
    </row>
    <row r="55" spans="1:7" ht="15">
      <c r="B55" s="270" t="s">
        <v>1562</v>
      </c>
      <c r="C55" s="271"/>
    </row>
    <row r="56" spans="1:7">
      <c r="B56" s="273" t="s">
        <v>802</v>
      </c>
      <c r="C56" s="275">
        <f ca="1">1-C57</f>
        <v>0.66599999999999993</v>
      </c>
    </row>
    <row r="57" spans="1:7">
      <c r="B57" s="273" t="s">
        <v>803</v>
      </c>
      <c r="C57" s="274">
        <f ca="1">ROUND(C51/C52,3)</f>
        <v>0.33400000000000002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25" zoomScaleNormal="80" zoomScaleSheetLayoutView="100" workbookViewId="0">
      <selection activeCell="C41" sqref="C4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40.630000000000003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23</v>
      </c>
      <c r="C2" s="1999" t="s">
        <v>1935</v>
      </c>
      <c r="D2" s="2000" t="s">
        <v>1936</v>
      </c>
      <c r="E2" s="3422" t="s">
        <v>3405</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Ⅲ—09</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39594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5661</v>
      </c>
      <c r="C3" s="1999" t="s">
        <v>1941</v>
      </c>
      <c r="D3" s="2000" t="s">
        <v>1942</v>
      </c>
      <c r="E3" s="3420" t="s">
        <v>3422</v>
      </c>
      <c r="F3" s="2004" t="s">
        <v>3423</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25030</v>
      </c>
      <c r="N3" s="866">
        <f>SUMPRODUCT((因素修正幅度!B30:B54=I2)*(因素修正幅度!C3:G3=E2)*(因素修正幅度!C30:G54))</f>
        <v>7.0000000000000007E-2</v>
      </c>
      <c r="O3" s="1119"/>
      <c r="P3" s="1119"/>
      <c r="Q3" s="1119"/>
      <c r="R3" s="1212">
        <v>2</v>
      </c>
      <c r="S3" s="3361">
        <f>ROUND(SUMPRODUCT((B106:B110=R3)*(C105:N105=G2)*(C106:N110)),4)</f>
        <v>1.1838</v>
      </c>
      <c r="T3" s="3361">
        <f t="shared" si="0"/>
        <v>31208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26375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30356</v>
      </c>
      <c r="D5" s="1339">
        <f>ROUND(C6*C17+C20,0)</f>
        <v>25030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23262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25030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22355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2.5</v>
      </c>
      <c r="AA7" s="1216"/>
      <c r="AB7" s="1216"/>
      <c r="AC7" s="1217"/>
      <c r="AD7" s="1218"/>
      <c r="AE7" s="1218"/>
      <c r="AF7" s="1218"/>
      <c r="AG7" s="1218"/>
      <c r="AH7" s="1218"/>
      <c r="AI7" s="1218"/>
      <c r="AJ7" s="1219"/>
    </row>
    <row r="8" spans="1:36" ht="25.5">
      <c r="A8" s="3299"/>
      <c r="B8" s="170" t="s">
        <v>1957</v>
      </c>
      <c r="C8" s="2026" t="s">
        <v>3442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3237</v>
      </c>
      <c r="B12" s="3305" t="s">
        <v>3238</v>
      </c>
      <c r="C12" s="3306">
        <v>1</v>
      </c>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3241</v>
      </c>
      <c r="B13" s="2034" t="s">
        <v>1982</v>
      </c>
      <c r="C13" s="755">
        <f>ROUND(C16*D16*E16*F16*G16*H16*I16*J16,4)</f>
        <v>1.2128000000000001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3443</v>
      </c>
      <c r="D15" s="2044" t="s">
        <v>3443</v>
      </c>
      <c r="E15" s="2045" t="s">
        <v>3444</v>
      </c>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1.1000000000000001</v>
      </c>
      <c r="D16" s="3318">
        <v>1.05</v>
      </c>
      <c r="E16" s="3318">
        <v>1.05</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3247</v>
      </c>
      <c r="E18" s="3329"/>
      <c r="F18" s="3324" t="s">
        <v>3250</v>
      </c>
      <c r="G18" s="3328">
        <f>ROUND(1-(1/(POWER(1+G24,E18))),4)</f>
        <v>0</v>
      </c>
      <c r="H18" s="3324" t="s">
        <v>3252</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3253</v>
      </c>
      <c r="B20" s="167" t="s">
        <v>1994</v>
      </c>
      <c r="C20" s="3325">
        <f>ROUND(IF(F21="与级别开发程度一致",0,(G21-E21)/C21),0)</f>
        <v>0</v>
      </c>
      <c r="D20" s="3341" t="s">
        <v>1998</v>
      </c>
      <c r="E20" s="3342"/>
      <c r="F20" s="3772" t="s">
        <v>1995</v>
      </c>
      <c r="G20" s="3773"/>
      <c r="H20" s="3326" t="s">
        <v>3446</v>
      </c>
      <c r="I20" s="3326" t="s">
        <v>3447</v>
      </c>
      <c r="J20" s="3327" t="s">
        <v>3448</v>
      </c>
      <c r="K20" s="2047" t="s">
        <v>3449</v>
      </c>
      <c r="L20" s="2047" t="s">
        <v>3450</v>
      </c>
      <c r="M20" s="2047" t="s">
        <v>3451</v>
      </c>
      <c r="N20" s="2047" t="s">
        <v>3452</v>
      </c>
      <c r="O20" s="2048" t="s">
        <v>3453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3445</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4" t="s">
        <v>2002</v>
      </c>
      <c r="E23" s="761">
        <v>44197</v>
      </c>
      <c r="F23" s="2054" t="s">
        <v>2003</v>
      </c>
      <c r="G23" s="762">
        <f>'数据-取费表'!B2</f>
        <v>45804</v>
      </c>
      <c r="H23" s="3343" t="s">
        <v>3255</v>
      </c>
      <c r="I23" s="3344" t="str">
        <f>IF(H23="季度增幅（自定义）",SUMIF(N25:N28,E2,O25:O28),"")</f>
        <v/>
      </c>
      <c r="J23" s="3446" t="s">
        <v>3254</v>
      </c>
      <c r="K23" s="1125"/>
      <c r="L23" s="2055" t="s">
        <v>2004</v>
      </c>
      <c r="M23" s="1328">
        <f>ROUND(SUMIF(地价!B2:G2,E2,地价!B16:G16),0)</f>
        <v>687</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0.78610000000000002</v>
      </c>
      <c r="D24" s="2060" t="s">
        <v>2007</v>
      </c>
      <c r="E24" s="1335">
        <f>存贷款利率!E28/100</f>
        <v>4.3499999999999997E-2</v>
      </c>
      <c r="F24" s="2060" t="s">
        <v>1999</v>
      </c>
      <c r="G24" s="768">
        <f>SUMIF(M30:Q30,E2,M33:Q33)</f>
        <v>0.05</v>
      </c>
      <c r="H24" s="2060" t="s">
        <v>2008</v>
      </c>
      <c r="I24" s="769">
        <f>SUMIF('数据-取费表'!C6:C15,E2,'数据-取费表'!F6:F15)/COUNTIF('数据-取费表'!C6:C15,E2)</f>
        <v>29.27</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23</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26362</v>
      </c>
      <c r="D33" s="2098"/>
      <c r="E33" s="773">
        <f>ROUND(C33*D33/10000,0)</f>
        <v>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6591</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13042</v>
      </c>
      <c r="D37" s="2098"/>
      <c r="E37" s="171">
        <f>ROUND(C37*D37/10000,0)</f>
        <v>0</v>
      </c>
      <c r="F37" s="171">
        <f>SUMIF(修正!A57:A68,G2,修正!B57:B68)</f>
        <v>0.6</v>
      </c>
      <c r="G37" s="171">
        <f>ROUND(IF(E2="工业",C37*$M$42,C37*$M$41),0)</f>
        <v>3261</v>
      </c>
      <c r="H37" s="171">
        <f>D37</f>
        <v>0</v>
      </c>
      <c r="I37" s="171">
        <f>ROUND(G37*H37/10000,0)</f>
        <v>0</v>
      </c>
      <c r="J37" s="3012"/>
      <c r="K37" s="3359" t="s">
        <v>3265</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6521</v>
      </c>
      <c r="D38" s="2098"/>
      <c r="E38" s="171">
        <f t="shared" ref="E38:E42" si="4">ROUND(C38*D38/10000,0)</f>
        <v>0</v>
      </c>
      <c r="F38" s="171">
        <f>SUMIF(修正!A57:A68,G2,修正!C57:C68)</f>
        <v>0.3</v>
      </c>
      <c r="G38" s="171">
        <f>ROUND(IF(E2="工业",C38*$M$42,C38*$M$41),0)</f>
        <v>1630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3258</v>
      </c>
      <c r="C39" s="175">
        <f>ROUND(D5*C22*C23*C24*C28*F39,0)</f>
        <v>5434</v>
      </c>
      <c r="D39" s="2098"/>
      <c r="E39" s="171">
        <f t="shared" si="4"/>
        <v>0</v>
      </c>
      <c r="F39" s="171">
        <f>SUMIF(修正!A57:A68,G2,修正!D57:D68)</f>
        <v>0.25</v>
      </c>
      <c r="G39" s="171">
        <f>ROUND(IF(E2="工业",C39*$M$42,C39*$M$41),0)</f>
        <v>1359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5434</v>
      </c>
      <c r="D40" s="2098"/>
      <c r="E40" s="171">
        <f t="shared" si="4"/>
        <v>0</v>
      </c>
      <c r="F40" s="175">
        <f>SUMIF(修正!A57:A68,G2,修正!E57:E68)</f>
        <v>0.25</v>
      </c>
      <c r="G40" s="171">
        <f>ROUND(IF(E2="工业",C40*$M$42,C40*$M$41),0)</f>
        <v>1359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5758</v>
      </c>
      <c r="D41" s="2098">
        <f>'数据-基础表'!I13</f>
        <v>40.630000000000003</v>
      </c>
      <c r="E41" s="171">
        <f t="shared" si="4"/>
        <v>23</v>
      </c>
      <c r="F41" s="175">
        <f>SUMIF(修正!A57:A68,G2,修正!F57:F68)</f>
        <v>0.25</v>
      </c>
      <c r="G41" s="171">
        <f>ROUND(IF(E2="工业",C41*$M$42,C41*$M$41),0)</f>
        <v>1440</v>
      </c>
      <c r="H41" s="171">
        <f t="shared" si="5"/>
        <v>40.630000000000003</v>
      </c>
      <c r="I41" s="171">
        <f t="shared" si="6"/>
        <v>6</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3455</v>
      </c>
      <c r="D42" s="2103"/>
      <c r="E42" s="187">
        <f t="shared" si="4"/>
        <v>0</v>
      </c>
      <c r="F42" s="767">
        <f>SUMIF(修正!A57:A68,G2,修正!G57:G68)</f>
        <v>0.15</v>
      </c>
      <c r="G42" s="187">
        <f>ROUND(IF(E2="工业",C42*$M$42,C42*$M$41),0)</f>
        <v>864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0.83289999999999997</v>
      </c>
      <c r="D44" s="171" t="s">
        <v>1999</v>
      </c>
      <c r="E44" s="2153">
        <f>G24</f>
        <v>0.05</v>
      </c>
      <c r="F44" s="171" t="s">
        <v>2008</v>
      </c>
      <c r="G44" s="183">
        <f>项目基本情况!F15</f>
        <v>29.27</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1.0345</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3454</v>
      </c>
      <c r="D72" s="1065">
        <f t="shared" ref="D72:D80" si="17">SUMIF($J$71:$N$71,C72,J72:N72)</f>
        <v>7.0000000000000001E-3</v>
      </c>
      <c r="E72" s="744">
        <f>ROUND(SUM(D72:D80),4)</f>
        <v>3.4500000000000003E-2</v>
      </c>
      <c r="F72" s="1814">
        <f>IF(E2="住宅",SUMIF(L1:L12,G2,N1:N12),"——")</f>
        <v>7.0000000000000007E-2</v>
      </c>
      <c r="G72" s="1063">
        <f>H72</f>
        <v>7.0000000000000001E-3</v>
      </c>
      <c r="H72" s="1066">
        <f t="shared" ref="H72:H80" si="18">IFERROR(ROUNDDOWN($F$72*I72/2,4),"——")</f>
        <v>7.0000000000000001E-3</v>
      </c>
      <c r="I72" s="3367">
        <v>0.2</v>
      </c>
      <c r="J72" s="1064">
        <f t="shared" ref="J72:J80" si="19">K72+$G72</f>
        <v>1.4E-2</v>
      </c>
      <c r="K72" s="1064">
        <f t="shared" ref="K72:K80" si="20">$L72+$G72</f>
        <v>7.0000000000000001E-3</v>
      </c>
      <c r="L72" s="1064">
        <v>0</v>
      </c>
      <c r="M72" s="1064">
        <f t="shared" ref="M72:N80" si="21">L72-$G72</f>
        <v>-7.0000000000000001E-3</v>
      </c>
      <c r="N72" s="1064">
        <f t="shared" si="21"/>
        <v>-1.4E-2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3454</v>
      </c>
      <c r="D73" s="1065">
        <f t="shared" si="17"/>
        <v>9.1000000000000004E-3</v>
      </c>
      <c r="E73" s="747"/>
      <c r="F73" s="1814"/>
      <c r="G73" s="1063">
        <f t="shared" ref="G73:G80" si="22">H73</f>
        <v>9.1000000000000004E-3</v>
      </c>
      <c r="H73" s="1066">
        <f t="shared" si="18"/>
        <v>9.1000000000000004E-3</v>
      </c>
      <c r="I73" s="3367">
        <v>0.26</v>
      </c>
      <c r="J73" s="1064">
        <f t="shared" si="19"/>
        <v>1.8200000000000001E-2</v>
      </c>
      <c r="K73" s="1064">
        <f t="shared" si="20"/>
        <v>9.1000000000000004E-3</v>
      </c>
      <c r="L73" s="1064">
        <v>0</v>
      </c>
      <c r="M73" s="1064">
        <f t="shared" si="21"/>
        <v>-9.1000000000000004E-3</v>
      </c>
      <c r="N73" s="1064">
        <f t="shared" si="21"/>
        <v>-1.8200000000000001E-2</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t="s">
        <v>3454</v>
      </c>
      <c r="D74" s="1065">
        <f t="shared" si="17"/>
        <v>3.5000000000000001E-3</v>
      </c>
      <c r="E74" s="747"/>
      <c r="F74" s="1814"/>
      <c r="G74" s="1063">
        <f t="shared" si="22"/>
        <v>3.5000000000000001E-3</v>
      </c>
      <c r="H74" s="1066">
        <f t="shared" si="18"/>
        <v>3.5000000000000001E-3</v>
      </c>
      <c r="I74" s="3367">
        <v>0.1</v>
      </c>
      <c r="J74" s="1064">
        <f t="shared" si="19"/>
        <v>7.0000000000000001E-3</v>
      </c>
      <c r="K74" s="1064">
        <f t="shared" si="20"/>
        <v>3.5000000000000001E-3</v>
      </c>
      <c r="L74" s="1064">
        <v>0</v>
      </c>
      <c r="M74" s="1064">
        <f t="shared" si="21"/>
        <v>-3.5000000000000001E-3</v>
      </c>
      <c r="N74" s="1064">
        <f t="shared" si="21"/>
        <v>-7.0000000000000001E-3</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3455</v>
      </c>
      <c r="D75" s="1065">
        <f t="shared" si="17"/>
        <v>-1.6999999999999999E-3</v>
      </c>
      <c r="E75" s="747"/>
      <c r="F75" s="1814"/>
      <c r="G75" s="1063">
        <f t="shared" si="22"/>
        <v>1.6999999999999999E-3</v>
      </c>
      <c r="H75" s="1066">
        <f t="shared" si="18"/>
        <v>1.6999999999999999E-3</v>
      </c>
      <c r="I75" s="3367">
        <v>0.05</v>
      </c>
      <c r="J75" s="1064">
        <f t="shared" si="19"/>
        <v>3.3999999999999998E-3</v>
      </c>
      <c r="K75" s="1064">
        <f t="shared" si="20"/>
        <v>1.6999999999999999E-3</v>
      </c>
      <c r="L75" s="1064">
        <v>0</v>
      </c>
      <c r="M75" s="1064">
        <f t="shared" si="21"/>
        <v>-1.6999999999999999E-3</v>
      </c>
      <c r="N75" s="1064">
        <f t="shared" si="21"/>
        <v>-3.3999999999999998E-3</v>
      </c>
      <c r="O75" s="1119"/>
      <c r="P75" s="1119"/>
      <c r="Q75" s="1997"/>
      <c r="Z75" s="1998"/>
      <c r="AA75" s="2053"/>
      <c r="AG75" s="1121"/>
      <c r="AK75" s="2053"/>
    </row>
    <row r="76" spans="1:37" ht="25.5">
      <c r="A76" s="2130" t="s">
        <v>2059</v>
      </c>
      <c r="B76" s="1326" t="str">
        <f>估价对象房地状况!C21</f>
        <v>估价对象所在区域公共配套设施齐备情况</v>
      </c>
      <c r="C76" s="2044" t="s">
        <v>3454</v>
      </c>
      <c r="D76" s="1065">
        <f t="shared" si="17"/>
        <v>2.8E-3</v>
      </c>
      <c r="E76" s="747"/>
      <c r="F76" s="1814"/>
      <c r="G76" s="1063">
        <f t="shared" si="22"/>
        <v>2.8E-3</v>
      </c>
      <c r="H76" s="1066">
        <f t="shared" si="18"/>
        <v>2.8E-3</v>
      </c>
      <c r="I76" s="3367">
        <v>0.08</v>
      </c>
      <c r="J76" s="1064">
        <f t="shared" si="19"/>
        <v>5.5999999999999999E-3</v>
      </c>
      <c r="K76" s="1064">
        <f t="shared" si="20"/>
        <v>2.8E-3</v>
      </c>
      <c r="L76" s="1064">
        <v>0</v>
      </c>
      <c r="M76" s="1064">
        <f t="shared" si="21"/>
        <v>-2.8E-3</v>
      </c>
      <c r="N76" s="1064">
        <f t="shared" si="21"/>
        <v>-5.5999999999999999E-3</v>
      </c>
      <c r="O76" s="1119"/>
      <c r="P76" s="1119"/>
      <c r="Z76" s="1998"/>
      <c r="AA76" s="2053"/>
      <c r="AG76" s="1121"/>
      <c r="AK76" s="2053"/>
    </row>
    <row r="77" spans="1:37" ht="25.5">
      <c r="A77" s="2130" t="s">
        <v>2060</v>
      </c>
      <c r="B77" s="1326" t="str">
        <f>估价对象房地状况!C22</f>
        <v>估价对象所在区域基础设施水平</v>
      </c>
      <c r="C77" s="2044" t="s">
        <v>3456</v>
      </c>
      <c r="D77" s="1065">
        <f t="shared" si="17"/>
        <v>6.1999999999999998E-3</v>
      </c>
      <c r="E77" s="747"/>
      <c r="F77" s="1814"/>
      <c r="G77" s="1063">
        <f t="shared" si="22"/>
        <v>3.0999999999999999E-3</v>
      </c>
      <c r="H77" s="1066">
        <f t="shared" si="18"/>
        <v>3.0999999999999999E-3</v>
      </c>
      <c r="I77" s="3367">
        <v>0.09</v>
      </c>
      <c r="J77" s="1064">
        <f t="shared" si="19"/>
        <v>6.1999999999999998E-3</v>
      </c>
      <c r="K77" s="1064">
        <f t="shared" si="20"/>
        <v>3.0999999999999999E-3</v>
      </c>
      <c r="L77" s="1064">
        <v>0</v>
      </c>
      <c r="M77" s="1064">
        <f t="shared" si="21"/>
        <v>-3.0999999999999999E-3</v>
      </c>
      <c r="N77" s="1064">
        <f t="shared" si="21"/>
        <v>-6.1999999999999998E-3</v>
      </c>
      <c r="O77" s="1119"/>
      <c r="P77" s="1119"/>
      <c r="Z77" s="1998"/>
      <c r="AA77" s="2053"/>
      <c r="AG77" s="1121"/>
      <c r="AK77" s="2053"/>
    </row>
    <row r="78" spans="1:37" ht="24">
      <c r="A78" s="2130" t="s">
        <v>2057</v>
      </c>
      <c r="B78" s="2136" t="s">
        <v>2058</v>
      </c>
      <c r="C78" s="2044" t="s">
        <v>3454</v>
      </c>
      <c r="D78" s="1065">
        <f t="shared" si="17"/>
        <v>1.6999999999999999E-3</v>
      </c>
      <c r="E78" s="747"/>
      <c r="F78" s="1814"/>
      <c r="G78" s="1063">
        <f t="shared" si="22"/>
        <v>1.6999999999999999E-3</v>
      </c>
      <c r="H78" s="1066">
        <f t="shared" si="18"/>
        <v>1.6999999999999999E-3</v>
      </c>
      <c r="I78" s="3367">
        <v>0.05</v>
      </c>
      <c r="J78" s="1064">
        <f t="shared" si="19"/>
        <v>3.3999999999999998E-3</v>
      </c>
      <c r="K78" s="1064">
        <f t="shared" si="20"/>
        <v>1.6999999999999999E-3</v>
      </c>
      <c r="L78" s="1064">
        <v>0</v>
      </c>
      <c r="M78" s="1064">
        <f t="shared" si="21"/>
        <v>-1.6999999999999999E-3</v>
      </c>
      <c r="N78" s="1064">
        <f t="shared" si="21"/>
        <v>-3.3999999999999998E-3</v>
      </c>
      <c r="O78" s="1997"/>
      <c r="P78" s="1997"/>
      <c r="Z78" s="1998"/>
      <c r="AA78" s="2053"/>
      <c r="AG78" s="1121"/>
      <c r="AK78" s="2053"/>
    </row>
    <row r="79" spans="1:37" ht="25.5">
      <c r="A79" s="2130" t="s">
        <v>2061</v>
      </c>
      <c r="B79" s="2133" t="str">
        <f>估价对象房地状况!C20</f>
        <v>区域自然环境：；人文环境；综合评价环境状况一般</v>
      </c>
      <c r="C79" s="2044" t="s">
        <v>3454</v>
      </c>
      <c r="D79" s="1065">
        <f t="shared" si="17"/>
        <v>4.1999999999999997E-3</v>
      </c>
      <c r="E79" s="747"/>
      <c r="F79" s="1814"/>
      <c r="G79" s="1063">
        <f t="shared" si="22"/>
        <v>4.1999999999999997E-3</v>
      </c>
      <c r="H79" s="1066">
        <f t="shared" si="18"/>
        <v>4.1999999999999997E-3</v>
      </c>
      <c r="I79" s="3367">
        <v>0.12</v>
      </c>
      <c r="J79" s="1064">
        <f t="shared" si="19"/>
        <v>8.3999999999999995E-3</v>
      </c>
      <c r="K79" s="1064">
        <f t="shared" si="20"/>
        <v>4.1999999999999997E-3</v>
      </c>
      <c r="L79" s="1064">
        <v>0</v>
      </c>
      <c r="M79" s="1064">
        <f t="shared" si="21"/>
        <v>-4.1999999999999997E-3</v>
      </c>
      <c r="N79" s="1064">
        <f t="shared" si="21"/>
        <v>-8.3999999999999995E-3</v>
      </c>
      <c r="Z79" s="1998"/>
      <c r="AA79" s="2053"/>
      <c r="AG79" s="1121"/>
      <c r="AK79" s="2053"/>
    </row>
    <row r="80" spans="1:37" ht="24.75" thickBot="1">
      <c r="A80" s="2138" t="s">
        <v>2068</v>
      </c>
      <c r="B80" s="2142"/>
      <c r="C80" s="2044" t="s">
        <v>3454</v>
      </c>
      <c r="D80" s="1065">
        <f t="shared" si="17"/>
        <v>1.6999999999999999E-3</v>
      </c>
      <c r="E80" s="748"/>
      <c r="F80" s="1814"/>
      <c r="G80" s="1063">
        <f t="shared" si="22"/>
        <v>1.6999999999999999E-3</v>
      </c>
      <c r="H80" s="1066">
        <f t="shared" si="18"/>
        <v>1.6999999999999999E-3</v>
      </c>
      <c r="I80" s="3368">
        <v>0.05</v>
      </c>
      <c r="J80" s="1064">
        <f t="shared" si="19"/>
        <v>3.3999999999999998E-3</v>
      </c>
      <c r="K80" s="1064">
        <f t="shared" si="20"/>
        <v>1.6999999999999999E-3</v>
      </c>
      <c r="L80" s="1064">
        <v>0</v>
      </c>
      <c r="M80" s="1064">
        <f t="shared" si="21"/>
        <v>-1.6999999999999999E-3</v>
      </c>
      <c r="N80" s="1064">
        <f t="shared" si="21"/>
        <v>-3.3999999999999998E-3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3269</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8" t="s">
        <v>3293</v>
      </c>
      <c r="B103" s="3768"/>
      <c r="C103" s="3768"/>
      <c r="D103" s="3768"/>
      <c r="E103" s="3768"/>
      <c r="F103" s="3768"/>
      <c r="G103" s="3768"/>
      <c r="H103" s="3768"/>
      <c r="I103" s="3768"/>
      <c r="J103" s="3768"/>
      <c r="K103" s="3390"/>
      <c r="L103" s="3390"/>
      <c r="M103" s="3390"/>
      <c r="N103" s="3390"/>
    </row>
    <row r="104" spans="1:14">
      <c r="A104" s="3769" t="s">
        <v>3294</v>
      </c>
      <c r="B104" s="3769" t="s">
        <v>3295</v>
      </c>
      <c r="C104" s="3391" t="s">
        <v>3296</v>
      </c>
      <c r="D104" s="3392"/>
      <c r="E104" s="3392"/>
      <c r="F104" s="3392"/>
      <c r="G104" s="3392"/>
      <c r="H104" s="3392"/>
      <c r="I104" s="3392"/>
      <c r="J104" s="3393"/>
      <c r="K104" s="3394"/>
      <c r="L104" s="3394"/>
      <c r="M104" s="3394"/>
      <c r="N104" s="3394"/>
    </row>
    <row r="105" spans="1:14">
      <c r="A105" s="3769"/>
      <c r="B105" s="3769"/>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755"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3267</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8" t="s">
        <v>3310</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2.5</v>
      </c>
      <c r="C116" s="3400" t="s">
        <v>3312</v>
      </c>
      <c r="D116" s="3401">
        <f>SUMPRODUCT((A118:A122=F116)*(B117:M117=H116)*B118:M122)</f>
        <v>0.90080000000000005</v>
      </c>
      <c r="E116" s="2000" t="s">
        <v>3313</v>
      </c>
      <c r="F116" s="3402" t="str">
        <f>E2</f>
        <v>住宅</v>
      </c>
      <c r="G116" s="2000" t="s">
        <v>3314</v>
      </c>
      <c r="H116" s="3402" t="str">
        <f>G2</f>
        <v>三级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3328</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3329</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3330</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2611</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23</v>
      </c>
      <c r="C2" s="2145" t="s">
        <v>2074</v>
      </c>
      <c r="D2" s="2145" t="s">
        <v>2075</v>
      </c>
      <c r="E2" s="2612">
        <f ca="1">SUMIF(E6:E13,"&lt;&gt;#ref!",E6:E13)</f>
        <v>40.630000000000003</v>
      </c>
      <c r="F2" s="2793"/>
      <c r="G2" s="2793"/>
      <c r="H2" s="2793"/>
      <c r="I2" s="2793"/>
      <c r="J2" s="2793"/>
      <c r="K2" s="2793"/>
      <c r="L2" s="2793"/>
      <c r="M2" s="2793"/>
      <c r="N2" s="2793"/>
      <c r="O2" s="2793"/>
      <c r="P2" s="2793"/>
    </row>
    <row r="3" spans="1:16" ht="15.75">
      <c r="A3" s="2145" t="s">
        <v>2076</v>
      </c>
      <c r="B3" s="2602">
        <f ca="1">ROUND(B2*10000/E2,0)</f>
        <v>5661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23</v>
      </c>
      <c r="C6" s="2145" t="s">
        <v>2074</v>
      </c>
      <c r="D6" s="2793"/>
      <c r="E6" s="2612">
        <f ca="1">SUMIF(INDIRECT("'"&amp;A6&amp;"'"&amp;"!C:C"),"建筑面积",INDIRECT("'"&amp;A6&amp;"'"&amp;"!D:D"))</f>
        <v>40.630000000000003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81" t="s">
        <v>2606</v>
      </c>
      <c r="B20" s="3774" t="s">
        <v>2627</v>
      </c>
      <c r="C20" s="3103" t="s">
        <v>2438</v>
      </c>
      <c r="D20" s="3104"/>
      <c r="E20" s="3105">
        <v>1</v>
      </c>
      <c r="F20" s="3106" t="s">
        <v>2439</v>
      </c>
      <c r="G20" s="3106"/>
    </row>
    <row r="21" spans="1:13" ht="19.5" customHeight="1">
      <c r="A21" s="3782"/>
      <c r="B21" s="3775"/>
      <c r="C21" s="3107" t="s">
        <v>2440</v>
      </c>
      <c r="D21" s="3108"/>
      <c r="E21" s="3109">
        <v>1</v>
      </c>
      <c r="F21" s="3106" t="s">
        <v>2441</v>
      </c>
      <c r="G21" s="3106"/>
    </row>
    <row r="22" spans="1:13" ht="19.5" customHeight="1">
      <c r="A22" s="3782"/>
      <c r="B22" s="3775"/>
      <c r="C22" s="3107" t="s">
        <v>2442</v>
      </c>
      <c r="D22" s="3108"/>
      <c r="E22" s="3109">
        <v>0.9</v>
      </c>
      <c r="F22" s="3106" t="s">
        <v>2443</v>
      </c>
      <c r="G22" s="3106"/>
    </row>
    <row r="23" spans="1:13" ht="19.5" customHeight="1">
      <c r="A23" s="3782"/>
      <c r="B23" s="3775"/>
      <c r="C23" s="3107" t="s">
        <v>2444</v>
      </c>
      <c r="D23" s="3108"/>
      <c r="E23" s="3109">
        <v>0.9</v>
      </c>
      <c r="F23" s="3106" t="s">
        <v>2445</v>
      </c>
      <c r="G23" s="3106"/>
    </row>
    <row r="24" spans="1:13" ht="19.5" customHeight="1">
      <c r="A24" s="3782"/>
      <c r="B24" s="3775"/>
      <c r="C24" s="3107" t="s">
        <v>2446</v>
      </c>
      <c r="D24" s="3108"/>
      <c r="E24" s="3109">
        <v>0.8</v>
      </c>
      <c r="F24" s="3106" t="s">
        <v>2447</v>
      </c>
      <c r="G24" s="3106"/>
    </row>
    <row r="25" spans="1:13" ht="19.5" customHeight="1" thickBot="1">
      <c r="A25" s="3783"/>
      <c r="B25" s="3776"/>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77" t="s">
        <v>2630</v>
      </c>
      <c r="B27" s="3774" t="s">
        <v>2611</v>
      </c>
      <c r="C27" s="3103" t="s">
        <v>2451</v>
      </c>
      <c r="D27" s="3104"/>
      <c r="E27" s="3105">
        <v>1</v>
      </c>
      <c r="F27" s="3106" t="s">
        <v>2452</v>
      </c>
      <c r="G27" s="3106"/>
    </row>
    <row r="28" spans="1:13" ht="19.5" customHeight="1">
      <c r="A28" s="3778"/>
      <c r="B28" s="3775"/>
      <c r="C28" s="3107" t="s">
        <v>2453</v>
      </c>
      <c r="D28" s="3108"/>
      <c r="E28" s="3109">
        <v>1</v>
      </c>
      <c r="F28" s="3106" t="s">
        <v>2454</v>
      </c>
      <c r="G28" s="3106"/>
    </row>
    <row r="29" spans="1:13" ht="19.5" customHeight="1">
      <c r="A29" s="3778"/>
      <c r="B29" s="3775"/>
      <c r="C29" s="3107" t="s">
        <v>2455</v>
      </c>
      <c r="D29" s="3108"/>
      <c r="E29" s="3109">
        <v>0.8</v>
      </c>
      <c r="F29" s="3106" t="s">
        <v>2456</v>
      </c>
      <c r="G29" s="3106"/>
    </row>
    <row r="30" spans="1:13" ht="19.5" customHeight="1">
      <c r="A30" s="3778"/>
      <c r="B30" s="3775"/>
      <c r="C30" s="3107" t="s">
        <v>2457</v>
      </c>
      <c r="D30" s="3108"/>
      <c r="E30" s="3109">
        <v>0.8</v>
      </c>
      <c r="F30" s="3106" t="s">
        <v>2458</v>
      </c>
      <c r="G30" s="3106"/>
    </row>
    <row r="31" spans="1:13" ht="19.5" customHeight="1">
      <c r="A31" s="3778"/>
      <c r="B31" s="3775"/>
      <c r="C31" s="3107" t="s">
        <v>2459</v>
      </c>
      <c r="D31" s="3108"/>
      <c r="E31" s="3109">
        <v>0.8</v>
      </c>
      <c r="F31" s="3106" t="s">
        <v>2460</v>
      </c>
      <c r="G31" s="3106"/>
    </row>
    <row r="32" spans="1:13" ht="19.5" customHeight="1">
      <c r="A32" s="3778"/>
      <c r="B32" s="3775"/>
      <c r="C32" s="3107" t="s">
        <v>2461</v>
      </c>
      <c r="D32" s="3108"/>
      <c r="E32" s="3109">
        <v>0.7</v>
      </c>
      <c r="F32" s="3106" t="s">
        <v>2462</v>
      </c>
      <c r="G32" s="3106"/>
    </row>
    <row r="33" spans="1:7" ht="19.5" customHeight="1">
      <c r="A33" s="3778"/>
      <c r="B33" s="3775"/>
      <c r="C33" s="3107" t="s">
        <v>2463</v>
      </c>
      <c r="D33" s="3108"/>
      <c r="E33" s="3109">
        <v>0.8</v>
      </c>
      <c r="F33" s="3106" t="s">
        <v>2464</v>
      </c>
      <c r="G33" s="3106"/>
    </row>
    <row r="34" spans="1:7" ht="19.5" customHeight="1">
      <c r="A34" s="3778"/>
      <c r="B34" s="3775"/>
      <c r="C34" s="3107" t="s">
        <v>2465</v>
      </c>
      <c r="D34" s="3108"/>
      <c r="E34" s="3109">
        <v>0.6</v>
      </c>
      <c r="F34" s="3106" t="s">
        <v>2466</v>
      </c>
      <c r="G34" s="3106"/>
    </row>
    <row r="35" spans="1:7" ht="19.5" customHeight="1">
      <c r="A35" s="3778"/>
      <c r="B35" s="3775"/>
      <c r="C35" s="3107" t="s">
        <v>2467</v>
      </c>
      <c r="D35" s="3108"/>
      <c r="E35" s="3109">
        <v>0.2</v>
      </c>
      <c r="F35" s="3106" t="s">
        <v>2468</v>
      </c>
      <c r="G35" s="3106"/>
    </row>
    <row r="36" spans="1:7" ht="19.5" customHeight="1">
      <c r="A36" s="3778"/>
      <c r="B36" s="3775"/>
      <c r="C36" s="3107" t="s">
        <v>2469</v>
      </c>
      <c r="D36" s="3108"/>
      <c r="E36" s="3109">
        <v>0.2</v>
      </c>
      <c r="F36" s="3106" t="s">
        <v>2470</v>
      </c>
      <c r="G36" s="3106"/>
    </row>
    <row r="37" spans="1:7" ht="19.5" customHeight="1">
      <c r="A37" s="3778"/>
      <c r="B37" s="3780" t="s">
        <v>2631</v>
      </c>
      <c r="C37" s="3107" t="s">
        <v>2471</v>
      </c>
      <c r="D37" s="3108"/>
      <c r="E37" s="3109">
        <v>0.6</v>
      </c>
      <c r="F37" s="3106" t="s">
        <v>2472</v>
      </c>
      <c r="G37" s="3106"/>
    </row>
    <row r="38" spans="1:7" ht="19.5" customHeight="1">
      <c r="A38" s="3778"/>
      <c r="B38" s="3775"/>
      <c r="C38" s="3107" t="s">
        <v>2473</v>
      </c>
      <c r="D38" s="3108"/>
      <c r="E38" s="3109">
        <v>0.6</v>
      </c>
      <c r="F38" s="3106" t="s">
        <v>2474</v>
      </c>
      <c r="G38" s="3106"/>
    </row>
    <row r="39" spans="1:7" ht="19.5" customHeight="1" thickBot="1">
      <c r="A39" s="3779"/>
      <c r="B39" s="3776"/>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81" t="s">
        <v>2609</v>
      </c>
      <c r="B41" s="3774" t="s">
        <v>2633</v>
      </c>
      <c r="C41" s="3103" t="s">
        <v>2478</v>
      </c>
      <c r="D41" s="3104"/>
      <c r="E41" s="3105">
        <v>1</v>
      </c>
      <c r="F41" s="3106" t="s">
        <v>2479</v>
      </c>
      <c r="G41" s="3106"/>
    </row>
    <row r="42" spans="1:7" ht="19.5" customHeight="1">
      <c r="A42" s="3782"/>
      <c r="B42" s="3775"/>
      <c r="C42" s="3107" t="s">
        <v>2480</v>
      </c>
      <c r="D42" s="3108"/>
      <c r="E42" s="3109">
        <v>1</v>
      </c>
      <c r="F42" s="3106" t="s">
        <v>2481</v>
      </c>
      <c r="G42" s="3106"/>
    </row>
    <row r="43" spans="1:7" ht="19.5" customHeight="1">
      <c r="A43" s="3782"/>
      <c r="B43" s="3784"/>
      <c r="C43" s="3107" t="s">
        <v>2482</v>
      </c>
      <c r="D43" s="3108"/>
      <c r="E43" s="3109">
        <v>1.5</v>
      </c>
      <c r="F43" s="3106" t="s">
        <v>2483</v>
      </c>
      <c r="G43" s="3106"/>
    </row>
    <row r="44" spans="1:7" ht="19.5" customHeight="1">
      <c r="A44" s="3782"/>
      <c r="B44" s="3118" t="s">
        <v>2634</v>
      </c>
      <c r="C44" s="3107" t="s">
        <v>2635</v>
      </c>
      <c r="D44" s="3108"/>
      <c r="E44" s="3109">
        <v>2</v>
      </c>
      <c r="F44" s="3106" t="s">
        <v>2484</v>
      </c>
      <c r="G44" s="3106"/>
    </row>
    <row r="45" spans="1:7" ht="19.5" customHeight="1">
      <c r="A45" s="3782"/>
      <c r="B45" s="3780" t="s">
        <v>2636</v>
      </c>
      <c r="C45" s="3107" t="s">
        <v>2485</v>
      </c>
      <c r="D45" s="3108"/>
      <c r="E45" s="3109">
        <v>1</v>
      </c>
      <c r="F45" s="3106" t="s">
        <v>2486</v>
      </c>
      <c r="G45" s="3106"/>
    </row>
    <row r="46" spans="1:7" ht="19.5" customHeight="1">
      <c r="A46" s="3782"/>
      <c r="B46" s="3775"/>
      <c r="C46" s="3107" t="s">
        <v>2487</v>
      </c>
      <c r="D46" s="3108"/>
      <c r="E46" s="3109">
        <v>1</v>
      </c>
      <c r="F46" s="3106" t="s">
        <v>2488</v>
      </c>
      <c r="G46" s="3106"/>
    </row>
    <row r="47" spans="1:7" ht="19.5" customHeight="1">
      <c r="A47" s="3782"/>
      <c r="B47" s="3775"/>
      <c r="C47" s="3107" t="s">
        <v>2489</v>
      </c>
      <c r="D47" s="3108"/>
      <c r="E47" s="3109">
        <v>1</v>
      </c>
      <c r="F47" s="3106" t="s">
        <v>2490</v>
      </c>
      <c r="G47" s="3106"/>
    </row>
    <row r="48" spans="1:7" ht="19.5" customHeight="1">
      <c r="A48" s="3782"/>
      <c r="B48" s="3775"/>
      <c r="C48" s="3107" t="s">
        <v>2491</v>
      </c>
      <c r="D48" s="3108"/>
      <c r="E48" s="3109">
        <v>1</v>
      </c>
      <c r="F48" s="3106" t="s">
        <v>2492</v>
      </c>
      <c r="G48" s="3106"/>
    </row>
    <row r="49" spans="1:7" ht="19.5" customHeight="1">
      <c r="A49" s="3782"/>
      <c r="B49" s="3775"/>
      <c r="C49" s="3107" t="s">
        <v>2493</v>
      </c>
      <c r="D49" s="3108"/>
      <c r="E49" s="3109">
        <v>1</v>
      </c>
      <c r="F49" s="3106" t="s">
        <v>2494</v>
      </c>
      <c r="G49" s="3106"/>
    </row>
    <row r="50" spans="1:7" ht="19.5" customHeight="1">
      <c r="A50" s="3782"/>
      <c r="B50" s="3775"/>
      <c r="C50" s="3107" t="s">
        <v>2495</v>
      </c>
      <c r="D50" s="3108"/>
      <c r="E50" s="3109">
        <v>1</v>
      </c>
      <c r="F50" s="3106" t="s">
        <v>2496</v>
      </c>
      <c r="G50" s="3106"/>
    </row>
    <row r="51" spans="1:7" ht="19.5" customHeight="1" thickBot="1">
      <c r="A51" s="3783"/>
      <c r="B51" s="3776"/>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3.5">
      <c r="A72" s="3118"/>
      <c r="B72" s="3118"/>
      <c r="C72" s="3118" t="s">
        <v>2649</v>
      </c>
      <c r="D72" s="3118"/>
      <c r="E72" s="3118" t="s">
        <v>2620</v>
      </c>
      <c r="F72" s="3118" t="s">
        <v>2620</v>
      </c>
    </row>
    <row r="73" spans="1:7" ht="13.5">
      <c r="A73" s="3118">
        <v>1</v>
      </c>
      <c r="B73" s="3780" t="s">
        <v>2650</v>
      </c>
      <c r="C73" s="3092" t="s">
        <v>2651</v>
      </c>
      <c r="D73" s="3092" t="s">
        <v>2652</v>
      </c>
      <c r="E73" s="3118">
        <v>0.2</v>
      </c>
      <c r="F73" s="3118">
        <v>25</v>
      </c>
    </row>
    <row r="74" spans="1:7" ht="24">
      <c r="A74" s="3118">
        <v>2</v>
      </c>
      <c r="B74" s="3775"/>
      <c r="C74" s="3092" t="s">
        <v>2653</v>
      </c>
      <c r="D74" s="3092" t="s">
        <v>2654</v>
      </c>
      <c r="E74" s="3118">
        <v>0.2</v>
      </c>
      <c r="F74" s="3118">
        <v>25</v>
      </c>
    </row>
    <row r="75" spans="1:7" ht="24">
      <c r="A75" s="3118">
        <v>3</v>
      </c>
      <c r="B75" s="3775"/>
      <c r="C75" s="3092" t="s">
        <v>2655</v>
      </c>
      <c r="D75" s="3092" t="s">
        <v>2656</v>
      </c>
      <c r="E75" s="3118">
        <v>0.2</v>
      </c>
      <c r="F75" s="3118">
        <v>25</v>
      </c>
    </row>
    <row r="76" spans="1:7" ht="13.5">
      <c r="A76" s="3118">
        <v>4</v>
      </c>
      <c r="B76" s="3775"/>
      <c r="C76" s="3092" t="s">
        <v>2657</v>
      </c>
      <c r="D76" s="3092" t="s">
        <v>2658</v>
      </c>
      <c r="E76" s="3118">
        <v>0.15</v>
      </c>
      <c r="F76" s="3118">
        <v>20</v>
      </c>
    </row>
    <row r="77" spans="1:7" ht="24">
      <c r="A77" s="3118">
        <v>5</v>
      </c>
      <c r="B77" s="3775"/>
      <c r="C77" s="3092" t="s">
        <v>2659</v>
      </c>
      <c r="D77" s="3092" t="s">
        <v>2660</v>
      </c>
      <c r="E77" s="3118">
        <v>0.15</v>
      </c>
      <c r="F77" s="3118">
        <v>20</v>
      </c>
    </row>
    <row r="78" spans="1:7" ht="24">
      <c r="A78" s="3118">
        <v>6</v>
      </c>
      <c r="B78" s="3775"/>
      <c r="C78" s="3092" t="s">
        <v>2661</v>
      </c>
      <c r="D78" s="3092" t="s">
        <v>2662</v>
      </c>
      <c r="E78" s="3118">
        <v>0.15</v>
      </c>
      <c r="F78" s="3118">
        <v>20</v>
      </c>
    </row>
    <row r="79" spans="1:7" ht="24">
      <c r="A79" s="3118">
        <v>7</v>
      </c>
      <c r="B79" s="3775"/>
      <c r="C79" s="3092" t="s">
        <v>2663</v>
      </c>
      <c r="D79" s="3092" t="s">
        <v>2664</v>
      </c>
      <c r="E79" s="3118">
        <v>0.15</v>
      </c>
      <c r="F79" s="3118">
        <v>20</v>
      </c>
    </row>
    <row r="80" spans="1:7" ht="24">
      <c r="A80" s="3118">
        <v>8</v>
      </c>
      <c r="B80" s="3775"/>
      <c r="C80" s="3092" t="s">
        <v>2665</v>
      </c>
      <c r="D80" s="3092" t="s">
        <v>2666</v>
      </c>
      <c r="E80" s="3118">
        <v>0.1</v>
      </c>
      <c r="F80" s="3118">
        <v>15</v>
      </c>
    </row>
    <row r="81" spans="1:6" ht="24">
      <c r="A81" s="3118">
        <v>9</v>
      </c>
      <c r="B81" s="3775"/>
      <c r="C81" s="3092" t="s">
        <v>2667</v>
      </c>
      <c r="D81" s="3092" t="s">
        <v>2668</v>
      </c>
      <c r="E81" s="3118">
        <v>0.1</v>
      </c>
      <c r="F81" s="3118">
        <v>15</v>
      </c>
    </row>
    <row r="82" spans="1:6" ht="24">
      <c r="A82" s="3118">
        <v>10</v>
      </c>
      <c r="B82" s="3775"/>
      <c r="C82" s="3092" t="s">
        <v>2669</v>
      </c>
      <c r="D82" s="3092" t="s">
        <v>2670</v>
      </c>
      <c r="E82" s="3118">
        <v>0.1</v>
      </c>
      <c r="F82" s="3118">
        <v>15</v>
      </c>
    </row>
    <row r="83" spans="1:6" ht="24">
      <c r="A83" s="3118">
        <v>11</v>
      </c>
      <c r="B83" s="3775"/>
      <c r="C83" s="3092" t="s">
        <v>2671</v>
      </c>
      <c r="D83" s="3092" t="s">
        <v>2672</v>
      </c>
      <c r="E83" s="3118">
        <v>0.1</v>
      </c>
      <c r="F83" s="3118">
        <v>15</v>
      </c>
    </row>
    <row r="84" spans="1:6" ht="24">
      <c r="A84" s="3118">
        <v>12</v>
      </c>
      <c r="B84" s="3775"/>
      <c r="C84" s="3092" t="s">
        <v>2673</v>
      </c>
      <c r="D84" s="3092" t="s">
        <v>2674</v>
      </c>
      <c r="E84" s="3118">
        <v>0.1</v>
      </c>
      <c r="F84" s="3118">
        <v>15</v>
      </c>
    </row>
    <row r="85" spans="1:6" ht="13.5">
      <c r="A85" s="3118">
        <v>13</v>
      </c>
      <c r="B85" s="3775"/>
      <c r="C85" s="3092" t="s">
        <v>2675</v>
      </c>
      <c r="D85" s="3092" t="s">
        <v>2676</v>
      </c>
      <c r="E85" s="3118">
        <v>0.1</v>
      </c>
      <c r="F85" s="3118">
        <v>15</v>
      </c>
    </row>
    <row r="86" spans="1:6" ht="13.5">
      <c r="A86" s="3118">
        <v>14</v>
      </c>
      <c r="B86" s="3775"/>
      <c r="C86" s="3092" t="s">
        <v>2677</v>
      </c>
      <c r="D86" s="3092" t="s">
        <v>2678</v>
      </c>
      <c r="E86" s="3118">
        <v>0.1</v>
      </c>
      <c r="F86" s="3118">
        <v>15</v>
      </c>
    </row>
    <row r="87" spans="1:6" ht="13.5">
      <c r="A87" s="3118">
        <v>15</v>
      </c>
      <c r="B87" s="3775"/>
      <c r="C87" s="3092" t="s">
        <v>2679</v>
      </c>
      <c r="D87" s="3092" t="s">
        <v>2680</v>
      </c>
      <c r="E87" s="3118">
        <v>0.1</v>
      </c>
      <c r="F87" s="3118">
        <v>15</v>
      </c>
    </row>
    <row r="88" spans="1:6" ht="24">
      <c r="A88" s="3118">
        <v>16</v>
      </c>
      <c r="B88" s="3775"/>
      <c r="C88" s="3092" t="s">
        <v>2681</v>
      </c>
      <c r="D88" s="3092" t="s">
        <v>2682</v>
      </c>
      <c r="E88" s="3118">
        <v>0.1</v>
      </c>
      <c r="F88" s="3118">
        <v>15</v>
      </c>
    </row>
    <row r="89" spans="1:6" ht="24">
      <c r="A89" s="3118">
        <v>17</v>
      </c>
      <c r="B89" s="3784"/>
      <c r="C89" s="3092" t="s">
        <v>2683</v>
      </c>
      <c r="D89" s="3092" t="s">
        <v>2684</v>
      </c>
      <c r="E89" s="3118">
        <v>0.1</v>
      </c>
      <c r="F89" s="3118">
        <v>15</v>
      </c>
    </row>
    <row r="90" spans="1:6" ht="13.5">
      <c r="A90" s="3118">
        <v>18</v>
      </c>
      <c r="B90" s="3780" t="s">
        <v>2685</v>
      </c>
      <c r="C90" s="3092" t="s">
        <v>2686</v>
      </c>
      <c r="D90" s="3092" t="s">
        <v>2687</v>
      </c>
      <c r="E90" s="3118">
        <v>0.2</v>
      </c>
      <c r="F90" s="3118">
        <v>25</v>
      </c>
    </row>
    <row r="91" spans="1:6" ht="24">
      <c r="A91" s="3118">
        <v>19</v>
      </c>
      <c r="B91" s="3775"/>
      <c r="C91" s="3092" t="s">
        <v>2688</v>
      </c>
      <c r="D91" s="3092" t="s">
        <v>2689</v>
      </c>
      <c r="E91" s="3118">
        <v>0.2</v>
      </c>
      <c r="F91" s="3118">
        <v>25</v>
      </c>
    </row>
    <row r="92" spans="1:6" ht="13.5">
      <c r="A92" s="3118">
        <v>20</v>
      </c>
      <c r="B92" s="3775"/>
      <c r="C92" s="3092" t="s">
        <v>2690</v>
      </c>
      <c r="D92" s="3092" t="s">
        <v>2691</v>
      </c>
      <c r="E92" s="3118">
        <v>0.15</v>
      </c>
      <c r="F92" s="3118">
        <v>20</v>
      </c>
    </row>
    <row r="93" spans="1:6" ht="13.5">
      <c r="A93" s="3118">
        <v>21</v>
      </c>
      <c r="B93" s="3775"/>
      <c r="C93" s="3092" t="s">
        <v>2692</v>
      </c>
      <c r="D93" s="3092" t="s">
        <v>2693</v>
      </c>
      <c r="E93" s="3118">
        <v>0.15</v>
      </c>
      <c r="F93" s="3118">
        <v>20</v>
      </c>
    </row>
    <row r="94" spans="1:6" ht="13.5">
      <c r="A94" s="3118">
        <v>22</v>
      </c>
      <c r="B94" s="3775"/>
      <c r="C94" s="3092" t="s">
        <v>2694</v>
      </c>
      <c r="D94" s="3092" t="s">
        <v>2695</v>
      </c>
      <c r="E94" s="3118">
        <v>0.15</v>
      </c>
      <c r="F94" s="3118">
        <v>20</v>
      </c>
    </row>
    <row r="95" spans="1:6" ht="36">
      <c r="A95" s="3118">
        <v>23</v>
      </c>
      <c r="B95" s="3775"/>
      <c r="C95" s="3092" t="s">
        <v>2696</v>
      </c>
      <c r="D95" s="3092" t="s">
        <v>2697</v>
      </c>
      <c r="E95" s="3118">
        <v>0.15</v>
      </c>
      <c r="F95" s="3118">
        <v>20</v>
      </c>
    </row>
    <row r="96" spans="1:6" ht="13.5">
      <c r="A96" s="3118">
        <v>24</v>
      </c>
      <c r="B96" s="3775"/>
      <c r="C96" s="3092" t="s">
        <v>2698</v>
      </c>
      <c r="D96" s="3092" t="s">
        <v>2699</v>
      </c>
      <c r="E96" s="3118">
        <v>0.1</v>
      </c>
      <c r="F96" s="3118">
        <v>15</v>
      </c>
    </row>
    <row r="97" spans="1:6" ht="13.5">
      <c r="A97" s="3118">
        <v>25</v>
      </c>
      <c r="B97" s="3775"/>
      <c r="C97" s="3092" t="s">
        <v>2700</v>
      </c>
      <c r="D97" s="3092" t="s">
        <v>2701</v>
      </c>
      <c r="E97" s="3118">
        <v>0.1</v>
      </c>
      <c r="F97" s="3118">
        <v>15</v>
      </c>
    </row>
    <row r="98" spans="1:6" ht="24">
      <c r="A98" s="3118">
        <v>26</v>
      </c>
      <c r="B98" s="3775"/>
      <c r="C98" s="3092" t="s">
        <v>2702</v>
      </c>
      <c r="D98" s="3092" t="s">
        <v>2703</v>
      </c>
      <c r="E98" s="3118">
        <v>0.1</v>
      </c>
      <c r="F98" s="3118">
        <v>15</v>
      </c>
    </row>
    <row r="99" spans="1:6" ht="24">
      <c r="A99" s="3118">
        <v>27</v>
      </c>
      <c r="B99" s="3775"/>
      <c r="C99" s="3092" t="s">
        <v>2704</v>
      </c>
      <c r="D99" s="3092" t="s">
        <v>2705</v>
      </c>
      <c r="E99" s="3118">
        <v>0.1</v>
      </c>
      <c r="F99" s="3118">
        <v>15</v>
      </c>
    </row>
    <row r="100" spans="1:6" ht="13.5">
      <c r="A100" s="3118">
        <v>28</v>
      </c>
      <c r="B100" s="3775"/>
      <c r="C100" s="3092" t="s">
        <v>2706</v>
      </c>
      <c r="D100" s="3092" t="s">
        <v>2707</v>
      </c>
      <c r="E100" s="3118">
        <v>0.1</v>
      </c>
      <c r="F100" s="3118">
        <v>15</v>
      </c>
    </row>
    <row r="101" spans="1:6" ht="13.5">
      <c r="A101" s="3118">
        <v>29</v>
      </c>
      <c r="B101" s="3775"/>
      <c r="C101" s="3092" t="s">
        <v>2708</v>
      </c>
      <c r="D101" s="3092" t="s">
        <v>2709</v>
      </c>
      <c r="E101" s="3118">
        <v>0.1</v>
      </c>
      <c r="F101" s="3118">
        <v>15</v>
      </c>
    </row>
    <row r="102" spans="1:6" ht="13.5">
      <c r="A102" s="3118">
        <v>30</v>
      </c>
      <c r="B102" s="3775"/>
      <c r="C102" s="3092" t="s">
        <v>2710</v>
      </c>
      <c r="D102" s="3092" t="s">
        <v>2711</v>
      </c>
      <c r="E102" s="3118">
        <v>0.1</v>
      </c>
      <c r="F102" s="3118">
        <v>15</v>
      </c>
    </row>
    <row r="103" spans="1:6" ht="24">
      <c r="A103" s="3118">
        <v>31</v>
      </c>
      <c r="B103" s="3775"/>
      <c r="C103" s="3092" t="s">
        <v>2712</v>
      </c>
      <c r="D103" s="3092" t="s">
        <v>2713</v>
      </c>
      <c r="E103" s="3118">
        <v>0.1</v>
      </c>
      <c r="F103" s="3118">
        <v>15</v>
      </c>
    </row>
    <row r="104" spans="1:6" ht="24">
      <c r="A104" s="3118">
        <v>32</v>
      </c>
      <c r="B104" s="3775"/>
      <c r="C104" s="3092" t="s">
        <v>2714</v>
      </c>
      <c r="D104" s="3092" t="s">
        <v>2715</v>
      </c>
      <c r="E104" s="3118">
        <v>0.1</v>
      </c>
      <c r="F104" s="3118">
        <v>15</v>
      </c>
    </row>
    <row r="105" spans="1:6" ht="24">
      <c r="A105" s="3118">
        <v>33</v>
      </c>
      <c r="B105" s="3775"/>
      <c r="C105" s="3092" t="s">
        <v>2716</v>
      </c>
      <c r="D105" s="3092" t="s">
        <v>2717</v>
      </c>
      <c r="E105" s="3118">
        <v>0.1</v>
      </c>
      <c r="F105" s="3118">
        <v>15</v>
      </c>
    </row>
    <row r="106" spans="1:6" ht="24">
      <c r="A106" s="3118">
        <v>34</v>
      </c>
      <c r="B106" s="3784"/>
      <c r="C106" s="3092" t="s">
        <v>2718</v>
      </c>
      <c r="D106" s="3092" t="s">
        <v>2719</v>
      </c>
      <c r="E106" s="3118">
        <v>0.1</v>
      </c>
      <c r="F106" s="3118">
        <v>15</v>
      </c>
    </row>
    <row r="107" spans="1:6" ht="24">
      <c r="A107" s="3118">
        <v>35</v>
      </c>
      <c r="B107" s="3780" t="s">
        <v>2720</v>
      </c>
      <c r="C107" s="3118" t="s">
        <v>2721</v>
      </c>
      <c r="D107" s="3092" t="s">
        <v>2722</v>
      </c>
      <c r="E107" s="3118">
        <v>0.15</v>
      </c>
      <c r="F107" s="3118">
        <v>20</v>
      </c>
    </row>
    <row r="108" spans="1:6" ht="13.5">
      <c r="A108" s="3118">
        <v>36</v>
      </c>
      <c r="B108" s="3775"/>
      <c r="C108" s="3118" t="s">
        <v>2723</v>
      </c>
      <c r="D108" s="3092" t="s">
        <v>2724</v>
      </c>
      <c r="E108" s="3118">
        <v>0.15</v>
      </c>
      <c r="F108" s="3118">
        <v>20</v>
      </c>
    </row>
    <row r="109" spans="1:6" ht="13.5">
      <c r="A109" s="3118">
        <v>37</v>
      </c>
      <c r="B109" s="3775"/>
      <c r="C109" s="3118" t="s">
        <v>2725</v>
      </c>
      <c r="D109" s="3092" t="s">
        <v>2726</v>
      </c>
      <c r="E109" s="3118">
        <v>0.15</v>
      </c>
      <c r="F109" s="3118">
        <v>20</v>
      </c>
    </row>
    <row r="110" spans="1:6" ht="13.5">
      <c r="A110" s="3118">
        <v>38</v>
      </c>
      <c r="B110" s="3775"/>
      <c r="C110" s="3118" t="s">
        <v>2727</v>
      </c>
      <c r="D110" s="3092" t="s">
        <v>2728</v>
      </c>
      <c r="E110" s="3118">
        <v>0.1</v>
      </c>
      <c r="F110" s="3118">
        <v>15</v>
      </c>
    </row>
    <row r="111" spans="1:6" ht="24">
      <c r="A111" s="3118">
        <v>39</v>
      </c>
      <c r="B111" s="3775"/>
      <c r="C111" s="3118" t="s">
        <v>2729</v>
      </c>
      <c r="D111" s="3092" t="s">
        <v>2730</v>
      </c>
      <c r="E111" s="3118">
        <v>0.1</v>
      </c>
      <c r="F111" s="3118">
        <v>15</v>
      </c>
    </row>
    <row r="112" spans="1:6" ht="24">
      <c r="A112" s="3118">
        <v>40</v>
      </c>
      <c r="B112" s="3784"/>
      <c r="C112" s="3118" t="s">
        <v>2731</v>
      </c>
      <c r="D112" s="3092" t="s">
        <v>2732</v>
      </c>
      <c r="E112" s="3118">
        <v>0.1</v>
      </c>
      <c r="F112" s="3118">
        <v>15</v>
      </c>
    </row>
    <row r="113" spans="1:6" ht="13.5">
      <c r="A113" s="3118">
        <v>41</v>
      </c>
      <c r="B113" s="3785" t="s">
        <v>2733</v>
      </c>
      <c r="C113" s="3118" t="s">
        <v>2734</v>
      </c>
      <c r="D113" s="3092" t="s">
        <v>2735</v>
      </c>
      <c r="E113" s="3118">
        <v>0.1</v>
      </c>
      <c r="F113" s="3118">
        <v>15</v>
      </c>
    </row>
    <row r="114" spans="1:6" ht="13.5">
      <c r="A114" s="3118">
        <v>42</v>
      </c>
      <c r="B114" s="3785"/>
      <c r="C114" s="3118" t="s">
        <v>2736</v>
      </c>
      <c r="D114" s="3092" t="s">
        <v>2737</v>
      </c>
      <c r="E114" s="3118">
        <v>0.1</v>
      </c>
      <c r="F114" s="3118">
        <v>15</v>
      </c>
    </row>
    <row r="115" spans="1:6" ht="24">
      <c r="A115" s="3118">
        <v>43</v>
      </c>
      <c r="B115" s="3785"/>
      <c r="C115" s="3118" t="s">
        <v>2738</v>
      </c>
      <c r="D115" s="3092" t="s">
        <v>2739</v>
      </c>
      <c r="E115" s="3118">
        <v>0.1</v>
      </c>
      <c r="F115" s="3118">
        <v>15</v>
      </c>
    </row>
    <row r="116" spans="1:6" ht="13.5">
      <c r="A116" s="3118">
        <v>44</v>
      </c>
      <c r="B116" s="3780" t="s">
        <v>2740</v>
      </c>
      <c r="C116" s="3118" t="s">
        <v>2741</v>
      </c>
      <c r="D116" s="3092" t="s">
        <v>2742</v>
      </c>
      <c r="E116" s="3118">
        <v>0.1</v>
      </c>
      <c r="F116" s="3118">
        <v>15</v>
      </c>
    </row>
    <row r="117" spans="1:6" ht="24">
      <c r="A117" s="3118">
        <v>45</v>
      </c>
      <c r="B117" s="3784"/>
      <c r="C117" s="3092" t="s">
        <v>2743</v>
      </c>
      <c r="D117" s="3092" t="s">
        <v>2744</v>
      </c>
      <c r="E117" s="3118">
        <v>0.1</v>
      </c>
      <c r="F117" s="3118">
        <v>15</v>
      </c>
    </row>
    <row r="118" spans="1:6" ht="24">
      <c r="A118" s="3118">
        <v>46</v>
      </c>
      <c r="B118" s="3780" t="s">
        <v>2745</v>
      </c>
      <c r="C118" s="3118" t="s">
        <v>2746</v>
      </c>
      <c r="D118" s="3092" t="s">
        <v>2747</v>
      </c>
      <c r="E118" s="3118">
        <v>0.1</v>
      </c>
      <c r="F118" s="3118">
        <v>15</v>
      </c>
    </row>
    <row r="119" spans="1:6" ht="24">
      <c r="A119" s="3118">
        <v>47</v>
      </c>
      <c r="B119" s="3784"/>
      <c r="C119" s="3118" t="s">
        <v>2748</v>
      </c>
      <c r="D119" s="3092" t="s">
        <v>2749</v>
      </c>
      <c r="E119" s="3118">
        <v>0.1</v>
      </c>
      <c r="F119" s="3118">
        <v>15</v>
      </c>
    </row>
    <row r="120" spans="1:6" ht="13.5">
      <c r="A120" s="3118">
        <v>48</v>
      </c>
      <c r="B120" s="3780" t="s">
        <v>2750</v>
      </c>
      <c r="C120" s="3118" t="s">
        <v>2751</v>
      </c>
      <c r="D120" s="3092" t="s">
        <v>2752</v>
      </c>
      <c r="E120" s="3118">
        <v>0.1</v>
      </c>
      <c r="F120" s="3118">
        <v>15</v>
      </c>
    </row>
    <row r="121" spans="1:6" ht="13.5">
      <c r="A121" s="3118">
        <v>49</v>
      </c>
      <c r="B121" s="3784"/>
      <c r="C121" s="3118" t="s">
        <v>2753</v>
      </c>
      <c r="D121" s="3092" t="s">
        <v>2754</v>
      </c>
      <c r="E121" s="3118">
        <v>0.1</v>
      </c>
      <c r="F121" s="3118">
        <v>15</v>
      </c>
    </row>
    <row r="122" spans="1:6" ht="24">
      <c r="A122" s="3118">
        <v>50</v>
      </c>
      <c r="B122" s="3785" t="s">
        <v>2755</v>
      </c>
      <c r="C122" s="3118" t="s">
        <v>2756</v>
      </c>
      <c r="D122" s="3092" t="s">
        <v>2757</v>
      </c>
      <c r="E122" s="3118">
        <v>0.1</v>
      </c>
      <c r="F122" s="3118">
        <v>15</v>
      </c>
    </row>
    <row r="123" spans="1:6" ht="24">
      <c r="A123" s="3118">
        <v>51</v>
      </c>
      <c r="B123" s="3785"/>
      <c r="C123" s="3118" t="s">
        <v>2758</v>
      </c>
      <c r="D123" s="3092" t="s">
        <v>2759</v>
      </c>
      <c r="E123" s="3118">
        <v>0.1</v>
      </c>
      <c r="F123" s="3118">
        <v>15</v>
      </c>
    </row>
    <row r="124" spans="1:6" ht="24">
      <c r="A124" s="3118">
        <v>52</v>
      </c>
      <c r="B124" s="3785" t="s">
        <v>2760</v>
      </c>
      <c r="C124" s="3118" t="s">
        <v>2761</v>
      </c>
      <c r="D124" s="3092" t="s">
        <v>2762</v>
      </c>
      <c r="E124" s="3118">
        <v>0.1</v>
      </c>
      <c r="F124" s="3118">
        <v>15</v>
      </c>
    </row>
    <row r="125" spans="1:6" ht="24">
      <c r="A125" s="3118">
        <v>53</v>
      </c>
      <c r="B125" s="3785"/>
      <c r="C125" s="3118" t="s">
        <v>2763</v>
      </c>
      <c r="D125" s="3092" t="s">
        <v>2764</v>
      </c>
      <c r="E125" s="3118">
        <v>0.1</v>
      </c>
      <c r="F125" s="3118">
        <v>15</v>
      </c>
    </row>
    <row r="126" spans="1:6" ht="13.5">
      <c r="A126" s="3118">
        <v>54</v>
      </c>
      <c r="B126" s="3118" t="s">
        <v>2765</v>
      </c>
      <c r="C126" s="3118" t="s">
        <v>2766</v>
      </c>
      <c r="D126" s="3092" t="s">
        <v>2767</v>
      </c>
      <c r="E126" s="3118">
        <v>0.1</v>
      </c>
      <c r="F126" s="3118">
        <v>15</v>
      </c>
    </row>
    <row r="127" spans="1:6" ht="13.5">
      <c r="A127" s="3118">
        <v>55</v>
      </c>
      <c r="B127" s="3785" t="s">
        <v>2768</v>
      </c>
      <c r="C127" s="3118" t="s">
        <v>2769</v>
      </c>
      <c r="D127" s="3092" t="s">
        <v>2770</v>
      </c>
      <c r="E127" s="3118">
        <v>0.1</v>
      </c>
      <c r="F127" s="3118">
        <v>15</v>
      </c>
    </row>
    <row r="128" spans="1:6" ht="13.5">
      <c r="A128" s="3118">
        <v>56</v>
      </c>
      <c r="B128" s="3785"/>
      <c r="C128" s="3118" t="s">
        <v>2771</v>
      </c>
      <c r="D128" s="3092" t="s">
        <v>2772</v>
      </c>
      <c r="E128" s="3118">
        <v>0.1</v>
      </c>
      <c r="F128" s="3118">
        <v>15</v>
      </c>
    </row>
    <row r="129" spans="1:6" ht="24">
      <c r="A129" s="3118">
        <v>57</v>
      </c>
      <c r="B129" s="3785"/>
      <c r="C129" s="3118" t="s">
        <v>2773</v>
      </c>
      <c r="D129" s="3092" t="s">
        <v>2774</v>
      </c>
      <c r="E129" s="3118">
        <v>0.1</v>
      </c>
      <c r="F129" s="3118">
        <v>15</v>
      </c>
    </row>
    <row r="130" spans="1:6" ht="24">
      <c r="A130" s="3118">
        <v>58</v>
      </c>
      <c r="B130" s="3785" t="s">
        <v>2775</v>
      </c>
      <c r="C130" s="3118" t="s">
        <v>2776</v>
      </c>
      <c r="D130" s="3092" t="s">
        <v>2777</v>
      </c>
      <c r="E130" s="3118">
        <v>0.1</v>
      </c>
      <c r="F130" s="3118">
        <v>15</v>
      </c>
    </row>
    <row r="131" spans="1:6" ht="13.5">
      <c r="A131" s="3118">
        <v>59</v>
      </c>
      <c r="B131" s="3785"/>
      <c r="C131" s="3118" t="s">
        <v>2778</v>
      </c>
      <c r="D131" s="3092" t="s">
        <v>2779</v>
      </c>
      <c r="E131" s="3118">
        <v>0.1</v>
      </c>
      <c r="F131" s="3118">
        <v>15</v>
      </c>
    </row>
    <row r="132" spans="1:6" ht="13.5">
      <c r="A132" s="3118">
        <v>60</v>
      </c>
      <c r="B132" s="3780" t="s">
        <v>2780</v>
      </c>
      <c r="C132" s="3118" t="s">
        <v>2781</v>
      </c>
      <c r="D132" s="3092" t="s">
        <v>2782</v>
      </c>
      <c r="E132" s="3118">
        <v>0.1</v>
      </c>
      <c r="F132" s="3118">
        <v>15</v>
      </c>
    </row>
    <row r="133" spans="1:6" ht="13.5">
      <c r="A133" s="3118">
        <v>61</v>
      </c>
      <c r="B133" s="3784"/>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13.5">
      <c r="A135" s="3118">
        <v>63</v>
      </c>
      <c r="B135" s="3785" t="s">
        <v>2788</v>
      </c>
      <c r="C135" s="3118" t="s">
        <v>2789</v>
      </c>
      <c r="D135" s="3092" t="s">
        <v>2790</v>
      </c>
      <c r="E135" s="3118">
        <v>0.1</v>
      </c>
      <c r="F135" s="3118">
        <v>15</v>
      </c>
    </row>
    <row r="136" spans="1:6" ht="13.5">
      <c r="A136" s="3118">
        <v>64</v>
      </c>
      <c r="B136" s="3785"/>
      <c r="C136" s="3118" t="s">
        <v>2791</v>
      </c>
      <c r="D136" s="3092" t="s">
        <v>2792</v>
      </c>
      <c r="E136" s="3118">
        <v>0.1</v>
      </c>
      <c r="F136" s="3118">
        <v>15</v>
      </c>
    </row>
    <row r="137" spans="1:6" ht="13.5">
      <c r="A137" s="3118">
        <v>65</v>
      </c>
      <c r="B137" s="3118" t="s">
        <v>2793</v>
      </c>
      <c r="C137" s="3118" t="s">
        <v>2794</v>
      </c>
      <c r="D137" s="3092" t="s">
        <v>2795</v>
      </c>
      <c r="E137" s="3118">
        <v>0.1</v>
      </c>
      <c r="F137" s="3118">
        <v>15</v>
      </c>
    </row>
    <row r="138" spans="1:6" ht="13.5">
      <c r="A138" s="3118"/>
      <c r="B138" s="3118"/>
      <c r="C138" s="3118"/>
      <c r="D138" s="3118"/>
      <c r="E138" s="3118" t="s">
        <v>2796</v>
      </c>
      <c r="F138" s="311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0.95120000000000005</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36</v>
      </c>
      <c r="E5" s="1491"/>
    </row>
    <row r="6" spans="1:5" ht="15.75">
      <c r="A6" s="1491"/>
      <c r="B6" s="3469"/>
      <c r="C6" s="1494" t="s">
        <v>911</v>
      </c>
      <c r="D6" s="850" t="str">
        <f ca="1">NUMBERSTRING(INT(D5*10000),2)&amp;"元整"</f>
        <v>叁拾陆万元整</v>
      </c>
      <c r="E6" s="1491"/>
    </row>
    <row r="7" spans="1:5" ht="15.75">
      <c r="A7" s="1491"/>
      <c r="B7" s="3474"/>
      <c r="C7" s="1495" t="s">
        <v>912</v>
      </c>
      <c r="D7" s="851">
        <f ca="1">结果表!H102</f>
        <v>8955</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36</v>
      </c>
      <c r="E13" s="1491"/>
    </row>
    <row r="14" spans="1:5" ht="15.75">
      <c r="A14" s="1491"/>
      <c r="B14" s="3469"/>
      <c r="C14" s="1494" t="s">
        <v>911</v>
      </c>
      <c r="D14" s="850" t="str">
        <f ca="1">NUMBERSTRING(INT(D13*10000),2)&amp;"元整"</f>
        <v>叁拾陆万元整</v>
      </c>
      <c r="E14" s="1491"/>
    </row>
    <row r="15" spans="1:5" ht="15">
      <c r="A15" s="1491"/>
      <c r="B15" s="3474"/>
      <c r="C15" s="1495" t="s">
        <v>921</v>
      </c>
      <c r="D15" s="859">
        <f ca="1">结果表!H108</f>
        <v>8955</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26261</v>
      </c>
      <c r="C2" s="2" t="s">
        <v>106</v>
      </c>
      <c r="D2" s="199"/>
      <c r="E2" s="199"/>
      <c r="F2" s="199"/>
      <c r="G2" s="199"/>
    </row>
    <row r="3" spans="1:7" s="200" customFormat="1" ht="18" customHeight="1" thickBot="1">
      <c r="A3" s="203" t="s">
        <v>58</v>
      </c>
      <c r="B3" s="204">
        <f ca="1">ROUND(B2*10000/'数据-汇总表'!E3,0)</f>
        <v>6463451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40.630000000000003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40.630000000000003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1267</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1682</v>
      </c>
      <c r="D27" s="235">
        <f>C29</f>
        <v>2.3999999999999998E-3</v>
      </c>
      <c r="E27" s="236" t="s">
        <v>99</v>
      </c>
      <c r="F27" s="246">
        <f>'数据-取费表'!Q16</f>
        <v>0.08</v>
      </c>
      <c r="G27" s="247" t="s">
        <v>431</v>
      </c>
    </row>
    <row r="28" spans="1:7" s="214" customFormat="1" ht="13.5" customHeight="1">
      <c r="A28" s="780" t="s">
        <v>349</v>
      </c>
      <c r="B28" s="248" t="s">
        <v>424</v>
      </c>
      <c r="C28" s="249">
        <f>ROUND((C5+C19+C20)*F27*'数据-取费表'!B21/'数据-取费表'!B20,0)</f>
        <v>1682</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26246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40.630000000000003</v>
      </c>
      <c r="E37" s="249">
        <f>'数据-取费表'!B35</f>
        <v>200</v>
      </c>
      <c r="F37" s="259"/>
      <c r="G37" s="261" t="s">
        <v>92</v>
      </c>
    </row>
    <row r="38" spans="1:7" ht="13.5" customHeight="1">
      <c r="A38" s="780" t="s">
        <v>354</v>
      </c>
      <c r="B38" s="215" t="s">
        <v>36</v>
      </c>
      <c r="C38" s="220">
        <f>ROUND(C34*F38,0)</f>
        <v>0</v>
      </c>
      <c r="D38" s="220"/>
      <c r="E38" s="220"/>
      <c r="F38" s="259">
        <f>'数据-取费表'!B36</f>
        <v>0.03</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8.9999999999999998E-4</v>
      </c>
      <c r="D44" s="238"/>
      <c r="E44" s="238"/>
      <c r="F44" s="239"/>
      <c r="G44" s="3652"/>
    </row>
    <row r="45" spans="1:7" s="214" customFormat="1" ht="13.5" customHeight="1">
      <c r="A45" s="777" t="s">
        <v>341</v>
      </c>
      <c r="B45" s="244" t="s">
        <v>85</v>
      </c>
      <c r="C45" s="245">
        <f>C46</f>
        <v>1</v>
      </c>
      <c r="D45" s="235">
        <f>C47</f>
        <v>2.3999999999999998E-3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15</v>
      </c>
      <c r="D51" s="232"/>
      <c r="E51" s="232"/>
      <c r="F51" s="264"/>
      <c r="G51" s="234" t="s">
        <v>37</v>
      </c>
    </row>
    <row r="52" spans="1:7" s="208" customFormat="1" ht="16.5" thickBot="1">
      <c r="A52" s="265" t="s">
        <v>38</v>
      </c>
      <c r="B52" s="266"/>
      <c r="C52" s="267">
        <f ca="1">C31+C51</f>
        <v>26261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3180</v>
      </c>
      <c r="B1" s="3786"/>
    </row>
    <row r="2" spans="1:7" ht="14.25" thickBot="1">
      <c r="A2" s="3255"/>
      <c r="B2" s="3255"/>
    </row>
    <row r="3" spans="1:7" ht="14.25" thickBot="1">
      <c r="A3" s="3255"/>
      <c r="B3" s="3255"/>
      <c r="C3" s="3256" t="s">
        <v>2810</v>
      </c>
      <c r="D3" s="3256" t="s">
        <v>2866</v>
      </c>
      <c r="E3" s="3256" t="s">
        <v>2812</v>
      </c>
      <c r="F3" s="3256" t="s">
        <v>2867</v>
      </c>
      <c r="G3" s="3256" t="s">
        <v>2630</v>
      </c>
    </row>
    <row r="4" spans="1:7" ht="14.2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4.2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4.2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4.2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4.2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4.2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4.2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4.2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4.2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4.2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4.2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3231</v>
      </c>
      <c r="B1" s="3787"/>
      <c r="C1" s="3787"/>
      <c r="D1" s="3787"/>
      <c r="E1" s="3787"/>
      <c r="F1" s="3788"/>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8" sqref="H8:H11"/>
    </sheetView>
  </sheetViews>
  <sheetFormatPr defaultRowHeight="13.5"/>
  <cols>
    <col min="1" max="1" width="13.875" customWidth="1"/>
    <col min="11" max="17" width="0" hidden="1" customWidth="1"/>
    <col min="25" max="30" width="0" hidden="1" customWidth="1"/>
  </cols>
  <sheetData>
    <row r="1" spans="1:44">
      <c r="A1" s="3221">
        <f>基准地价修正!G23</f>
        <v>45804</v>
      </c>
      <c r="B1" s="3210" t="s">
        <v>3377</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44"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2818</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3401</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3409</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3408</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3381</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3375</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3374</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3370</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3369</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3367</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3366</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3365</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3363</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3354</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2819</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2820</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2821</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2822</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2823</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3380</v>
      </c>
    </row>
    <row r="27" spans="1:44" s="3009" customFormat="1">
      <c r="I27" s="3208" t="s">
        <v>2824</v>
      </c>
    </row>
    <row r="28" spans="1:44" s="3009" customFormat="1"/>
    <row r="29" spans="1:44" s="3209" customFormat="1" ht="12.75">
      <c r="B29" s="3210" t="s">
        <v>3378</v>
      </c>
      <c r="C29" s="3211"/>
      <c r="D29" s="3211"/>
      <c r="E29" s="3211"/>
      <c r="F29" s="3211"/>
      <c r="G29" s="3211"/>
      <c r="H29" s="3211"/>
      <c r="I29" s="3211"/>
      <c r="J29" s="3165"/>
      <c r="K29" s="3211" t="s">
        <v>2825</v>
      </c>
      <c r="L29" s="3211"/>
      <c r="M29" s="3211"/>
      <c r="N29" s="3211"/>
      <c r="O29" s="3211"/>
      <c r="P29" s="3211"/>
      <c r="Q29" s="3165"/>
      <c r="R29" s="3789" t="s">
        <v>2826</v>
      </c>
      <c r="S29" s="3790"/>
      <c r="T29" s="3790"/>
      <c r="U29" s="3790"/>
      <c r="V29" s="3790"/>
      <c r="W29" s="3790"/>
      <c r="X29" s="3165"/>
      <c r="Y29" s="3789" t="s">
        <v>2827</v>
      </c>
      <c r="Z29" s="3790"/>
      <c r="AA29" s="3790"/>
      <c r="AB29" s="3790"/>
      <c r="AC29" s="3790"/>
      <c r="AD29" s="3790"/>
    </row>
    <row r="30" spans="1:44" s="3143" customFormat="1" ht="14.25" thickBot="1">
      <c r="B30" s="3144"/>
      <c r="C30" s="3145"/>
      <c r="D30" s="3146" t="s">
        <v>2828</v>
      </c>
      <c r="E30" s="3147" t="s">
        <v>2829</v>
      </c>
      <c r="F30" s="3147" t="s">
        <v>2830</v>
      </c>
      <c r="G30" s="3147" t="s">
        <v>2831</v>
      </c>
      <c r="H30" s="3147"/>
      <c r="I30" s="3147" t="s">
        <v>2832</v>
      </c>
      <c r="J30" s="3148"/>
      <c r="K30" s="3146" t="s">
        <v>2828</v>
      </c>
      <c r="L30" s="3147" t="s">
        <v>2829</v>
      </c>
      <c r="M30" s="3147" t="s">
        <v>2830</v>
      </c>
      <c r="N30" s="3147" t="s">
        <v>2831</v>
      </c>
      <c r="O30" s="3147"/>
      <c r="P30" s="3147" t="s">
        <v>2832</v>
      </c>
      <c r="Q30" s="3148"/>
      <c r="R30" s="3146" t="s">
        <v>2828</v>
      </c>
      <c r="S30" s="3147" t="s">
        <v>2829</v>
      </c>
      <c r="T30" s="3147" t="s">
        <v>2830</v>
      </c>
      <c r="U30" s="3147" t="s">
        <v>2831</v>
      </c>
      <c r="V30" s="3147"/>
      <c r="W30" s="3147" t="s">
        <v>2832</v>
      </c>
      <c r="X30" s="3148"/>
      <c r="Y30" s="3146" t="s">
        <v>2828</v>
      </c>
      <c r="Z30" s="3147" t="s">
        <v>2829</v>
      </c>
      <c r="AA30" s="3147" t="s">
        <v>2830</v>
      </c>
      <c r="AB30" s="3147" t="s">
        <v>2831</v>
      </c>
      <c r="AC30" s="3147"/>
      <c r="AD30" s="3147" t="s">
        <v>2832</v>
      </c>
      <c r="AG30" t="s">
        <v>673</v>
      </c>
      <c r="AH30" t="s">
        <v>21</v>
      </c>
      <c r="AI30" t="s">
        <v>3405</v>
      </c>
      <c r="AJ30"/>
      <c r="AK30" t="s">
        <v>3406</v>
      </c>
      <c r="AN30" t="s">
        <v>673</v>
      </c>
      <c r="AO30" t="s">
        <v>21</v>
      </c>
      <c r="AP30" t="s">
        <v>3405</v>
      </c>
      <c r="AQ30"/>
      <c r="AR30" t="s">
        <v>3406</v>
      </c>
    </row>
    <row r="31" spans="1:44" s="3161" customFormat="1" ht="12.75">
      <c r="A31" s="3149" t="s">
        <v>2833</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3410</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3407</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3408</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3372</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3376</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3373</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3371</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3369</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3368</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3366</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3365</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3364</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3354</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2834</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2835</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2836</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2837</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2823</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2838</v>
      </c>
      <c r="B1" s="3804"/>
      <c r="C1" s="3804"/>
      <c r="D1" s="3804"/>
      <c r="E1" s="3804"/>
      <c r="F1" s="3804"/>
      <c r="G1" s="3805"/>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2"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802"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2" thickBot="1">
      <c r="A4" s="3803"/>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2"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2"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2"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2"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45804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2308</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A153" sqref="A153"/>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39" sqref="A39"/>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4" t="s">
        <v>925</v>
      </c>
      <c r="E3" s="854" t="s">
        <v>931</v>
      </c>
      <c r="F3" s="854" t="s">
        <v>925</v>
      </c>
      <c r="G3" s="854" t="s">
        <v>926</v>
      </c>
      <c r="H3" s="854" t="s">
        <v>925</v>
      </c>
      <c r="I3" s="854" t="s">
        <v>926</v>
      </c>
    </row>
    <row r="4" spans="1:9" ht="15">
      <c r="A4" s="1505" t="str">
        <f>项目基本情况!S2</f>
        <v>北京市西城区马连道路15号院4号楼-2层01等[24]库房用房房地产</v>
      </c>
      <c r="B4" s="854">
        <f>项目基本情况!C17</f>
        <v>40.630000000000003</v>
      </c>
      <c r="C4" s="854">
        <f>项目基本情况!C18</f>
        <v>0</v>
      </c>
      <c r="D4" s="854">
        <f ca="1">结果表!D118</f>
        <v>24</v>
      </c>
      <c r="E4" s="854">
        <f ca="1">结果表!E118</f>
        <v>5964</v>
      </c>
      <c r="F4" s="854">
        <f ca="1">结果表!F118</f>
        <v>12</v>
      </c>
      <c r="G4" s="854">
        <f ca="1">结果表!G118</f>
        <v>2991</v>
      </c>
      <c r="H4" s="854">
        <f ca="1">结果表!H118</f>
        <v>36</v>
      </c>
      <c r="I4" s="854">
        <f ca="1">结果表!I118</f>
        <v>8955</v>
      </c>
    </row>
    <row r="5" spans="1:9" ht="30" customHeight="1">
      <c r="A5" s="3480" t="s">
        <v>927</v>
      </c>
      <c r="B5" s="3480"/>
      <c r="C5" s="3480"/>
      <c r="D5" s="3480" t="str">
        <f ca="1">结果表!D119</f>
        <v>贰拾肆万元整</v>
      </c>
      <c r="E5" s="3480"/>
      <c r="F5" s="3480" t="str">
        <f ca="1">结果表!F119</f>
        <v>壹拾贰万元整</v>
      </c>
      <c r="G5" s="3480"/>
      <c r="H5" s="3480" t="str">
        <f ca="1">结果表!H119</f>
        <v>叁拾陆万元整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36</v>
      </c>
      <c r="E8" s="3481"/>
      <c r="F8" s="3481"/>
      <c r="G8" s="3481"/>
      <c r="H8" s="3481"/>
      <c r="I8" s="3481"/>
    </row>
    <row r="9" spans="1:9" ht="15">
      <c r="A9" s="3480" t="s">
        <v>927</v>
      </c>
      <c r="B9" s="3480"/>
      <c r="C9" s="3480"/>
      <c r="D9" s="3480" t="str">
        <f ca="1">结果表!D123</f>
        <v>叁拾陆万元整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45804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3"/>
      <c r="E18" s="3506" t="s">
        <v>2161</v>
      </c>
      <c r="F18" s="3505"/>
      <c r="G18" s="3505"/>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vt:lpstr>
      <vt:lpstr>假设开发法</vt:lpstr>
      <vt:lpstr>收益法</vt:lpstr>
      <vt:lpstr>比较法-仓储</vt:lpstr>
      <vt:lpstr>收益法 (元)</vt:lpstr>
      <vt:lpstr>收益法-酒店模型</vt:lpstr>
      <vt:lpstr>收益法（汇总）</vt:lpstr>
      <vt:lpstr>比较法-住宅</vt:lpstr>
      <vt:lpstr>比较法-商业</vt:lpstr>
      <vt:lpstr>比较法-办公</vt:lpstr>
      <vt:lpstr>比较法-工业</vt:lpstr>
      <vt:lpstr>比较法-车位</vt:lpstr>
      <vt:lpstr>土地比较法-住宅、综合</vt:lpstr>
      <vt:lpstr>土地比较法-工业</vt:lpstr>
      <vt:lpstr>典型户型修正</vt:lpstr>
      <vt:lpstr>成本法 (元)</vt:lpstr>
      <vt:lpstr>基准地价修正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中指</vt:lpstr>
      <vt:lpstr>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2025-05-27T07:13:47Z</dcterms:modified>
</cp:coreProperties>
</file>