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72" state="hidden" r:id="rId11"/>
    <sheet name="数据-基础表" sheetId="3" r:id="rId12"/>
    <sheet name="抵押物清单（分楼）" sheetId="42" state="hidden" r:id="rId13"/>
    <sheet name="面积表" sheetId="70"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地价" sheetId="59" r:id="rId40"/>
    <sheet name="不动产收益法商" sheetId="71" state="hidden" r:id="rId41"/>
    <sheet name="典型户型修正" sheetId="31" state="hidden" r:id="rId42"/>
    <sheet name="存贷款利率" sheetId="65" state="hidden" r:id="rId43"/>
    <sheet name="土地案例" sheetId="69" r:id="rId44"/>
  </sheets>
  <definedNames>
    <definedName name="_xlnm._FilterDatabase" localSheetId="22"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8" i="1" l="1"/>
  <c r="K73" i="39" l="1"/>
  <c r="L73" i="39" s="1"/>
  <c r="M73" i="39" s="1"/>
  <c r="N73" i="39" s="1"/>
  <c r="I13" i="39"/>
  <c r="G13" i="39"/>
  <c r="I7" i="6"/>
  <c r="G22" i="6"/>
  <c r="F21" i="6"/>
  <c r="AL16" i="3"/>
  <c r="O15" i="3"/>
  <c r="G17" i="4"/>
  <c r="L9" i="1" l="1"/>
  <c r="L14" i="1" s="1"/>
  <c r="F10" i="12" l="1"/>
  <c r="E73" i="39" l="1"/>
  <c r="F73" i="39"/>
  <c r="G73" i="39" s="1"/>
  <c r="H73" i="39" s="1"/>
  <c r="I73" i="39" s="1"/>
  <c r="J73" i="39" s="1"/>
  <c r="D73" i="39"/>
  <c r="I21" i="72"/>
  <c r="H21" i="72"/>
  <c r="I20" i="72"/>
  <c r="H20" i="72"/>
  <c r="I3" i="72"/>
  <c r="H3" i="72"/>
  <c r="I5" i="72"/>
  <c r="H5" i="72"/>
  <c r="H15" i="72"/>
  <c r="I15" i="72"/>
  <c r="H16" i="72"/>
  <c r="I16" i="72"/>
  <c r="H17" i="72"/>
  <c r="I17" i="72"/>
  <c r="H18" i="72"/>
  <c r="I18" i="72"/>
  <c r="I14" i="72"/>
  <c r="H14" i="72"/>
  <c r="H7" i="72"/>
  <c r="I7" i="72"/>
  <c r="H8" i="72"/>
  <c r="I8" i="72"/>
  <c r="H9" i="72"/>
  <c r="I9" i="72"/>
  <c r="H10" i="72"/>
  <c r="I10" i="72"/>
  <c r="H11" i="72"/>
  <c r="I11" i="72"/>
  <c r="H12" i="72"/>
  <c r="I12" i="72"/>
  <c r="I6" i="72"/>
  <c r="H6" i="72"/>
  <c r="I4" i="72"/>
  <c r="H4" i="72"/>
  <c r="G4" i="72"/>
  <c r="D22" i="72"/>
  <c r="D21" i="72"/>
  <c r="D20" i="72"/>
  <c r="C19" i="72"/>
  <c r="B19" i="72"/>
  <c r="D19" i="72" s="1"/>
  <c r="D18" i="72"/>
  <c r="D17" i="72"/>
  <c r="D16" i="72"/>
  <c r="D15" i="72"/>
  <c r="C14" i="72"/>
  <c r="B14" i="72"/>
  <c r="D14" i="72" s="1"/>
  <c r="D13" i="72"/>
  <c r="D12" i="72"/>
  <c r="D11" i="72"/>
  <c r="D8" i="72"/>
  <c r="D7" i="72"/>
  <c r="C6" i="72"/>
  <c r="B6" i="72"/>
  <c r="C5" i="72"/>
  <c r="D3" i="72"/>
  <c r="D6" i="72" l="1"/>
  <c r="B5" i="72"/>
  <c r="D5" i="72" s="1"/>
  <c r="L7" i="1"/>
  <c r="F33" i="71"/>
  <c r="F34" i="71"/>
  <c r="F15" i="71"/>
  <c r="F17" i="71"/>
  <c r="F18" i="71"/>
  <c r="F20" i="71"/>
  <c r="F23" i="71"/>
  <c r="F21" i="71"/>
  <c r="M47" i="71"/>
  <c r="J50" i="71"/>
  <c r="K59" i="71"/>
  <c r="P75" i="71"/>
  <c r="Q73" i="71"/>
  <c r="D60" i="71"/>
  <c r="F60" i="71"/>
  <c r="F61" i="71"/>
  <c r="P62" i="71"/>
  <c r="Q60" i="71"/>
  <c r="Q59" i="71"/>
  <c r="F58" i="71"/>
  <c r="Q52" i="71"/>
  <c r="F31" i="71"/>
  <c r="M20" i="71"/>
  <c r="D24" i="71"/>
  <c r="D23" i="71"/>
  <c r="D22" i="71"/>
  <c r="M19" i="71"/>
  <c r="M17" i="71"/>
  <c r="M47" i="15"/>
  <c r="I40" i="39"/>
  <c r="G40" i="39"/>
  <c r="E40" i="39"/>
  <c r="I48" i="39"/>
  <c r="V48" i="39" s="1"/>
  <c r="G48" i="39"/>
  <c r="E48" i="39"/>
  <c r="I9" i="39"/>
  <c r="G9" i="39"/>
  <c r="E9" i="39"/>
  <c r="B19" i="70"/>
  <c r="C13" i="70"/>
  <c r="B13" i="70"/>
  <c r="J46" i="70"/>
  <c r="J45" i="70"/>
  <c r="J44" i="70"/>
  <c r="J43" i="70"/>
  <c r="J42" i="70"/>
  <c r="J41" i="70"/>
  <c r="J40" i="70"/>
  <c r="J39" i="70"/>
  <c r="J35" i="70"/>
  <c r="J34" i="70"/>
  <c r="J33" i="70"/>
  <c r="J32" i="70"/>
  <c r="J31" i="70"/>
  <c r="J19" i="70"/>
  <c r="J18" i="70"/>
  <c r="J17" i="70"/>
  <c r="J16" i="70"/>
  <c r="J14" i="70"/>
  <c r="J13" i="70"/>
  <c r="J12" i="70"/>
  <c r="J11" i="70"/>
  <c r="J3" i="70"/>
  <c r="J4" i="70"/>
  <c r="J5" i="70"/>
  <c r="J6" i="70"/>
  <c r="J7" i="70"/>
  <c r="J8" i="70"/>
  <c r="J2" i="70"/>
  <c r="B18" i="70"/>
  <c r="B17" i="70"/>
  <c r="B16" i="70"/>
  <c r="B15" i="70"/>
  <c r="B14" i="70"/>
  <c r="G49" i="70"/>
  <c r="B10" i="70"/>
  <c r="R48" i="39"/>
  <c r="D3" i="4"/>
  <c r="B2" i="1"/>
  <c r="J51" i="71" s="1"/>
  <c r="T48" i="39"/>
  <c r="A7" i="1"/>
  <c r="G1" i="15" s="1"/>
  <c r="E21" i="6"/>
  <c r="K8" i="1"/>
  <c r="M8" i="1" s="1"/>
  <c r="C1" i="65"/>
  <c r="N1" i="65" s="1"/>
  <c r="C42" i="1"/>
  <c r="BB13" i="3"/>
  <c r="BC13" i="3"/>
  <c r="BA13" i="3" s="1"/>
  <c r="BD13" i="3"/>
  <c r="BE13" i="3"/>
  <c r="BM13" i="3"/>
  <c r="BN13" i="3"/>
  <c r="BO13" i="3"/>
  <c r="BP13" i="3"/>
  <c r="BQ13" i="3"/>
  <c r="BR13" i="3"/>
  <c r="BS13" i="3"/>
  <c r="BB14" i="3"/>
  <c r="BC14" i="3"/>
  <c r="BD14" i="3"/>
  <c r="BE14" i="3"/>
  <c r="BA14" i="3"/>
  <c r="BM14" i="3"/>
  <c r="BN14" i="3"/>
  <c r="BO14" i="3"/>
  <c r="BP14" i="3"/>
  <c r="BQ14" i="3"/>
  <c r="BR14" i="3"/>
  <c r="BS14" i="3"/>
  <c r="BB15" i="3"/>
  <c r="BC15" i="3"/>
  <c r="BD15" i="3"/>
  <c r="BE15" i="3"/>
  <c r="BM15" i="3"/>
  <c r="BN15" i="3"/>
  <c r="BO15" i="3"/>
  <c r="BP15" i="3"/>
  <c r="BQ15" i="3"/>
  <c r="BR15" i="3"/>
  <c r="BS15" i="3"/>
  <c r="BB16" i="3"/>
  <c r="BC16" i="3"/>
  <c r="BD16" i="3"/>
  <c r="BE16" i="3"/>
  <c r="BA16" i="3" s="1"/>
  <c r="BM16" i="3"/>
  <c r="BN16" i="3"/>
  <c r="BO16" i="3"/>
  <c r="BP16" i="3"/>
  <c r="BQ16" i="3"/>
  <c r="BR16" i="3"/>
  <c r="BS16" i="3"/>
  <c r="BB17" i="3"/>
  <c r="BC17" i="3"/>
  <c r="BD17" i="3"/>
  <c r="BE17" i="3"/>
  <c r="BM17" i="3"/>
  <c r="BN17" i="3"/>
  <c r="BO17" i="3"/>
  <c r="BP17" i="3"/>
  <c r="BQ17" i="3"/>
  <c r="BR17" i="3"/>
  <c r="BS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M20" i="3"/>
  <c r="BN20" i="3"/>
  <c r="BO20" i="3"/>
  <c r="BP20" i="3"/>
  <c r="BQ20" i="3"/>
  <c r="BR20" i="3"/>
  <c r="BS20" i="3"/>
  <c r="BM21" i="3"/>
  <c r="BN21" i="3"/>
  <c r="BO21" i="3"/>
  <c r="BP21" i="3"/>
  <c r="BQ21" i="3"/>
  <c r="BR21" i="3"/>
  <c r="BS21" i="3"/>
  <c r="BM22" i="3"/>
  <c r="BN22" i="3"/>
  <c r="BO22" i="3"/>
  <c r="BP22" i="3"/>
  <c r="BQ22" i="3"/>
  <c r="BR22" i="3"/>
  <c r="BS22" i="3"/>
  <c r="BM23" i="3"/>
  <c r="BN23" i="3"/>
  <c r="BO23" i="3"/>
  <c r="BP23" i="3"/>
  <c r="BQ23" i="3"/>
  <c r="BR23" i="3"/>
  <c r="BS23" i="3"/>
  <c r="BM24" i="3"/>
  <c r="BN24" i="3"/>
  <c r="BO24" i="3"/>
  <c r="BP24" i="3"/>
  <c r="BQ24" i="3"/>
  <c r="BR24" i="3"/>
  <c r="BS24" i="3"/>
  <c r="BM25" i="3"/>
  <c r="BN25" i="3"/>
  <c r="BO25" i="3"/>
  <c r="BP25" i="3"/>
  <c r="BQ25" i="3"/>
  <c r="BR25" i="3"/>
  <c r="BS25" i="3"/>
  <c r="H13" i="3"/>
  <c r="AC13" i="3"/>
  <c r="H14" i="3"/>
  <c r="AC14" i="3"/>
  <c r="H15" i="3"/>
  <c r="AC15" i="3"/>
  <c r="H16" i="3"/>
  <c r="AC16" i="3"/>
  <c r="H17" i="3"/>
  <c r="AC17" i="3"/>
  <c r="G17" i="3" s="1"/>
  <c r="H18" i="3"/>
  <c r="AC18" i="3"/>
  <c r="G18" i="3" s="1"/>
  <c r="H19" i="3"/>
  <c r="AC19" i="3"/>
  <c r="G19" i="3" s="1"/>
  <c r="H20" i="3"/>
  <c r="AC20" i="3"/>
  <c r="AC21" i="3"/>
  <c r="AC22" i="3"/>
  <c r="AC23" i="3"/>
  <c r="AC24" i="3"/>
  <c r="AC25" i="3"/>
  <c r="AT5" i="3"/>
  <c r="F19" i="6"/>
  <c r="E19" i="6" s="1"/>
  <c r="E20" i="6"/>
  <c r="E22" i="6"/>
  <c r="E23" i="6"/>
  <c r="E24" i="6"/>
  <c r="L21" i="6"/>
  <c r="S10" i="1"/>
  <c r="S11" i="1"/>
  <c r="S12" i="1"/>
  <c r="S13" i="1"/>
  <c r="E19" i="4"/>
  <c r="F8" i="1"/>
  <c r="J51" i="15"/>
  <c r="E9" i="12"/>
  <c r="D9" i="12"/>
  <c r="F9" i="12"/>
  <c r="K7" i="1"/>
  <c r="M7" i="1" s="1"/>
  <c r="K9" i="1"/>
  <c r="M9" i="1" s="1"/>
  <c r="O9" i="1" s="1"/>
  <c r="P9" i="1" s="1"/>
  <c r="K10" i="1"/>
  <c r="M10" i="1" s="1"/>
  <c r="K11" i="1"/>
  <c r="M11" i="1" s="1"/>
  <c r="K12" i="1"/>
  <c r="M12" i="1" s="1"/>
  <c r="K13" i="1"/>
  <c r="M13" i="1" s="1"/>
  <c r="C25" i="12"/>
  <c r="I7" i="39"/>
  <c r="G7" i="39"/>
  <c r="E7" i="39"/>
  <c r="C7" i="39"/>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6" i="66"/>
  <c r="F16" i="66"/>
  <c r="E17" i="66"/>
  <c r="F17" i="66"/>
  <c r="E18" i="66"/>
  <c r="F18" i="66"/>
  <c r="E19" i="66"/>
  <c r="F19"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s="1"/>
  <c r="E5" i="54"/>
  <c r="B32" i="63" s="1"/>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A12" i="1"/>
  <c r="R12" i="1"/>
  <c r="A13" i="1"/>
  <c r="B13" i="1"/>
  <c r="E13"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L42" i="3" s="1"/>
  <c r="AZ42" i="3" s="1"/>
  <c r="BN42" i="3"/>
  <c r="BM42" i="3"/>
  <c r="BK42" i="3"/>
  <c r="BJ42" i="3"/>
  <c r="BI42" i="3"/>
  <c r="BH42" i="3"/>
  <c r="BG42" i="3"/>
  <c r="BF42" i="3"/>
  <c r="BE42" i="3"/>
  <c r="BD42" i="3"/>
  <c r="BC42" i="3"/>
  <c r="BB42" i="3"/>
  <c r="BA42" i="3"/>
  <c r="AX42" i="3"/>
  <c r="AW42" i="3"/>
  <c r="AV42" i="3"/>
  <c r="AC42" i="3"/>
  <c r="H42" i="3"/>
  <c r="G42" i="3"/>
  <c r="BT41" i="3"/>
  <c r="BS41" i="3"/>
  <c r="BR41" i="3"/>
  <c r="BQ41" i="3"/>
  <c r="BP41" i="3"/>
  <c r="BO41" i="3"/>
  <c r="BL41" i="3" s="1"/>
  <c r="AZ41" i="3" s="1"/>
  <c r="BN41" i="3"/>
  <c r="BM41" i="3"/>
  <c r="BK41" i="3"/>
  <c r="BJ41" i="3"/>
  <c r="BI41" i="3"/>
  <c r="BH41" i="3"/>
  <c r="BG41" i="3"/>
  <c r="BF41" i="3"/>
  <c r="BE41" i="3"/>
  <c r="BD41" i="3"/>
  <c r="BC41" i="3"/>
  <c r="BB41" i="3"/>
  <c r="BA41" i="3"/>
  <c r="AX41" i="3"/>
  <c r="AW41" i="3"/>
  <c r="AV41" i="3"/>
  <c r="AC41" i="3"/>
  <c r="H41" i="3"/>
  <c r="G41" i="3"/>
  <c r="BT40" i="3"/>
  <c r="BS40" i="3"/>
  <c r="BR40" i="3"/>
  <c r="BQ40" i="3"/>
  <c r="BP40" i="3"/>
  <c r="BO40" i="3"/>
  <c r="BL40" i="3" s="1"/>
  <c r="AZ40" i="3" s="1"/>
  <c r="BN40" i="3"/>
  <c r="BM40" i="3"/>
  <c r="BK40" i="3"/>
  <c r="BJ40" i="3"/>
  <c r="BI40" i="3"/>
  <c r="BH40" i="3"/>
  <c r="BG40" i="3"/>
  <c r="BF40" i="3"/>
  <c r="BE40" i="3"/>
  <c r="BD40" i="3"/>
  <c r="BC40" i="3"/>
  <c r="BB40" i="3"/>
  <c r="BA40" i="3"/>
  <c r="AX40" i="3"/>
  <c r="AW40" i="3"/>
  <c r="AV40" i="3"/>
  <c r="AC40" i="3"/>
  <c r="H40" i="3"/>
  <c r="G40" i="3"/>
  <c r="BT39" i="3"/>
  <c r="BS39" i="3"/>
  <c r="BR39" i="3"/>
  <c r="BQ39" i="3"/>
  <c r="BP39" i="3"/>
  <c r="BO39" i="3"/>
  <c r="BL39" i="3" s="1"/>
  <c r="AZ39" i="3" s="1"/>
  <c r="BN39" i="3"/>
  <c r="BM39" i="3"/>
  <c r="BK39" i="3"/>
  <c r="BJ39" i="3"/>
  <c r="BI39" i="3"/>
  <c r="BH39" i="3"/>
  <c r="BG39" i="3"/>
  <c r="BF39" i="3"/>
  <c r="BE39" i="3"/>
  <c r="BD39" i="3"/>
  <c r="BC39" i="3"/>
  <c r="BB39" i="3"/>
  <c r="BA39" i="3"/>
  <c r="AX39" i="3"/>
  <c r="AW39" i="3"/>
  <c r="AV39" i="3"/>
  <c r="AC39" i="3"/>
  <c r="H39" i="3"/>
  <c r="G39" i="3"/>
  <c r="BT38" i="3"/>
  <c r="BS38" i="3"/>
  <c r="BR38" i="3"/>
  <c r="BQ38" i="3"/>
  <c r="BP38" i="3"/>
  <c r="BO38" i="3"/>
  <c r="BL38" i="3" s="1"/>
  <c r="AZ38" i="3" s="1"/>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L36" i="3" s="1"/>
  <c r="AZ36" i="3" s="1"/>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L33" i="3" s="1"/>
  <c r="AZ33" i="3" s="1"/>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L31" i="3" s="1"/>
  <c r="AZ31" i="3" s="1"/>
  <c r="BN31" i="3"/>
  <c r="BM31" i="3"/>
  <c r="BK31" i="3"/>
  <c r="BJ31" i="3"/>
  <c r="BI31" i="3"/>
  <c r="BH31" i="3"/>
  <c r="BG31" i="3"/>
  <c r="BF31" i="3"/>
  <c r="BE31" i="3"/>
  <c r="BD31" i="3"/>
  <c r="BC31" i="3"/>
  <c r="BB31" i="3"/>
  <c r="BA31" i="3"/>
  <c r="AX31" i="3"/>
  <c r="AW31" i="3"/>
  <c r="AV31" i="3"/>
  <c r="AC31" i="3"/>
  <c r="H31" i="3"/>
  <c r="G31" i="3"/>
  <c r="BT30" i="3"/>
  <c r="BS30" i="3"/>
  <c r="BR30" i="3"/>
  <c r="BQ30" i="3"/>
  <c r="BP30" i="3"/>
  <c r="BO30" i="3"/>
  <c r="BL30" i="3" s="1"/>
  <c r="AZ30" i="3" s="1"/>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L28" i="3" s="1"/>
  <c r="AZ28" i="3" s="1"/>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S5" i="3" s="1"/>
  <c r="BR26" i="3"/>
  <c r="BQ26" i="3"/>
  <c r="BP26" i="3"/>
  <c r="BP5" i="3" s="1"/>
  <c r="BO26" i="3"/>
  <c r="BO5" i="3" s="1"/>
  <c r="BN26" i="3"/>
  <c r="BN5" i="3" s="1"/>
  <c r="BM26" i="3"/>
  <c r="BM5" i="3" s="1"/>
  <c r="BK26" i="3"/>
  <c r="BJ26" i="3"/>
  <c r="BI26" i="3"/>
  <c r="BH26" i="3"/>
  <c r="BG26" i="3"/>
  <c r="BF26" i="3"/>
  <c r="BE26" i="3"/>
  <c r="BD26" i="3"/>
  <c r="BC26" i="3"/>
  <c r="BB26" i="3"/>
  <c r="BA26" i="3" s="1"/>
  <c r="AX26" i="3"/>
  <c r="AW26" i="3"/>
  <c r="AV26" i="3"/>
  <c r="AC26" i="3"/>
  <c r="H26" i="3"/>
  <c r="G26" i="3"/>
  <c r="BT25" i="3"/>
  <c r="BL25" i="3" s="1"/>
  <c r="BK25" i="3"/>
  <c r="BJ25" i="3"/>
  <c r="BI25" i="3"/>
  <c r="BH25" i="3"/>
  <c r="BG25" i="3"/>
  <c r="BF25" i="3"/>
  <c r="BE25" i="3"/>
  <c r="BD25" i="3"/>
  <c r="BC25" i="3"/>
  <c r="BB25" i="3"/>
  <c r="BA25" i="3" s="1"/>
  <c r="AX25" i="3"/>
  <c r="AW25" i="3"/>
  <c r="AV25" i="3"/>
  <c r="H25" i="3"/>
  <c r="BT24" i="3"/>
  <c r="BK24" i="3"/>
  <c r="BJ24" i="3"/>
  <c r="BI24" i="3"/>
  <c r="BH24" i="3"/>
  <c r="BG24" i="3"/>
  <c r="BF24" i="3"/>
  <c r="BE24" i="3"/>
  <c r="BD24" i="3"/>
  <c r="BC24" i="3"/>
  <c r="BB24" i="3"/>
  <c r="AX24" i="3"/>
  <c r="AW24" i="3"/>
  <c r="AV24" i="3"/>
  <c r="H24" i="3"/>
  <c r="BT23" i="3"/>
  <c r="BK23" i="3"/>
  <c r="BJ23" i="3"/>
  <c r="BI23" i="3"/>
  <c r="BH23" i="3"/>
  <c r="BG23" i="3"/>
  <c r="BF23" i="3"/>
  <c r="BE23" i="3"/>
  <c r="BD23" i="3"/>
  <c r="BC23" i="3"/>
  <c r="BB23" i="3"/>
  <c r="BA23" i="3"/>
  <c r="AX23" i="3"/>
  <c r="AW23" i="3"/>
  <c r="AV23" i="3"/>
  <c r="H23" i="3"/>
  <c r="BT22" i="3"/>
  <c r="BK22" i="3"/>
  <c r="BJ22" i="3"/>
  <c r="BI22" i="3"/>
  <c r="BH22" i="3"/>
  <c r="BG22" i="3"/>
  <c r="BF22" i="3"/>
  <c r="BE22" i="3"/>
  <c r="BD22" i="3"/>
  <c r="BC22" i="3"/>
  <c r="BB22" i="3"/>
  <c r="BA22" i="3"/>
  <c r="AX22" i="3"/>
  <c r="AW22" i="3"/>
  <c r="AV22" i="3"/>
  <c r="H22" i="3"/>
  <c r="G22" i="3" s="1"/>
  <c r="BT21" i="3"/>
  <c r="BK21" i="3"/>
  <c r="BJ21" i="3"/>
  <c r="BI21" i="3"/>
  <c r="BH21" i="3"/>
  <c r="BG21" i="3"/>
  <c r="BF21" i="3"/>
  <c r="BE21" i="3"/>
  <c r="BD21" i="3"/>
  <c r="BD5" i="3" s="1"/>
  <c r="BC21" i="3"/>
  <c r="BB21" i="3"/>
  <c r="BB5" i="3" s="1"/>
  <c r="E5" i="6" s="1"/>
  <c r="AX21" i="3"/>
  <c r="AW21" i="3"/>
  <c r="AV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s="1"/>
  <c r="C61" i="40" s="1"/>
  <c r="H60" i="40"/>
  <c r="H59" i="40"/>
  <c r="H58" i="40"/>
  <c r="I58" i="40"/>
  <c r="C58" i="40"/>
  <c r="H57" i="40"/>
  <c r="I57" i="40" s="1"/>
  <c r="C57" i="40" s="1"/>
  <c r="H56" i="40"/>
  <c r="I56" i="40"/>
  <c r="C56" i="40" s="1"/>
  <c r="H55" i="40"/>
  <c r="I55" i="40" s="1"/>
  <c r="C55" i="40" s="1"/>
  <c r="H54" i="40"/>
  <c r="I54" i="40" s="1"/>
  <c r="C54" i="40" s="1"/>
  <c r="H63" i="39"/>
  <c r="I63" i="39"/>
  <c r="C63" i="39"/>
  <c r="H59" i="39"/>
  <c r="I59" i="39"/>
  <c r="C59" i="39" s="1"/>
  <c r="H67" i="39"/>
  <c r="I67" i="39"/>
  <c r="C67" i="39"/>
  <c r="H66" i="39"/>
  <c r="I66" i="39" s="1"/>
  <c r="C66" i="39" s="1"/>
  <c r="H65" i="39"/>
  <c r="I65" i="39" s="1"/>
  <c r="C65" i="39" s="1"/>
  <c r="H64" i="39"/>
  <c r="I64" i="39"/>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H17"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s="1"/>
  <c r="A3" i="51"/>
  <c r="R41" i="4"/>
  <c r="Q41" i="4"/>
  <c r="P41" i="4"/>
  <c r="O41" i="4"/>
  <c r="N41" i="4"/>
  <c r="M41" i="4"/>
  <c r="L41" i="4"/>
  <c r="K40" i="4"/>
  <c r="T40" i="4" s="1"/>
  <c r="F23" i="4"/>
  <c r="D19" i="4"/>
  <c r="I19" i="4"/>
  <c r="H19" i="4"/>
  <c r="G19" i="4"/>
  <c r="F9" i="1" s="1"/>
  <c r="F19" i="4"/>
  <c r="AP8" i="1"/>
  <c r="F7" i="1"/>
  <c r="G7" i="1" s="1"/>
  <c r="B2" i="52"/>
  <c r="B15" i="52" s="1"/>
  <c r="I2" i="46"/>
  <c r="N12" i="46"/>
  <c r="A7" i="46"/>
  <c r="F41" i="4"/>
  <c r="J52" i="40" s="1"/>
  <c r="H61" i="49"/>
  <c r="H39" i="46"/>
  <c r="H38" i="46"/>
  <c r="H37" i="46"/>
  <c r="H36" i="46"/>
  <c r="H35" i="46"/>
  <c r="H34" i="46"/>
  <c r="H33" i="46"/>
  <c r="J20" i="46"/>
  <c r="C18" i="46"/>
  <c r="F15" i="46"/>
  <c r="E15" i="46"/>
  <c r="D15" i="46"/>
  <c r="C15" i="46"/>
  <c r="C10" i="46"/>
  <c r="C11" i="46"/>
  <c r="C9" i="46"/>
  <c r="E25" i="6"/>
  <c r="E26" i="6"/>
  <c r="D38" i="4"/>
  <c r="C39" i="4" s="1"/>
  <c r="C35" i="4"/>
  <c r="E16" i="12"/>
  <c r="F14" i="12"/>
  <c r="F15" i="12"/>
  <c r="F17" i="12"/>
  <c r="E19" i="12"/>
  <c r="E21" i="12"/>
  <c r="E22" i="12"/>
  <c r="F23" i="12"/>
  <c r="F24" i="12"/>
  <c r="C43" i="9"/>
  <c r="K47" i="9"/>
  <c r="B65" i="63"/>
  <c r="I73" i="9"/>
  <c r="F73" i="9"/>
  <c r="P73" i="9"/>
  <c r="D107" i="9"/>
  <c r="C107" i="9"/>
  <c r="C105" i="9"/>
  <c r="C110" i="9"/>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s="1"/>
  <c r="B23" i="1"/>
  <c r="BT14" i="3"/>
  <c r="BT15" i="3"/>
  <c r="BT16" i="3"/>
  <c r="BT17" i="3"/>
  <c r="BF17" i="3"/>
  <c r="BA17" i="3" s="1"/>
  <c r="BG17" i="3"/>
  <c r="BH17" i="3"/>
  <c r="BI17" i="3"/>
  <c r="BJ17" i="3"/>
  <c r="BK17" i="3"/>
  <c r="BF14" i="3"/>
  <c r="BG14" i="3"/>
  <c r="BH14" i="3"/>
  <c r="BI14" i="3"/>
  <c r="BJ14" i="3"/>
  <c r="BK14" i="3"/>
  <c r="BF15" i="3"/>
  <c r="BG15" i="3"/>
  <c r="BH15" i="3"/>
  <c r="BI15" i="3"/>
  <c r="BJ15" i="3"/>
  <c r="BK15"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BF20" i="3"/>
  <c r="BG20" i="3"/>
  <c r="BH20" i="3"/>
  <c r="BI20" i="3"/>
  <c r="BJ20" i="3"/>
  <c r="BK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E59" i="34" s="1"/>
  <c r="F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G9" i="12"/>
  <c r="K5" i="3"/>
  <c r="J5" i="3"/>
  <c r="BE10" i="3"/>
  <c r="BF13" i="3"/>
  <c r="BF5" i="3"/>
  <c r="BG13" i="3"/>
  <c r="BG5" i="3"/>
  <c r="BH13" i="3"/>
  <c r="BI13" i="3"/>
  <c r="BI5" i="3"/>
  <c r="BJ13" i="3"/>
  <c r="BK13" i="3"/>
  <c r="BT13" i="3"/>
  <c r="BL13"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5"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28" i="71"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32"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K1" i="43"/>
  <c r="K1" i="12"/>
  <c r="G1" i="44"/>
  <c r="I4" i="6"/>
  <c r="G3" i="46"/>
  <c r="H22" i="46" s="1"/>
  <c r="BK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B6" i="63"/>
  <c r="B46" i="50"/>
  <c r="B4" i="63"/>
  <c r="C46" i="36"/>
  <c r="C48" i="35"/>
  <c r="D48" i="35"/>
  <c r="E48" i="35" s="1"/>
  <c r="F48" i="35" s="1"/>
  <c r="G48" i="35" s="1"/>
  <c r="H48" i="35" s="1"/>
  <c r="I48" i="35" s="1"/>
  <c r="J48" i="35" s="1"/>
  <c r="K48" i="35" s="1"/>
  <c r="L48" i="35" s="1"/>
  <c r="M48" i="35" s="1"/>
  <c r="C52" i="37"/>
  <c r="D52" i="37"/>
  <c r="E52" i="37" s="1"/>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T6" i="3"/>
  <c r="A9" i="64"/>
  <c r="E4" i="4"/>
  <c r="C4" i="4"/>
  <c r="G66" i="36"/>
  <c r="J18" i="36"/>
  <c r="AE6" i="1"/>
  <c r="W18" i="36"/>
  <c r="AC18" i="36"/>
  <c r="AG6" i="1"/>
  <c r="L20" i="6"/>
  <c r="B21" i="55"/>
  <c r="B72" i="63"/>
  <c r="B20" i="55"/>
  <c r="B70" i="63"/>
  <c r="C45" i="9"/>
  <c r="H14" i="66"/>
  <c r="B7" i="66"/>
  <c r="O40" i="9"/>
  <c r="K31" i="9"/>
  <c r="K32" i="9"/>
  <c r="R7" i="54"/>
  <c r="B52" i="63"/>
  <c r="N76" i="9"/>
  <c r="C46" i="9"/>
  <c r="K33" i="9"/>
  <c r="O41" i="9"/>
  <c r="I14" i="66"/>
  <c r="B8" i="66"/>
  <c r="K34" i="9"/>
  <c r="R8" i="54"/>
  <c r="B54" i="63"/>
  <c r="C67" i="40"/>
  <c r="D65" i="40"/>
  <c r="H58" i="46"/>
  <c r="J17" i="46"/>
  <c r="C17" i="46"/>
  <c r="F34" i="46"/>
  <c r="F38" i="46"/>
  <c r="F37" i="46"/>
  <c r="H113" i="46"/>
  <c r="H49" i="46"/>
  <c r="H53" i="46"/>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C30" i="44"/>
  <c r="C27" i="43"/>
  <c r="C31" i="43"/>
  <c r="H51" i="46"/>
  <c r="X7" i="46"/>
  <c r="E17" i="46"/>
  <c r="N17" i="46"/>
  <c r="O17" i="46"/>
  <c r="M17" i="46"/>
  <c r="L17" i="46"/>
  <c r="H101" i="46"/>
  <c r="H102" i="46" s="1"/>
  <c r="F101" i="46"/>
  <c r="F106" i="46" s="1"/>
  <c r="AP7" i="1"/>
  <c r="G13" i="1"/>
  <c r="D46" i="36"/>
  <c r="G6" i="1"/>
  <c r="H70" i="46"/>
  <c r="H73" i="46"/>
  <c r="H50" i="46"/>
  <c r="H48" i="46"/>
  <c r="F35" i="46"/>
  <c r="I17" i="46"/>
  <c r="H63" i="46"/>
  <c r="N101" i="46"/>
  <c r="N105" i="46" s="1"/>
  <c r="H64" i="46"/>
  <c r="H66" i="46"/>
  <c r="D100" i="46"/>
  <c r="H62" i="46"/>
  <c r="AF12" i="46"/>
  <c r="K100" i="46"/>
  <c r="AB12" i="46"/>
  <c r="AJ12" i="46"/>
  <c r="B113" i="46"/>
  <c r="I116" i="46" s="1"/>
  <c r="J116" i="46" s="1"/>
  <c r="K116" i="46" s="1"/>
  <c r="L116" i="46" s="1"/>
  <c r="M116" i="46" s="1"/>
  <c r="E101" i="46"/>
  <c r="E104" i="46" s="1"/>
  <c r="AG11" i="46"/>
  <c r="AG13" i="46" s="1"/>
  <c r="AI11" i="46"/>
  <c r="AI13" i="46" s="1"/>
  <c r="H60" i="46"/>
  <c r="H59" i="46"/>
  <c r="H74" i="46"/>
  <c r="H65" i="46"/>
  <c r="H75" i="46"/>
  <c r="E10" i="46"/>
  <c r="E9" i="46"/>
  <c r="E11" i="46"/>
  <c r="E8" i="46"/>
  <c r="H72" i="46"/>
  <c r="H69" i="46"/>
  <c r="H77" i="46"/>
  <c r="H76" i="46"/>
  <c r="H55" i="46"/>
  <c r="H54" i="46"/>
  <c r="H52" i="46"/>
  <c r="H47" i="46"/>
  <c r="AD12" i="46"/>
  <c r="AH12" i="46"/>
  <c r="C9" i="59"/>
  <c r="C8" i="59"/>
  <c r="T8" i="59"/>
  <c r="B9" i="59"/>
  <c r="B8" i="59"/>
  <c r="S8" i="59"/>
  <c r="D9" i="59"/>
  <c r="F33" i="44"/>
  <c r="F31" i="15"/>
  <c r="F58" i="15"/>
  <c r="M17" i="15"/>
  <c r="M19" i="44"/>
  <c r="E65" i="40"/>
  <c r="E67" i="40" s="1"/>
  <c r="D67" i="40"/>
  <c r="V8" i="59"/>
  <c r="D8" i="59"/>
  <c r="H107" i="46"/>
  <c r="E46" i="36"/>
  <c r="C7" i="46"/>
  <c r="F65" i="40"/>
  <c r="F67" i="40" s="1"/>
  <c r="D7" i="59"/>
  <c r="D6" i="59"/>
  <c r="G20" i="46"/>
  <c r="E41" i="46"/>
  <c r="C41" i="46"/>
  <c r="S2" i="46"/>
  <c r="S4" i="46"/>
  <c r="F46" i="36"/>
  <c r="G65" i="40"/>
  <c r="G67" i="40" s="1"/>
  <c r="H65" i="40"/>
  <c r="I65" i="40" s="1"/>
  <c r="I67" i="40" s="1"/>
  <c r="F8" i="15"/>
  <c r="L48" i="15"/>
  <c r="E8" i="67"/>
  <c r="L47" i="15"/>
  <c r="M29" i="15"/>
  <c r="M27" i="15"/>
  <c r="M24" i="15"/>
  <c r="B9" i="67"/>
  <c r="F42" i="15"/>
  <c r="E12" i="67"/>
  <c r="F12" i="67"/>
  <c r="M23" i="15"/>
  <c r="F6" i="15"/>
  <c r="N7" i="65"/>
  <c r="F39" i="44"/>
  <c r="J36" i="15"/>
  <c r="N5" i="65"/>
  <c r="M6" i="15"/>
  <c r="F40" i="44"/>
  <c r="F43" i="15"/>
  <c r="B8" i="67"/>
  <c r="L48" i="44"/>
  <c r="E14" i="67"/>
  <c r="M31" i="44"/>
  <c r="F8" i="67"/>
  <c r="M26" i="15"/>
  <c r="F16" i="15"/>
  <c r="F13" i="67"/>
  <c r="F9" i="15"/>
  <c r="E9" i="67"/>
  <c r="N6" i="65"/>
  <c r="F18" i="44"/>
  <c r="M26" i="44"/>
  <c r="F11" i="67"/>
  <c r="F10" i="67"/>
  <c r="N4" i="65"/>
  <c r="M22" i="15"/>
  <c r="M9" i="15"/>
  <c r="M28" i="44"/>
  <c r="J17" i="44"/>
  <c r="E13" i="67"/>
  <c r="E11" i="67"/>
  <c r="F26" i="15"/>
  <c r="F10" i="44"/>
  <c r="M11" i="44"/>
  <c r="M8" i="44"/>
  <c r="B12" i="67"/>
  <c r="F8" i="44"/>
  <c r="E10" i="67"/>
  <c r="M28" i="15"/>
  <c r="M24" i="44"/>
  <c r="F40" i="15"/>
  <c r="M30" i="44"/>
  <c r="F45" i="44"/>
  <c r="B11" i="67"/>
  <c r="F28" i="44"/>
  <c r="F13" i="15"/>
  <c r="N3" i="65"/>
  <c r="J15" i="15"/>
  <c r="F37" i="15"/>
  <c r="M29" i="44"/>
  <c r="F15" i="44"/>
  <c r="M25" i="44"/>
  <c r="F14" i="67"/>
  <c r="B14" i="67"/>
  <c r="B13" i="67"/>
  <c r="B10" i="67"/>
  <c r="L49" i="44"/>
  <c r="M8" i="15"/>
  <c r="F38" i="44"/>
  <c r="F9" i="67"/>
  <c r="F11" i="44"/>
  <c r="F38" i="15"/>
  <c r="F43" i="44"/>
  <c r="F36" i="15"/>
  <c r="M10" i="44"/>
  <c r="F103" i="46" l="1"/>
  <c r="S7" i="46"/>
  <c r="AE11" i="46"/>
  <c r="AE13" i="46" s="1"/>
  <c r="AH11" i="46"/>
  <c r="AH13" i="46" s="1"/>
  <c r="K101" i="46"/>
  <c r="K107" i="46" s="1"/>
  <c r="L101" i="46"/>
  <c r="G101" i="46"/>
  <c r="AD11" i="46"/>
  <c r="AD13" i="46" s="1"/>
  <c r="I101" i="46"/>
  <c r="D101" i="46"/>
  <c r="G22" i="46"/>
  <c r="Y11" i="46"/>
  <c r="Y13" i="46" s="1"/>
  <c r="D118" i="46"/>
  <c r="E118" i="46" s="1"/>
  <c r="F118" i="46" s="1"/>
  <c r="B117" i="46"/>
  <c r="C117" i="46" s="1"/>
  <c r="B115" i="46"/>
  <c r="C115" i="46" s="1"/>
  <c r="H106" i="46"/>
  <c r="H109" i="46"/>
  <c r="F102" i="46"/>
  <c r="F109" i="46"/>
  <c r="G14" i="3"/>
  <c r="K6" i="1"/>
  <c r="E32" i="6"/>
  <c r="C9" i="12"/>
  <c r="C10" i="12" s="1"/>
  <c r="S6" i="46"/>
  <c r="S3" i="46"/>
  <c r="S5" i="46"/>
  <c r="E109" i="46"/>
  <c r="G105" i="46"/>
  <c r="G103" i="46"/>
  <c r="I117" i="46"/>
  <c r="J117" i="46" s="1"/>
  <c r="K117" i="46" s="1"/>
  <c r="L117" i="46" s="1"/>
  <c r="M117" i="46" s="1"/>
  <c r="B116" i="46"/>
  <c r="C116" i="46" s="1"/>
  <c r="I115" i="46"/>
  <c r="J115" i="46" s="1"/>
  <c r="K115" i="46" s="1"/>
  <c r="L115" i="46" s="1"/>
  <c r="M115" i="46" s="1"/>
  <c r="C23" i="46"/>
  <c r="C21" i="46" s="1"/>
  <c r="E106" i="46"/>
  <c r="N107" i="46"/>
  <c r="D104" i="46"/>
  <c r="D105" i="46"/>
  <c r="H104" i="46"/>
  <c r="D103" i="46"/>
  <c r="H105" i="46"/>
  <c r="D107" i="46"/>
  <c r="H103" i="46"/>
  <c r="AB11" i="46"/>
  <c r="AB13" i="46" s="1"/>
  <c r="AF11" i="46"/>
  <c r="AF13" i="46" s="1"/>
  <c r="AA11" i="46"/>
  <c r="AA13" i="46" s="1"/>
  <c r="Z11" i="46"/>
  <c r="Z13" i="46" s="1"/>
  <c r="E22" i="46"/>
  <c r="Z7" i="46"/>
  <c r="F22" i="46"/>
  <c r="N104" i="45"/>
  <c r="J101" i="46"/>
  <c r="J106" i="46" s="1"/>
  <c r="C101" i="46"/>
  <c r="C109" i="46" s="1"/>
  <c r="F105" i="46"/>
  <c r="F104" i="46"/>
  <c r="AJ11" i="46"/>
  <c r="AJ13" i="46" s="1"/>
  <c r="AC11" i="46"/>
  <c r="AC13" i="46" s="1"/>
  <c r="M101" i="46"/>
  <c r="M107" i="46" s="1"/>
  <c r="F107" i="46"/>
  <c r="J22" i="46"/>
  <c r="G13" i="3"/>
  <c r="BL20" i="3"/>
  <c r="BA21" i="3"/>
  <c r="F29" i="6"/>
  <c r="BA20" i="3"/>
  <c r="BL17" i="3"/>
  <c r="BL14" i="3"/>
  <c r="BL15" i="3"/>
  <c r="G25" i="3"/>
  <c r="G23" i="3"/>
  <c r="G21" i="3"/>
  <c r="BA15" i="3"/>
  <c r="BA24" i="3"/>
  <c r="AZ25" i="3"/>
  <c r="G24" i="3"/>
  <c r="G20" i="3"/>
  <c r="G15" i="3"/>
  <c r="G5" i="3" s="1"/>
  <c r="B3" i="3" s="1"/>
  <c r="E561" i="3" s="1"/>
  <c r="AZ20" i="3"/>
  <c r="G29" i="6"/>
  <c r="E29" i="6" s="1"/>
  <c r="BT5" i="3"/>
  <c r="BL26" i="3"/>
  <c r="AZ26" i="3" s="1"/>
  <c r="BL23" i="3"/>
  <c r="AZ23" i="3" s="1"/>
  <c r="BL21" i="3"/>
  <c r="AZ21" i="3" s="1"/>
  <c r="AZ17" i="3"/>
  <c r="AZ15" i="3"/>
  <c r="M104" i="46"/>
  <c r="BL24" i="3"/>
  <c r="BL22" i="3"/>
  <c r="AZ22" i="3" s="1"/>
  <c r="BL16" i="3"/>
  <c r="BL5" i="3" s="1"/>
  <c r="G16" i="3"/>
  <c r="BA19" i="3"/>
  <c r="AZ19" i="3" s="1"/>
  <c r="AZ13" i="3"/>
  <c r="M102" i="46"/>
  <c r="L16" i="4"/>
  <c r="N16" i="4"/>
  <c r="K17" i="4" s="1"/>
  <c r="A22" i="51" s="1"/>
  <c r="B16" i="63" s="1"/>
  <c r="F52" i="37"/>
  <c r="G52" i="37" s="1"/>
  <c r="H52" i="37" s="1"/>
  <c r="I52" i="37" s="1"/>
  <c r="J52" i="37" s="1"/>
  <c r="K52" i="37" s="1"/>
  <c r="L52" i="37" s="1"/>
  <c r="M52" i="37" s="1"/>
  <c r="N52" i="37" s="1"/>
  <c r="O52" i="37" s="1"/>
  <c r="H7" i="37"/>
  <c r="AP9" i="1"/>
  <c r="G9" i="1"/>
  <c r="G16" i="1" s="1"/>
  <c r="H1" i="65"/>
  <c r="G19" i="46"/>
  <c r="J65" i="40"/>
  <c r="H67" i="40"/>
  <c r="F32" i="71"/>
  <c r="F59" i="71" s="1"/>
  <c r="C28" i="71"/>
  <c r="M18" i="71"/>
  <c r="D18" i="9"/>
  <c r="M44" i="9" s="1"/>
  <c r="M43" i="9"/>
  <c r="G17" i="46"/>
  <c r="C16" i="46" s="1"/>
  <c r="C5" i="46" s="1"/>
  <c r="E107" i="46"/>
  <c r="K106" i="46"/>
  <c r="N106" i="46"/>
  <c r="L105" i="46"/>
  <c r="E103" i="46"/>
  <c r="K105" i="46"/>
  <c r="K103" i="46"/>
  <c r="N102" i="46"/>
  <c r="I103" i="46"/>
  <c r="I104" i="46"/>
  <c r="I109" i="46"/>
  <c r="G1" i="71"/>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I105" i="46"/>
  <c r="N103" i="46"/>
  <c r="N109" i="46"/>
  <c r="N104" i="46"/>
  <c r="D21" i="12"/>
  <c r="C21" i="12" s="1"/>
  <c r="D12" i="11"/>
  <c r="C12" i="11" s="1"/>
  <c r="AZ24" i="3"/>
  <c r="BL18" i="3"/>
  <c r="BA18" i="3"/>
  <c r="M103" i="46"/>
  <c r="BC5" i="3"/>
  <c r="BR5" i="3"/>
  <c r="G28" i="6" s="1"/>
  <c r="G30" i="6" s="1"/>
  <c r="G31" i="6" s="1"/>
  <c r="L19" i="6"/>
  <c r="L27" i="6" s="1"/>
  <c r="K15" i="1"/>
  <c r="BQ5" i="3"/>
  <c r="F28" i="6" s="1"/>
  <c r="F30" i="6" s="1"/>
  <c r="BA5" i="3"/>
  <c r="J103" i="46"/>
  <c r="J107" i="46"/>
  <c r="J109" i="46"/>
  <c r="C107" i="46"/>
  <c r="J105" i="46"/>
  <c r="J104" i="46"/>
  <c r="AZ14" i="3"/>
  <c r="Q16" i="1"/>
  <c r="O13" i="1"/>
  <c r="P13" i="1" s="1"/>
  <c r="O11" i="1"/>
  <c r="P11" i="1" s="1"/>
  <c r="O7" i="1"/>
  <c r="P7" i="1" s="1"/>
  <c r="O12" i="1"/>
  <c r="P12" i="1" s="1"/>
  <c r="O10" i="1"/>
  <c r="P10" i="1" s="1"/>
  <c r="O8" i="1"/>
  <c r="P8" i="1" s="1"/>
  <c r="AH8" i="1"/>
  <c r="A18" i="51"/>
  <c r="B14" i="63" s="1"/>
  <c r="L5" i="54"/>
  <c r="B39" i="63" s="1"/>
  <c r="K5" i="54"/>
  <c r="T41" i="4"/>
  <c r="A17" i="64" s="1"/>
  <c r="A18" i="64"/>
  <c r="B74" i="63" s="1"/>
  <c r="C53" i="10"/>
  <c r="A17" i="51"/>
  <c r="B13" i="63" s="1"/>
  <c r="AP16" i="1"/>
  <c r="F22" i="11" s="1"/>
  <c r="B4" i="52"/>
  <c r="E7" i="52"/>
  <c r="N48" i="35"/>
  <c r="O48" i="35" s="1"/>
  <c r="F7" i="35"/>
  <c r="F7" i="37"/>
  <c r="J7" i="35"/>
  <c r="H7" i="35"/>
  <c r="G59" i="34"/>
  <c r="E58" i="33"/>
  <c r="F58" i="21"/>
  <c r="J7" i="37"/>
  <c r="G46" i="36"/>
  <c r="C9" i="39"/>
  <c r="C70" i="39" s="1"/>
  <c r="E16" i="52"/>
  <c r="B8" i="52"/>
  <c r="E15" i="52"/>
  <c r="E22" i="52"/>
  <c r="E5" i="52"/>
  <c r="E10" i="52"/>
  <c r="B9" i="52"/>
  <c r="B14" i="52"/>
  <c r="E17" i="52"/>
  <c r="B10" i="52"/>
  <c r="E4" i="52"/>
  <c r="E21" i="52"/>
  <c r="B13" i="52"/>
  <c r="B16" i="52"/>
  <c r="B5" i="52"/>
  <c r="E8" i="52"/>
  <c r="E13" i="52"/>
  <c r="E11" i="52"/>
  <c r="E9" i="52"/>
  <c r="B11" i="52"/>
  <c r="B22" i="52"/>
  <c r="B7" i="52"/>
  <c r="E6" i="52"/>
  <c r="B6" i="52"/>
  <c r="E14" i="52"/>
  <c r="Q73" i="44"/>
  <c r="C29" i="44"/>
  <c r="L59" i="44"/>
  <c r="L60" i="44"/>
  <c r="L58" i="15"/>
  <c r="L59" i="15"/>
  <c r="J54" i="44"/>
  <c r="J58" i="44"/>
  <c r="J56" i="44" s="1"/>
  <c r="J59" i="44" s="1"/>
  <c r="Q52" i="44" s="1"/>
  <c r="L57" i="44"/>
  <c r="J60" i="44"/>
  <c r="I55" i="44"/>
  <c r="J61" i="44"/>
  <c r="Q50" i="44" s="1"/>
  <c r="Q72" i="15"/>
  <c r="J53" i="15"/>
  <c r="J57" i="15"/>
  <c r="J55" i="15" s="1"/>
  <c r="J58" i="15" s="1"/>
  <c r="Q51" i="15" s="1"/>
  <c r="L57" i="15"/>
  <c r="L60" i="15"/>
  <c r="I54" i="15"/>
  <c r="L56" i="15"/>
  <c r="F65" i="15"/>
  <c r="F64" i="15"/>
  <c r="F63" i="15"/>
  <c r="F67" i="15"/>
  <c r="C27" i="15"/>
  <c r="F70" i="15"/>
  <c r="C4" i="65"/>
  <c r="B39" i="1" s="1"/>
  <c r="F50" i="15"/>
  <c r="J6" i="65"/>
  <c r="I4" i="65"/>
  <c r="F9" i="44"/>
  <c r="F38" i="71"/>
  <c r="M8" i="71"/>
  <c r="J36" i="71"/>
  <c r="M23" i="71"/>
  <c r="F16" i="71"/>
  <c r="F9" i="71"/>
  <c r="F40" i="71"/>
  <c r="J5" i="65"/>
  <c r="J3" i="65"/>
  <c r="I3" i="65"/>
  <c r="I7" i="65"/>
  <c r="J4" i="65"/>
  <c r="M27" i="71"/>
  <c r="F6" i="71"/>
  <c r="M6" i="71"/>
  <c r="M26" i="71"/>
  <c r="M9" i="71"/>
  <c r="M24" i="71"/>
  <c r="F36" i="71"/>
  <c r="C16" i="15"/>
  <c r="L47" i="71"/>
  <c r="J15" i="71"/>
  <c r="F13" i="71"/>
  <c r="M22" i="71"/>
  <c r="F42" i="71"/>
  <c r="M29" i="71"/>
  <c r="C18" i="44"/>
  <c r="I5" i="65"/>
  <c r="J7" i="65"/>
  <c r="I6" i="65"/>
  <c r="F8" i="71"/>
  <c r="M28" i="71"/>
  <c r="L48" i="71"/>
  <c r="F26" i="71"/>
  <c r="F43" i="71"/>
  <c r="F37" i="71"/>
  <c r="F7" i="71"/>
  <c r="F7" i="15"/>
  <c r="I102" i="46" l="1"/>
  <c r="I106" i="46"/>
  <c r="I107" i="46"/>
  <c r="G106" i="46"/>
  <c r="G102" i="46"/>
  <c r="G109" i="46"/>
  <c r="J102" i="46"/>
  <c r="M109" i="46"/>
  <c r="M106" i="46"/>
  <c r="M105" i="46"/>
  <c r="D106" i="46"/>
  <c r="D102" i="46"/>
  <c r="D109" i="46"/>
  <c r="L102" i="46"/>
  <c r="L106" i="46"/>
  <c r="L103" i="46"/>
  <c r="C105" i="46"/>
  <c r="C103" i="46"/>
  <c r="C104" i="46"/>
  <c r="C106" i="46"/>
  <c r="AZ16" i="3"/>
  <c r="C102" i="46"/>
  <c r="D22" i="46"/>
  <c r="M6" i="1"/>
  <c r="H16" i="1"/>
  <c r="I1" i="65"/>
  <c r="E20" i="46"/>
  <c r="J1" i="65"/>
  <c r="J12" i="40"/>
  <c r="H12" i="40"/>
  <c r="U12" i="40" s="1"/>
  <c r="H12" i="39"/>
  <c r="F12" i="40"/>
  <c r="S12" i="40" s="1"/>
  <c r="F12" i="39"/>
  <c r="J12" i="39"/>
  <c r="J67" i="40"/>
  <c r="K65" i="40"/>
  <c r="AB7" i="37"/>
  <c r="T42" i="37" s="1"/>
  <c r="G42" i="37" s="1"/>
  <c r="G46" i="37" s="1"/>
  <c r="H46" i="37" s="1"/>
  <c r="U7" i="37"/>
  <c r="P25" i="46"/>
  <c r="B73" i="39" s="1"/>
  <c r="O19" i="46"/>
  <c r="P22" i="46"/>
  <c r="P24" i="46"/>
  <c r="B68" i="40" s="1"/>
  <c r="M20" i="46"/>
  <c r="P21" i="46"/>
  <c r="P23" i="46"/>
  <c r="C19" i="46"/>
  <c r="T3" i="46" s="1"/>
  <c r="V3" i="46" s="1"/>
  <c r="D5" i="46"/>
  <c r="T7" i="46"/>
  <c r="V7" i="46" s="1"/>
  <c r="T9" i="46"/>
  <c r="V9" i="46" s="1"/>
  <c r="T2" i="46"/>
  <c r="V2" i="46" s="1"/>
  <c r="T5" i="46"/>
  <c r="V5" i="46" s="1"/>
  <c r="T12" i="46"/>
  <c r="V12" i="46" s="1"/>
  <c r="T10" i="46"/>
  <c r="V10" i="46" s="1"/>
  <c r="T15" i="46"/>
  <c r="V15" i="46" s="1"/>
  <c r="C29" i="46"/>
  <c r="C30" i="46" s="1"/>
  <c r="E30" i="46" s="1"/>
  <c r="C38" i="46"/>
  <c r="C34" i="46"/>
  <c r="G34" i="46" s="1"/>
  <c r="I34" i="46" s="1"/>
  <c r="M9" i="44"/>
  <c r="J8" i="44" s="1"/>
  <c r="J20" i="44" s="1"/>
  <c r="C8" i="44"/>
  <c r="C34" i="44" s="1"/>
  <c r="C27" i="71"/>
  <c r="F67" i="71"/>
  <c r="F50" i="71"/>
  <c r="F70" i="71"/>
  <c r="F63" i="71"/>
  <c r="F64" i="71"/>
  <c r="F65" i="71"/>
  <c r="L60" i="71"/>
  <c r="Q67" i="71" s="1"/>
  <c r="L56" i="71"/>
  <c r="L57" i="71"/>
  <c r="J57" i="71"/>
  <c r="J55" i="71" s="1"/>
  <c r="J58" i="71" s="1"/>
  <c r="Q51" i="71" s="1"/>
  <c r="I54" i="71"/>
  <c r="J53" i="71"/>
  <c r="F1" i="71" s="1"/>
  <c r="L58" i="71"/>
  <c r="Q74" i="71" s="1"/>
  <c r="L59" i="71"/>
  <c r="Q62" i="71" s="1"/>
  <c r="Q72" i="71"/>
  <c r="F3" i="35"/>
  <c r="AZ18" i="3"/>
  <c r="AZ5" i="3" s="1"/>
  <c r="E3" i="6" s="1"/>
  <c r="E11" i="6"/>
  <c r="E13" i="6"/>
  <c r="E15" i="6"/>
  <c r="E10" i="6"/>
  <c r="E8" i="6"/>
  <c r="E12" i="6"/>
  <c r="E14" i="6"/>
  <c r="E185" i="3"/>
  <c r="E21" i="3"/>
  <c r="E469" i="3"/>
  <c r="E142" i="3"/>
  <c r="E278" i="3"/>
  <c r="E27" i="3"/>
  <c r="E468" i="3"/>
  <c r="E140" i="3"/>
  <c r="E376" i="3"/>
  <c r="E381" i="3"/>
  <c r="E412" i="3"/>
  <c r="E148" i="3"/>
  <c r="E109" i="3"/>
  <c r="E410" i="3"/>
  <c r="E343" i="3"/>
  <c r="E64" i="3"/>
  <c r="E294" i="3"/>
  <c r="E94" i="3"/>
  <c r="E427" i="3"/>
  <c r="E535" i="3"/>
  <c r="W6" i="3"/>
  <c r="E405" i="3"/>
  <c r="E53" i="3"/>
  <c r="E313" i="3"/>
  <c r="E151" i="3"/>
  <c r="E38" i="3"/>
  <c r="E70" i="3"/>
  <c r="E431" i="3"/>
  <c r="AP6" i="3"/>
  <c r="E84" i="3"/>
  <c r="P6" i="3"/>
  <c r="AH6" i="3"/>
  <c r="E125" i="3"/>
  <c r="R6" i="3"/>
  <c r="E387" i="3"/>
  <c r="E534" i="3"/>
  <c r="E104" i="3"/>
  <c r="E193" i="3"/>
  <c r="E49" i="3"/>
  <c r="E156" i="3"/>
  <c r="E283" i="3"/>
  <c r="E28" i="6"/>
  <c r="K14" i="1" s="1"/>
  <c r="E398" i="3"/>
  <c r="N6" i="3"/>
  <c r="E422" i="3"/>
  <c r="E473" i="3"/>
  <c r="E98" i="3"/>
  <c r="E482" i="3"/>
  <c r="E129" i="3"/>
  <c r="E184" i="3"/>
  <c r="E174" i="3"/>
  <c r="E545" i="3"/>
  <c r="E63" i="3"/>
  <c r="E47" i="3"/>
  <c r="E110" i="3"/>
  <c r="E462" i="3"/>
  <c r="E442" i="3"/>
  <c r="E397" i="3"/>
  <c r="E218" i="3"/>
  <c r="E536" i="3"/>
  <c r="E490" i="3"/>
  <c r="E213" i="3"/>
  <c r="E435" i="3"/>
  <c r="E452" i="3"/>
  <c r="E423" i="3"/>
  <c r="E54" i="3"/>
  <c r="E199" i="3"/>
  <c r="E537" i="3"/>
  <c r="E225" i="3"/>
  <c r="E253" i="3"/>
  <c r="E187" i="3"/>
  <c r="E472" i="3"/>
  <c r="E296" i="3"/>
  <c r="E158" i="3"/>
  <c r="E390" i="3"/>
  <c r="E337" i="3"/>
  <c r="E78" i="3"/>
  <c r="AM6" i="3"/>
  <c r="E194" i="3"/>
  <c r="E265" i="3"/>
  <c r="E443" i="3"/>
  <c r="E2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95" i="3"/>
  <c r="E280" i="3"/>
  <c r="E270" i="3"/>
  <c r="E157" i="3"/>
  <c r="E161" i="3"/>
  <c r="E492" i="3"/>
  <c r="E295" i="3"/>
  <c r="E89" i="3"/>
  <c r="E201" i="3"/>
  <c r="E170" i="3"/>
  <c r="E274" i="3"/>
  <c r="E32" i="3"/>
  <c r="E547" i="3"/>
  <c r="E447" i="3"/>
  <c r="E33" i="3"/>
  <c r="Q6" i="3"/>
  <c r="E119" i="3"/>
  <c r="E500" i="3"/>
  <c r="E97" i="3"/>
  <c r="AE6" i="3"/>
  <c r="E289" i="3"/>
  <c r="E363" i="3"/>
  <c r="E113" i="3"/>
  <c r="E79" i="3"/>
  <c r="E425" i="3"/>
  <c r="E401" i="3"/>
  <c r="E257" i="3"/>
  <c r="E272" i="3"/>
  <c r="E139" i="3"/>
  <c r="E52" i="3"/>
  <c r="E445" i="3"/>
  <c r="E451" i="3"/>
  <c r="E556" i="3"/>
  <c r="U6" i="3"/>
  <c r="E291" i="3"/>
  <c r="E305" i="3"/>
  <c r="E527" i="3"/>
  <c r="E73" i="3"/>
  <c r="E365" i="3"/>
  <c r="E126" i="3"/>
  <c r="E248" i="3"/>
  <c r="E211"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297" i="3"/>
  <c r="AN6" i="3"/>
  <c r="E59" i="3"/>
  <c r="E464" i="3"/>
  <c r="E209" i="3"/>
  <c r="E450" i="3"/>
  <c r="E149" i="3"/>
  <c r="E249" i="3"/>
  <c r="E549" i="3"/>
  <c r="E460" i="3"/>
  <c r="I3" i="6"/>
  <c r="E463" i="3"/>
  <c r="E292" i="3"/>
  <c r="E426" i="3"/>
  <c r="E60" i="3"/>
  <c r="E75" i="3"/>
  <c r="E178" i="3"/>
  <c r="J6" i="3"/>
  <c r="E48" i="3"/>
  <c r="E438" i="3"/>
  <c r="E455" i="3"/>
  <c r="E247" i="3"/>
  <c r="E136" i="3"/>
  <c r="E568" i="3"/>
  <c r="E85" i="3"/>
  <c r="E539" i="3"/>
  <c r="E332" i="3"/>
  <c r="E245" i="3"/>
  <c r="E166" i="3"/>
  <c r="E102" i="3"/>
  <c r="O6" i="3"/>
  <c r="E25" i="3"/>
  <c r="E204" i="3"/>
  <c r="E258" i="3"/>
  <c r="E207" i="3"/>
  <c r="E479" i="3"/>
  <c r="E449" i="3"/>
  <c r="E43" i="3"/>
  <c r="E196" i="3"/>
  <c r="E276" i="3"/>
  <c r="E259"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D45" i="9"/>
  <c r="D46" i="9"/>
  <c r="F33" i="12"/>
  <c r="C34" i="12" s="1"/>
  <c r="D33" i="12" s="1"/>
  <c r="F18" i="11"/>
  <c r="C18" i="11" s="1"/>
  <c r="F24" i="43"/>
  <c r="C26" i="43" s="1"/>
  <c r="D24" i="43" s="1"/>
  <c r="C6" i="71"/>
  <c r="C33" i="71" s="1"/>
  <c r="F49" i="71"/>
  <c r="C48" i="71" s="1"/>
  <c r="M7" i="71"/>
  <c r="J6" i="71" s="1"/>
  <c r="J18" i="71" s="1"/>
  <c r="F49" i="15"/>
  <c r="C48" i="15" s="1"/>
  <c r="M7" i="15"/>
  <c r="J6" i="15" s="1"/>
  <c r="J18" i="15" s="1"/>
  <c r="C6" i="15"/>
  <c r="C32" i="15" s="1"/>
  <c r="D113" i="46"/>
  <c r="A25" i="64"/>
  <c r="A25" i="51"/>
  <c r="B18" i="63" s="1"/>
  <c r="B38" i="63"/>
  <c r="A3" i="55"/>
  <c r="B56" i="63" s="1"/>
  <c r="E29" i="46"/>
  <c r="AB12" i="40"/>
  <c r="AA12" i="40"/>
  <c r="E34" i="46"/>
  <c r="C72" i="39"/>
  <c r="D70" i="39"/>
  <c r="H46" i="36"/>
  <c r="G58" i="21"/>
  <c r="F58" i="33"/>
  <c r="H59" i="34"/>
  <c r="U7" i="35"/>
  <c r="AB7" i="35"/>
  <c r="T38" i="35" s="1"/>
  <c r="G38" i="35" s="1"/>
  <c r="AA7" i="37"/>
  <c r="R42" i="37" s="1"/>
  <c r="S7" i="37"/>
  <c r="U12" i="39"/>
  <c r="AB12" i="39"/>
  <c r="S7" i="35"/>
  <c r="AA7" i="35"/>
  <c r="R38" i="35" s="1"/>
  <c r="W7" i="37"/>
  <c r="AC7" i="37"/>
  <c r="V42" i="37" s="1"/>
  <c r="I42" i="37" s="1"/>
  <c r="AC7" i="35"/>
  <c r="V38" i="35" s="1"/>
  <c r="I38" i="35" s="1"/>
  <c r="W7" i="35"/>
  <c r="W12" i="39"/>
  <c r="AC12" i="39"/>
  <c r="S12" i="39"/>
  <c r="AA12" i="39"/>
  <c r="M11" i="15"/>
  <c r="J10" i="15" s="1"/>
  <c r="M11" i="71"/>
  <c r="J10" i="71" s="1"/>
  <c r="F11" i="15"/>
  <c r="F11" i="71"/>
  <c r="M13" i="44"/>
  <c r="J12" i="44" s="1"/>
  <c r="F13" i="44"/>
  <c r="C12" i="44" s="1"/>
  <c r="Q67" i="15"/>
  <c r="Q58" i="15"/>
  <c r="F1" i="15"/>
  <c r="Q53" i="15"/>
  <c r="Q74" i="15"/>
  <c r="Q61" i="15"/>
  <c r="Q62" i="44"/>
  <c r="Q75" i="44"/>
  <c r="Q61" i="71"/>
  <c r="F1" i="44"/>
  <c r="Q54" i="44"/>
  <c r="O28" i="46"/>
  <c r="P28" i="46"/>
  <c r="M28" i="46"/>
  <c r="N28" i="46"/>
  <c r="Q62" i="15"/>
  <c r="Q75" i="15"/>
  <c r="Q63" i="44"/>
  <c r="Q76" i="44"/>
  <c r="AE7" i="1"/>
  <c r="C16" i="71"/>
  <c r="F46" i="44"/>
  <c r="E3" i="65"/>
  <c r="AE8" i="1"/>
  <c r="E2" i="65"/>
  <c r="J7" i="44" l="1"/>
  <c r="AC6" i="3"/>
  <c r="C15" i="43"/>
  <c r="O6" i="1"/>
  <c r="P6" i="1" s="1"/>
  <c r="E30" i="6"/>
  <c r="H6" i="3"/>
  <c r="E6" i="3" s="1"/>
  <c r="C32" i="71"/>
  <c r="F17" i="11"/>
  <c r="C17" i="11" s="1"/>
  <c r="B40" i="1"/>
  <c r="Q58" i="71"/>
  <c r="J5" i="15"/>
  <c r="J24" i="15" s="1"/>
  <c r="C36" i="46"/>
  <c r="C39" i="46"/>
  <c r="T13" i="46"/>
  <c r="V13" i="46" s="1"/>
  <c r="T6" i="46"/>
  <c r="V6" i="46" s="1"/>
  <c r="T4" i="46"/>
  <c r="V4" i="46" s="1"/>
  <c r="T11" i="46"/>
  <c r="V11" i="46" s="1"/>
  <c r="T14" i="46"/>
  <c r="V14" i="46" s="1"/>
  <c r="T8" i="46"/>
  <c r="V8" i="46" s="1"/>
  <c r="T16" i="46"/>
  <c r="V16" i="46" s="1"/>
  <c r="AC12" i="40"/>
  <c r="W12" i="40"/>
  <c r="L65" i="40"/>
  <c r="K67" i="40"/>
  <c r="F21" i="43"/>
  <c r="C23" i="43" s="1"/>
  <c r="D21" i="43" s="1"/>
  <c r="C7" i="44"/>
  <c r="C40" i="44" s="1"/>
  <c r="J5" i="71"/>
  <c r="J24" i="71" s="1"/>
  <c r="C19" i="11"/>
  <c r="Q53" i="71"/>
  <c r="Q75" i="71"/>
  <c r="C37" i="46"/>
  <c r="C35" i="46"/>
  <c r="C33" i="46"/>
  <c r="E38" i="46"/>
  <c r="G38" i="46"/>
  <c r="I38" i="46" s="1"/>
  <c r="G39" i="46"/>
  <c r="I39" i="46" s="1"/>
  <c r="E39" i="46"/>
  <c r="C33" i="15"/>
  <c r="AY6" i="3"/>
  <c r="AY97" i="3" s="1"/>
  <c r="C21" i="4"/>
  <c r="O5" i="54" s="1"/>
  <c r="B45" i="63" s="1"/>
  <c r="D16" i="43"/>
  <c r="C16" i="43" s="1"/>
  <c r="D10" i="11"/>
  <c r="E6" i="6"/>
  <c r="D16" i="12"/>
  <c r="C16" i="12" s="1"/>
  <c r="L38" i="9"/>
  <c r="B14" i="66" s="1"/>
  <c r="B1" i="66" s="1"/>
  <c r="C8" i="66" s="1"/>
  <c r="AY77" i="3"/>
  <c r="AY57" i="3"/>
  <c r="AY349" i="3"/>
  <c r="AY149" i="3"/>
  <c r="AY549" i="3"/>
  <c r="AY422" i="3"/>
  <c r="E66" i="39"/>
  <c r="E61" i="40"/>
  <c r="F27" i="6"/>
  <c r="E58" i="39"/>
  <c r="E53" i="40"/>
  <c r="E16" i="6"/>
  <c r="E67" i="39"/>
  <c r="E62" i="40"/>
  <c r="E63" i="39"/>
  <c r="E58" i="40"/>
  <c r="AY88" i="3"/>
  <c r="AY106" i="3"/>
  <c r="AY146" i="3"/>
  <c r="E64" i="39"/>
  <c r="E59" i="40"/>
  <c r="E65" i="39"/>
  <c r="E60" i="40"/>
  <c r="M14" i="1"/>
  <c r="K16" i="1"/>
  <c r="AY530" i="3"/>
  <c r="AY26" i="3"/>
  <c r="AY217" i="3"/>
  <c r="AY214" i="3"/>
  <c r="AY258" i="3"/>
  <c r="AY529" i="3"/>
  <c r="AY383" i="3"/>
  <c r="AY476" i="3"/>
  <c r="C7" i="66"/>
  <c r="C15" i="12"/>
  <c r="R39" i="35"/>
  <c r="E38" i="35"/>
  <c r="I59" i="34"/>
  <c r="I42" i="35"/>
  <c r="J42" i="35" s="1"/>
  <c r="I43" i="35"/>
  <c r="J43" i="35" s="1"/>
  <c r="I46" i="37"/>
  <c r="J46" i="37" s="1"/>
  <c r="G47" i="37"/>
  <c r="H47" i="37" s="1"/>
  <c r="E42" i="37"/>
  <c r="I47" i="37" s="1"/>
  <c r="J47" i="37" s="1"/>
  <c r="R43" i="37"/>
  <c r="G42" i="35"/>
  <c r="H42" i="35" s="1"/>
  <c r="G43" i="35"/>
  <c r="H43" i="35" s="1"/>
  <c r="G58" i="33"/>
  <c r="H58" i="21"/>
  <c r="I46" i="36"/>
  <c r="D72" i="39"/>
  <c r="E70" i="39"/>
  <c r="J28" i="44"/>
  <c r="J31" i="44" s="1"/>
  <c r="J26" i="44"/>
  <c r="C10" i="71"/>
  <c r="C5" i="71" s="1"/>
  <c r="C52" i="71"/>
  <c r="C47" i="71" s="1"/>
  <c r="C20" i="11"/>
  <c r="C21" i="11" s="1"/>
  <c r="C22" i="11" s="1"/>
  <c r="C23" i="11" s="1"/>
  <c r="B2" i="11" s="1"/>
  <c r="C10" i="15"/>
  <c r="C5" i="15" s="1"/>
  <c r="C52" i="15"/>
  <c r="C47" i="15" s="1"/>
  <c r="F41" i="15"/>
  <c r="L52" i="44"/>
  <c r="F41" i="71"/>
  <c r="F68" i="15" l="1"/>
  <c r="J26" i="71"/>
  <c r="J26" i="15"/>
  <c r="J29" i="15" s="1"/>
  <c r="AY116" i="3"/>
  <c r="AY170" i="3"/>
  <c r="AY98" i="3"/>
  <c r="AY69" i="3"/>
  <c r="AY39" i="3"/>
  <c r="AY427" i="3"/>
  <c r="AY53" i="3"/>
  <c r="D3" i="6"/>
  <c r="AY463" i="3"/>
  <c r="AY361" i="3"/>
  <c r="AY104" i="3"/>
  <c r="AY178" i="3"/>
  <c r="AY74" i="3"/>
  <c r="AY379" i="3"/>
  <c r="AY397" i="3"/>
  <c r="AY262" i="3"/>
  <c r="AY73" i="3"/>
  <c r="AY198" i="3"/>
  <c r="L67" i="40"/>
  <c r="M65" i="40"/>
  <c r="F24" i="71"/>
  <c r="C24" i="71" s="1"/>
  <c r="F24" i="15"/>
  <c r="C24" i="15" s="1"/>
  <c r="F26" i="44"/>
  <c r="C26" i="44" s="1"/>
  <c r="F26" i="12"/>
  <c r="C27" i="12" s="1"/>
  <c r="D26" i="12" s="1"/>
  <c r="C32" i="12" s="1"/>
  <c r="D30" i="12" s="1"/>
  <c r="G36" i="46"/>
  <c r="I36" i="46" s="1"/>
  <c r="E36" i="46"/>
  <c r="F68" i="71"/>
  <c r="J29" i="71"/>
  <c r="D19" i="12"/>
  <c r="C19" i="12" s="1"/>
  <c r="G33" i="46"/>
  <c r="I33" i="46" s="1"/>
  <c r="C27" i="46" s="1"/>
  <c r="E33" i="46"/>
  <c r="G37" i="46"/>
  <c r="I37" i="46" s="1"/>
  <c r="E37" i="46"/>
  <c r="G35" i="46"/>
  <c r="I35" i="46" s="1"/>
  <c r="E35" i="46"/>
  <c r="F31" i="6"/>
  <c r="E27" i="6"/>
  <c r="D22" i="12"/>
  <c r="C22" i="12" s="1"/>
  <c r="C20" i="12" s="1"/>
  <c r="D13" i="11"/>
  <c r="C13" i="11" s="1"/>
  <c r="AY135" i="3"/>
  <c r="AY324" i="3"/>
  <c r="AY129" i="3"/>
  <c r="AY381" i="3"/>
  <c r="AY448" i="3"/>
  <c r="AY136" i="3"/>
  <c r="AY537" i="3"/>
  <c r="AY109" i="3"/>
  <c r="AY37" i="3"/>
  <c r="AY203" i="3"/>
  <c r="AY95" i="3"/>
  <c r="AY83" i="3"/>
  <c r="AY45" i="3"/>
  <c r="AY277" i="3"/>
  <c r="AY384" i="3"/>
  <c r="AY425" i="3"/>
  <c r="AY202" i="3"/>
  <c r="AY286" i="3"/>
  <c r="AY398" i="3"/>
  <c r="AY169" i="3"/>
  <c r="AY310" i="3"/>
  <c r="AY350" i="3"/>
  <c r="AY459" i="3"/>
  <c r="AY50" i="3"/>
  <c r="AY226" i="3"/>
  <c r="AY346" i="3"/>
  <c r="AY400" i="3"/>
  <c r="AY161" i="3"/>
  <c r="AY340" i="3"/>
  <c r="AY101" i="3"/>
  <c r="AY272" i="3"/>
  <c r="AY305" i="3"/>
  <c r="AY405" i="3"/>
  <c r="AY429" i="3"/>
  <c r="AY442" i="3"/>
  <c r="AY43" i="3"/>
  <c r="AY486" i="3"/>
  <c r="AY159" i="3"/>
  <c r="AY47" i="3"/>
  <c r="AY234" i="3"/>
  <c r="AY402" i="3"/>
  <c r="AY343" i="3"/>
  <c r="AY265" i="3"/>
  <c r="AY315" i="3"/>
  <c r="AY168" i="3"/>
  <c r="AY464" i="3"/>
  <c r="AY295" i="3"/>
  <c r="AY194" i="3"/>
  <c r="AY16" i="3"/>
  <c r="AY278" i="3"/>
  <c r="AY253"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26" i="3"/>
  <c r="AY232" i="3"/>
  <c r="AY142" i="3"/>
  <c r="AY41" i="3"/>
  <c r="AY504" i="3"/>
  <c r="AY175" i="3"/>
  <c r="AY467" i="3"/>
  <c r="AY139" i="3"/>
  <c r="AY70" i="3"/>
  <c r="AY348" i="3"/>
  <c r="AY72" i="3"/>
  <c r="AY241" i="3"/>
  <c r="AY30" i="3"/>
  <c r="AY542" i="3"/>
  <c r="AY382" i="3"/>
  <c r="AY555" i="3"/>
  <c r="AY143" i="3"/>
  <c r="AY67" i="3"/>
  <c r="AY31" i="3"/>
  <c r="AY181" i="3"/>
  <c r="AY366" i="3"/>
  <c r="AY256" i="3"/>
  <c r="AY342" i="3"/>
  <c r="AY438" i="3"/>
  <c r="AY572" i="3"/>
  <c r="AY99" i="3"/>
  <c r="AY103" i="3"/>
  <c r="AY150" i="3"/>
  <c r="AY432" i="3"/>
  <c r="AY280" i="3"/>
  <c r="AY172" i="3"/>
  <c r="BS6" i="3"/>
  <c r="AY394" i="3"/>
  <c r="AY282" i="3"/>
  <c r="AY544" i="3"/>
  <c r="AY24" i="3"/>
  <c r="AY494" i="3"/>
  <c r="AY515" i="3"/>
  <c r="AY290"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100" i="3"/>
  <c r="AY416" i="3"/>
  <c r="AY141" i="3"/>
  <c r="AY62" i="3"/>
  <c r="AY155" i="3"/>
  <c r="AY291" i="3"/>
  <c r="AY49" i="3"/>
  <c r="AY144" i="3"/>
  <c r="AY87" i="3"/>
  <c r="AY82" i="3"/>
  <c r="AY128" i="3"/>
  <c r="AY182" i="3"/>
  <c r="AY264" i="3"/>
  <c r="AY479" i="3"/>
  <c r="AY364" i="3"/>
  <c r="AY238" i="3"/>
  <c r="BK6" i="3"/>
  <c r="AY115" i="3"/>
  <c r="AY435" i="3"/>
  <c r="AY230" i="3"/>
  <c r="AY132" i="3"/>
  <c r="AY420" i="3"/>
  <c r="AY188" i="3"/>
  <c r="AY157" i="3"/>
  <c r="AY105" i="3"/>
  <c r="AY317" i="3"/>
  <c r="AY65" i="3"/>
  <c r="AY548" i="3"/>
  <c r="AY81" i="3"/>
  <c r="AY279" i="3"/>
  <c r="AY336" i="3"/>
  <c r="AY501" i="3"/>
  <c r="AY481" i="3"/>
  <c r="AY204" i="3"/>
  <c r="AY216" i="3"/>
  <c r="AY28" i="3"/>
  <c r="AY311" i="3"/>
  <c r="AY257" i="3"/>
  <c r="AY254" i="3"/>
  <c r="AY359" i="3"/>
  <c r="AY437" i="3"/>
  <c r="AY493" i="3"/>
  <c r="AY273" i="3"/>
  <c r="AY64" i="3"/>
  <c r="AY158"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58" i="3"/>
  <c r="AY118" i="3"/>
  <c r="AY250" i="3"/>
  <c r="AY372" i="3"/>
  <c r="AY376" i="3"/>
  <c r="AY450" i="3"/>
  <c r="AY412"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AY240" i="3"/>
  <c r="AY475" i="3"/>
  <c r="AY281" i="3"/>
  <c r="AY395" i="3"/>
  <c r="AY418" i="3"/>
  <c r="AY434" i="3"/>
  <c r="AY179" i="3"/>
  <c r="AY209" i="3"/>
  <c r="AY560" i="3"/>
  <c r="AY550" i="3"/>
  <c r="AY389" i="3"/>
  <c r="AY122" i="3"/>
  <c r="BC6" i="3"/>
  <c r="AY330" i="3"/>
  <c r="AY449" i="3"/>
  <c r="AY191" i="3"/>
  <c r="AY275" i="3"/>
  <c r="AY414" i="3"/>
  <c r="AY304" i="3"/>
  <c r="AY227" i="3"/>
  <c r="AY120" i="3"/>
  <c r="AY266" i="3"/>
  <c r="AY14" i="3"/>
  <c r="AY193" i="3"/>
  <c r="BN6" i="3"/>
  <c r="BL6" i="3"/>
  <c r="AY145" i="3"/>
  <c r="AY472" i="3"/>
  <c r="AY201" i="3"/>
  <c r="AY525" i="3"/>
  <c r="AY386" i="3"/>
  <c r="AY445" i="3"/>
  <c r="AY224" i="3"/>
  <c r="AY430" i="3"/>
  <c r="AY207" i="3"/>
  <c r="AY259" i="3"/>
  <c r="AY365" i="3"/>
  <c r="AY29" i="3"/>
  <c r="AY319" i="3"/>
  <c r="AY388" i="3"/>
  <c r="AY415" i="3"/>
  <c r="AY208" i="3"/>
  <c r="AY447" i="3"/>
  <c r="AY483" i="3"/>
  <c r="AY60" i="3"/>
  <c r="AY322" i="3"/>
  <c r="AY410" i="3"/>
  <c r="AY126" i="3"/>
  <c r="AY294" i="3"/>
  <c r="AY302" i="3"/>
  <c r="AY543" i="3"/>
  <c r="AY13" i="3"/>
  <c r="AY556" i="3"/>
  <c r="AY38" i="3"/>
  <c r="AY424" i="3"/>
  <c r="AY378" i="3"/>
  <c r="BD6" i="3"/>
  <c r="AY248" i="3"/>
  <c r="AY233" i="3"/>
  <c r="AY131" i="3"/>
  <c r="AY520" i="3"/>
  <c r="AY453" i="3"/>
  <c r="AY184" i="3"/>
  <c r="AY151" i="3"/>
  <c r="AY531" i="3"/>
  <c r="AY485" i="3"/>
  <c r="AY244" i="3"/>
  <c r="AY399" i="3"/>
  <c r="AY199" i="3"/>
  <c r="AY174" i="3"/>
  <c r="AY351" i="3"/>
  <c r="AY328" i="3"/>
  <c r="AY63" i="3"/>
  <c r="AY71" i="3"/>
  <c r="AY440" i="3"/>
  <c r="AY195" i="3"/>
  <c r="AY495" i="3"/>
  <c r="AY363" i="3"/>
  <c r="AY393"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339"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307" i="3"/>
  <c r="AY35" i="3"/>
  <c r="AY92" i="3"/>
  <c r="AY187" i="3"/>
  <c r="AY335" i="3"/>
  <c r="AY369" i="3"/>
  <c r="AY320" i="3"/>
  <c r="AY154" i="3"/>
  <c r="AY409" i="3"/>
  <c r="AY138" i="3"/>
  <c r="AY166" i="3"/>
  <c r="AY323" i="3"/>
  <c r="AY518" i="3"/>
  <c r="AY503" i="3"/>
  <c r="AY299" i="3"/>
  <c r="AY185" i="3"/>
  <c r="AY108" i="3"/>
  <c r="AY40" i="3"/>
  <c r="AY189" i="3"/>
  <c r="AY80" i="3"/>
  <c r="AY55" i="3"/>
  <c r="AY269" i="3"/>
  <c r="AY457" i="3"/>
  <c r="AY91" i="3"/>
  <c r="AY274" i="3"/>
  <c r="AY114" i="3"/>
  <c r="AY558" i="3"/>
  <c r="AY156" i="3"/>
  <c r="AY27" i="3"/>
  <c r="AY160" i="3"/>
  <c r="AY96" i="3"/>
  <c r="AY329" i="3"/>
  <c r="AY206" i="3"/>
  <c r="AY249" i="3"/>
  <c r="AY225" i="3"/>
  <c r="BQ6" i="3"/>
  <c r="AY360" i="3"/>
  <c r="AY137" i="3"/>
  <c r="AY565" i="3"/>
  <c r="BP6" i="3"/>
  <c r="AY553" i="3"/>
  <c r="AY480" i="3"/>
  <c r="AY90" i="3"/>
  <c r="AY358" i="3"/>
  <c r="AY344" i="3"/>
  <c r="AY223" i="3"/>
  <c r="AY190" i="3"/>
  <c r="AY235" i="3"/>
  <c r="AY401" i="3"/>
  <c r="AY267" i="3"/>
  <c r="AY545"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E68" i="39"/>
  <c r="M16" i="1"/>
  <c r="N16" i="1" s="1"/>
  <c r="C29" i="43" s="1"/>
  <c r="O14" i="1"/>
  <c r="D21" i="6"/>
  <c r="D13" i="6"/>
  <c r="E46" i="9"/>
  <c r="E63" i="40"/>
  <c r="D23" i="6"/>
  <c r="K38" i="9"/>
  <c r="C14" i="66" s="1"/>
  <c r="D24" i="6"/>
  <c r="F46" i="9"/>
  <c r="D5" i="6"/>
  <c r="F45" i="9"/>
  <c r="D10" i="6"/>
  <c r="D19" i="6"/>
  <c r="D8" i="6"/>
  <c r="C40" i="39"/>
  <c r="D26" i="6"/>
  <c r="D15" i="6"/>
  <c r="E45" i="9"/>
  <c r="C22" i="4"/>
  <c r="D20" i="6"/>
  <c r="D11" i="6"/>
  <c r="D14" i="6"/>
  <c r="D28" i="6"/>
  <c r="D9" i="6"/>
  <c r="D29" i="6"/>
  <c r="D22" i="6"/>
  <c r="D12" i="6"/>
  <c r="D6" i="6"/>
  <c r="D25" i="6"/>
  <c r="J46" i="36"/>
  <c r="K46" i="36" s="1"/>
  <c r="L46" i="36" s="1"/>
  <c r="M46" i="36" s="1"/>
  <c r="N46" i="36" s="1"/>
  <c r="O46" i="36" s="1"/>
  <c r="H7" i="36"/>
  <c r="E72" i="39"/>
  <c r="F70" i="39"/>
  <c r="I58" i="21"/>
  <c r="H58" i="33"/>
  <c r="C43" i="37"/>
  <c r="B3" i="37" s="1"/>
  <c r="B2" i="37" s="1"/>
  <c r="C42" i="37"/>
  <c r="J59" i="34"/>
  <c r="E42" i="35"/>
  <c r="F42" i="35" s="1"/>
  <c r="E43" i="35"/>
  <c r="F43" i="35" s="1"/>
  <c r="E47" i="37"/>
  <c r="F47" i="37" s="1"/>
  <c r="E46" i="37"/>
  <c r="F46" i="37" s="1"/>
  <c r="C38" i="35"/>
  <c r="C39" i="35"/>
  <c r="B3" i="35" s="1"/>
  <c r="B2" i="35" s="1"/>
  <c r="Q69" i="44"/>
  <c r="L58" i="44"/>
  <c r="L61" i="44" s="1"/>
  <c r="L47" i="44" s="1"/>
  <c r="B5" i="11"/>
  <c r="B4" i="11"/>
  <c r="B3" i="11"/>
  <c r="C59" i="71"/>
  <c r="C60" i="71"/>
  <c r="C65" i="71"/>
  <c r="C38" i="15"/>
  <c r="Q58" i="44"/>
  <c r="Q49" i="44"/>
  <c r="Q55" i="44" s="1"/>
  <c r="Q67" i="44"/>
  <c r="C65" i="15"/>
  <c r="C59" i="15"/>
  <c r="C60" i="15"/>
  <c r="C38" i="71"/>
  <c r="F7" i="67"/>
  <c r="F7" i="36" l="1"/>
  <c r="J7" i="36"/>
  <c r="N65" i="40"/>
  <c r="N67" i="40" s="1"/>
  <c r="M67" i="40"/>
  <c r="H9" i="40"/>
  <c r="E4" i="67"/>
  <c r="C26" i="46"/>
  <c r="K26" i="6"/>
  <c r="M26" i="6" s="1"/>
  <c r="I26" i="6" s="1"/>
  <c r="K24" i="6"/>
  <c r="M24" i="6" s="1"/>
  <c r="I24" i="6" s="1"/>
  <c r="K25" i="6"/>
  <c r="M25" i="6" s="1"/>
  <c r="I25" i="6" s="1"/>
  <c r="K23" i="6"/>
  <c r="M23" i="6" s="1"/>
  <c r="I23" i="6" s="1"/>
  <c r="H23" i="6" s="1"/>
  <c r="E31" i="6"/>
  <c r="K22" i="6"/>
  <c r="K19" i="6"/>
  <c r="K21" i="6"/>
  <c r="K20" i="6"/>
  <c r="R23" i="6"/>
  <c r="P14" i="1"/>
  <c r="P16" i="1" s="1"/>
  <c r="C13" i="12" s="1"/>
  <c r="O16" i="1"/>
  <c r="L16" i="1"/>
  <c r="C13" i="43"/>
  <c r="S23" i="6"/>
  <c r="D30" i="6"/>
  <c r="A6" i="64"/>
  <c r="N5" i="54"/>
  <c r="B43" i="63" s="1"/>
  <c r="A20" i="64"/>
  <c r="A20" i="51"/>
  <c r="B15" i="63" s="1"/>
  <c r="A6" i="51"/>
  <c r="B7" i="63" s="1"/>
  <c r="J40" i="39"/>
  <c r="H40" i="39"/>
  <c r="F40" i="39"/>
  <c r="D27" i="6"/>
  <c r="D16" i="6"/>
  <c r="K59" i="34"/>
  <c r="L59" i="34" s="1"/>
  <c r="M59" i="34" s="1"/>
  <c r="N59" i="34" s="1"/>
  <c r="O59" i="34" s="1"/>
  <c r="J7" i="34"/>
  <c r="F7" i="34"/>
  <c r="H7" i="34"/>
  <c r="I58" i="33"/>
  <c r="J58" i="21"/>
  <c r="F72" i="39"/>
  <c r="G70" i="39"/>
  <c r="AB7" i="36"/>
  <c r="T36" i="36" s="1"/>
  <c r="G36" i="36" s="1"/>
  <c r="U7" i="36"/>
  <c r="S7" i="36"/>
  <c r="AA7" i="36"/>
  <c r="R36" i="36" s="1"/>
  <c r="AC7" i="36"/>
  <c r="V36" i="36" s="1"/>
  <c r="I36" i="36" s="1"/>
  <c r="W7" i="36"/>
  <c r="Q68" i="44"/>
  <c r="Q77" i="44" s="1"/>
  <c r="Q59" i="44"/>
  <c r="Q64" i="44" s="1"/>
  <c r="E7" i="67"/>
  <c r="F9" i="40" l="1"/>
  <c r="J9" i="40"/>
  <c r="U9" i="40"/>
  <c r="AB9" i="40"/>
  <c r="T44" i="40" s="1"/>
  <c r="G44" i="40" s="1"/>
  <c r="E3" i="67"/>
  <c r="B2" i="46"/>
  <c r="M21" i="6"/>
  <c r="I21" i="6" s="1"/>
  <c r="S8" i="1"/>
  <c r="M22" i="6"/>
  <c r="I22" i="6" s="1"/>
  <c r="S9" i="1"/>
  <c r="S24" i="6"/>
  <c r="H24" i="6"/>
  <c r="R24" i="6" s="1"/>
  <c r="S7" i="1"/>
  <c r="M20" i="6"/>
  <c r="I20" i="6" s="1"/>
  <c r="K27" i="6"/>
  <c r="S6" i="1"/>
  <c r="M19" i="6"/>
  <c r="S25" i="6"/>
  <c r="H25" i="6"/>
  <c r="R25" i="6" s="1"/>
  <c r="S26" i="6"/>
  <c r="H26" i="6"/>
  <c r="R26" i="6" s="1"/>
  <c r="D31" i="6"/>
  <c r="I6" i="6" s="1"/>
  <c r="C13" i="39" s="1"/>
  <c r="C17" i="43"/>
  <c r="C14" i="43"/>
  <c r="C17" i="12"/>
  <c r="C14" i="12"/>
  <c r="S40" i="39"/>
  <c r="AA40" i="39"/>
  <c r="W40" i="39"/>
  <c r="AC40" i="39"/>
  <c r="AB40" i="39"/>
  <c r="U40" i="39"/>
  <c r="I40" i="36"/>
  <c r="J40" i="36" s="1"/>
  <c r="G41" i="36"/>
  <c r="H41" i="36" s="1"/>
  <c r="G40" i="36"/>
  <c r="H40" i="36" s="1"/>
  <c r="AB7" i="34"/>
  <c r="T49" i="34" s="1"/>
  <c r="G49" i="34" s="1"/>
  <c r="U7" i="34"/>
  <c r="S7" i="34"/>
  <c r="AA7" i="34"/>
  <c r="R49" i="34" s="1"/>
  <c r="R37" i="36"/>
  <c r="E36" i="36"/>
  <c r="G72" i="39"/>
  <c r="H70" i="39"/>
  <c r="K58" i="21"/>
  <c r="J58" i="33"/>
  <c r="K58" i="33" s="1"/>
  <c r="L58" i="33" s="1"/>
  <c r="M58" i="33" s="1"/>
  <c r="N58" i="33" s="1"/>
  <c r="O58" i="33" s="1"/>
  <c r="H7" i="33" s="1"/>
  <c r="F7" i="33"/>
  <c r="J7" i="33"/>
  <c r="W7" i="34"/>
  <c r="AC7" i="34"/>
  <c r="V49" i="34" s="1"/>
  <c r="I49" i="34" s="1"/>
  <c r="C17" i="71"/>
  <c r="C19" i="44"/>
  <c r="B7" i="67"/>
  <c r="C17" i="15"/>
  <c r="G48" i="40" l="1"/>
  <c r="H48" i="40" s="1"/>
  <c r="AC9" i="40"/>
  <c r="V44" i="40" s="1"/>
  <c r="I44" i="40" s="1"/>
  <c r="W9" i="40"/>
  <c r="AA9" i="40"/>
  <c r="R44" i="40" s="1"/>
  <c r="S9" i="40"/>
  <c r="B2" i="67"/>
  <c r="D4" i="46"/>
  <c r="B4" i="46"/>
  <c r="B3" i="46"/>
  <c r="S16" i="1"/>
  <c r="T12" i="1" s="1"/>
  <c r="I5" i="6"/>
  <c r="T7" i="1"/>
  <c r="C18" i="12"/>
  <c r="C23" i="12" s="1"/>
  <c r="C18" i="43"/>
  <c r="C19" i="43" s="1"/>
  <c r="C25" i="43" s="1"/>
  <c r="C24" i="43" s="1"/>
  <c r="T8" i="1"/>
  <c r="T6" i="1"/>
  <c r="T13" i="1"/>
  <c r="I19" i="6"/>
  <c r="M27" i="6"/>
  <c r="S22" i="6"/>
  <c r="H22" i="6"/>
  <c r="R22" i="6" s="1"/>
  <c r="R9" i="1" s="1"/>
  <c r="H21" i="6"/>
  <c r="R21" i="6" s="1"/>
  <c r="R8" i="1" s="1"/>
  <c r="S21" i="6"/>
  <c r="S20" i="6"/>
  <c r="H20" i="6"/>
  <c r="R20" i="6" s="1"/>
  <c r="R7" i="1" s="1"/>
  <c r="H13" i="39"/>
  <c r="J13" i="39"/>
  <c r="F13" i="39"/>
  <c r="U7" i="33"/>
  <c r="AB7" i="33"/>
  <c r="T48" i="33" s="1"/>
  <c r="G48" i="33" s="1"/>
  <c r="I53" i="34"/>
  <c r="J53" i="34" s="1"/>
  <c r="AA7" i="33"/>
  <c r="R48" i="33" s="1"/>
  <c r="S7" i="33"/>
  <c r="H72" i="39"/>
  <c r="I70" i="39"/>
  <c r="E40" i="36"/>
  <c r="F40" i="36" s="1"/>
  <c r="E41" i="36"/>
  <c r="F41" i="36" s="1"/>
  <c r="R50" i="34"/>
  <c r="E49" i="34"/>
  <c r="G54" i="34"/>
  <c r="H54" i="34" s="1"/>
  <c r="G53" i="34"/>
  <c r="H53" i="34" s="1"/>
  <c r="AC7" i="33"/>
  <c r="V48" i="33" s="1"/>
  <c r="I48" i="33" s="1"/>
  <c r="W7" i="33"/>
  <c r="L58" i="21"/>
  <c r="M58" i="21" s="1"/>
  <c r="N58" i="21" s="1"/>
  <c r="O58" i="21" s="1"/>
  <c r="J7" i="21" s="1"/>
  <c r="F7" i="21"/>
  <c r="H7" i="21"/>
  <c r="C37" i="36"/>
  <c r="B3" i="36" s="1"/>
  <c r="B2" i="36" s="1"/>
  <c r="C36" i="36"/>
  <c r="I41" i="36"/>
  <c r="J41" i="36" s="1"/>
  <c r="M21" i="15"/>
  <c r="C16" i="44"/>
  <c r="M23" i="44"/>
  <c r="F37" i="44"/>
  <c r="C14" i="71"/>
  <c r="C14" i="15"/>
  <c r="M21" i="71"/>
  <c r="F35" i="71"/>
  <c r="F35" i="15"/>
  <c r="T10" i="1" l="1"/>
  <c r="T11" i="1"/>
  <c r="T9" i="1"/>
  <c r="T16" i="1" s="1"/>
  <c r="E44" i="40"/>
  <c r="R45" i="40"/>
  <c r="I48" i="40"/>
  <c r="J48" i="40" s="1"/>
  <c r="I49" i="40"/>
  <c r="J49" i="40" s="1"/>
  <c r="G49" i="40"/>
  <c r="H49" i="40" s="1"/>
  <c r="B3" i="67"/>
  <c r="B4" i="67"/>
  <c r="C36" i="44"/>
  <c r="J22" i="44"/>
  <c r="C22" i="43"/>
  <c r="C21" i="43" s="1"/>
  <c r="C34" i="71"/>
  <c r="C31" i="71" s="1"/>
  <c r="F62" i="71"/>
  <c r="C61" i="71" s="1"/>
  <c r="C58" i="71" s="1"/>
  <c r="J20" i="71"/>
  <c r="C20" i="44"/>
  <c r="C17" i="44"/>
  <c r="C34" i="15"/>
  <c r="C31" i="15" s="1"/>
  <c r="F62" i="15"/>
  <c r="C61" i="15" s="1"/>
  <c r="C58" i="15" s="1"/>
  <c r="J20" i="15"/>
  <c r="C15" i="71"/>
  <c r="C18" i="71"/>
  <c r="C15" i="15"/>
  <c r="C18" i="15"/>
  <c r="H19" i="6"/>
  <c r="I27" i="6"/>
  <c r="S19" i="6"/>
  <c r="S27" i="6" s="1"/>
  <c r="C28" i="43"/>
  <c r="C30" i="43" s="1"/>
  <c r="C32" i="43" s="1"/>
  <c r="B2" i="43" s="1"/>
  <c r="AC13" i="39"/>
  <c r="W13" i="39"/>
  <c r="S13" i="39"/>
  <c r="AA13" i="39"/>
  <c r="AB13" i="39"/>
  <c r="U13" i="39"/>
  <c r="AC7" i="21"/>
  <c r="V48" i="21" s="1"/>
  <c r="I48" i="21" s="1"/>
  <c r="W7" i="21"/>
  <c r="U7" i="21"/>
  <c r="AB7" i="21"/>
  <c r="T48" i="21" s="1"/>
  <c r="G48" i="21" s="1"/>
  <c r="I52" i="33"/>
  <c r="J52" i="33" s="1"/>
  <c r="E54" i="34"/>
  <c r="F54" i="34" s="1"/>
  <c r="E53" i="34"/>
  <c r="F53" i="34" s="1"/>
  <c r="I72" i="39"/>
  <c r="J70" i="39"/>
  <c r="I54" i="34"/>
  <c r="J54" i="34" s="1"/>
  <c r="AA7" i="21"/>
  <c r="R48" i="21" s="1"/>
  <c r="S7" i="21"/>
  <c r="C50" i="34"/>
  <c r="B3" i="34" s="1"/>
  <c r="B2" i="34" s="1"/>
  <c r="C49" i="34"/>
  <c r="R49" i="33"/>
  <c r="E48" i="33"/>
  <c r="G52" i="33"/>
  <c r="H52" i="33" s="1"/>
  <c r="G53" i="33"/>
  <c r="H53" i="33" s="1"/>
  <c r="C44" i="40" l="1"/>
  <c r="C45" i="40"/>
  <c r="E48" i="40"/>
  <c r="F48" i="40" s="1"/>
  <c r="E49" i="40"/>
  <c r="F49" i="40" s="1"/>
  <c r="C19" i="15"/>
  <c r="C20" i="15" s="1"/>
  <c r="C23" i="15" s="1"/>
  <c r="C19" i="71"/>
  <c r="C20" i="71" s="1"/>
  <c r="C26" i="71" s="1"/>
  <c r="C21" i="44"/>
  <c r="C22" i="44" s="1"/>
  <c r="C25" i="44" s="1"/>
  <c r="H27" i="6"/>
  <c r="R19" i="6"/>
  <c r="B5" i="43"/>
  <c r="B3" i="43"/>
  <c r="B4" i="43"/>
  <c r="C49" i="33"/>
  <c r="B3" i="33" s="1"/>
  <c r="B2" i="33" s="1"/>
  <c r="C48" i="33"/>
  <c r="E48" i="21"/>
  <c r="R49" i="21"/>
  <c r="J72" i="39"/>
  <c r="K70" i="39"/>
  <c r="G52" i="21"/>
  <c r="H52" i="21" s="1"/>
  <c r="G53" i="21"/>
  <c r="H53" i="21" s="1"/>
  <c r="E52" i="33"/>
  <c r="F52" i="33" s="1"/>
  <c r="E53" i="33"/>
  <c r="F53" i="33" s="1"/>
  <c r="I53" i="33"/>
  <c r="J53" i="33" s="1"/>
  <c r="I52" i="21"/>
  <c r="J52" i="21" s="1"/>
  <c r="I53" i="21"/>
  <c r="J53" i="21" s="1"/>
  <c r="B53" i="40" l="1"/>
  <c r="F53" i="40" s="1"/>
  <c r="F63" i="40"/>
  <c r="B2" i="40" s="1"/>
  <c r="B60" i="40"/>
  <c r="F60" i="40" s="1"/>
  <c r="B58" i="40"/>
  <c r="F58" i="40" s="1"/>
  <c r="B54" i="40"/>
  <c r="F54" i="40" s="1"/>
  <c r="B55" i="40"/>
  <c r="F55" i="40" s="1"/>
  <c r="B57" i="40"/>
  <c r="F57" i="40" s="1"/>
  <c r="B56" i="40"/>
  <c r="F56" i="40" s="1"/>
  <c r="B61" i="40"/>
  <c r="F61" i="40" s="1"/>
  <c r="B59" i="40"/>
  <c r="F59" i="40" s="1"/>
  <c r="B62" i="40"/>
  <c r="F62" i="40" s="1"/>
  <c r="C26" i="15"/>
  <c r="C29" i="15" s="1"/>
  <c r="C23" i="71"/>
  <c r="C29" i="71" s="1"/>
  <c r="J19" i="71" s="1"/>
  <c r="J17" i="71" s="1"/>
  <c r="C28" i="44"/>
  <c r="C31" i="44" s="1"/>
  <c r="R6" i="1"/>
  <c r="R16" i="1" s="1"/>
  <c r="R27" i="6"/>
  <c r="K72" i="39"/>
  <c r="L70" i="39"/>
  <c r="C48" i="21"/>
  <c r="C49" i="21"/>
  <c r="B3" i="21" s="1"/>
  <c r="B2" i="21" s="1"/>
  <c r="E53" i="21"/>
  <c r="F53" i="21" s="1"/>
  <c r="E52" i="21"/>
  <c r="F52" i="21" s="1"/>
  <c r="B4" i="40" l="1"/>
  <c r="B5" i="40"/>
  <c r="B3" i="40"/>
  <c r="J59" i="15"/>
  <c r="J60" i="15" s="1"/>
  <c r="Q49" i="15" s="1"/>
  <c r="C13" i="15"/>
  <c r="C55" i="15" s="1"/>
  <c r="C64" i="15" s="1"/>
  <c r="J19" i="15"/>
  <c r="J17" i="15" s="1"/>
  <c r="J14" i="15"/>
  <c r="J22" i="15" s="1"/>
  <c r="C36" i="15"/>
  <c r="C56" i="15"/>
  <c r="C63" i="15" s="1"/>
  <c r="Q50" i="15"/>
  <c r="C13" i="71"/>
  <c r="J35" i="71" s="1"/>
  <c r="Q50" i="71"/>
  <c r="J14" i="71"/>
  <c r="J22" i="71" s="1"/>
  <c r="C56" i="71"/>
  <c r="C63" i="71" s="1"/>
  <c r="C36" i="71"/>
  <c r="J59" i="71"/>
  <c r="J60" i="71" s="1"/>
  <c r="Q49" i="71" s="1"/>
  <c r="Q51" i="44"/>
  <c r="C15" i="44"/>
  <c r="C39" i="44" s="1"/>
  <c r="C35" i="44"/>
  <c r="C33" i="44" s="1"/>
  <c r="C38" i="44"/>
  <c r="J21" i="44"/>
  <c r="J19" i="44" s="1"/>
  <c r="J16" i="44"/>
  <c r="J24" i="44" s="1"/>
  <c r="J13" i="15"/>
  <c r="J23" i="15" s="1"/>
  <c r="Q71" i="15"/>
  <c r="L46" i="15"/>
  <c r="L72" i="39"/>
  <c r="M70" i="39"/>
  <c r="C37" i="15" l="1"/>
  <c r="C57" i="15"/>
  <c r="C66" i="15" s="1"/>
  <c r="C67" i="15" s="1"/>
  <c r="J13" i="71"/>
  <c r="J23" i="71" s="1"/>
  <c r="J16" i="71" s="1"/>
  <c r="J25" i="71" s="1"/>
  <c r="J35" i="15"/>
  <c r="C30" i="15"/>
  <c r="C39" i="15" s="1"/>
  <c r="Q72" i="44"/>
  <c r="L46" i="71"/>
  <c r="Q71" i="71"/>
  <c r="C37" i="71"/>
  <c r="C30" i="71" s="1"/>
  <c r="C39" i="71" s="1"/>
  <c r="J39" i="71" s="1"/>
  <c r="J40" i="71" s="1"/>
  <c r="C55" i="71"/>
  <c r="C64" i="71" s="1"/>
  <c r="C32" i="44"/>
  <c r="C42" i="44" s="1"/>
  <c r="Q71" i="44" s="1"/>
  <c r="C57" i="71"/>
  <c r="C66" i="71" s="1"/>
  <c r="C67" i="71" s="1"/>
  <c r="C70" i="71" s="1"/>
  <c r="C43" i="44"/>
  <c r="J15" i="44"/>
  <c r="J25" i="44" s="1"/>
  <c r="J18" i="44" s="1"/>
  <c r="J27" i="44" s="1"/>
  <c r="J16" i="15"/>
  <c r="J25" i="15" s="1"/>
  <c r="C70" i="15"/>
  <c r="C40" i="15"/>
  <c r="M72" i="39"/>
  <c r="N70" i="39"/>
  <c r="N72" i="39" s="1"/>
  <c r="L51" i="71"/>
  <c r="L51" i="15"/>
  <c r="J39" i="15" l="1"/>
  <c r="J40" i="15" s="1"/>
  <c r="Q70" i="71"/>
  <c r="Q70" i="15"/>
  <c r="Q69" i="15" s="1"/>
  <c r="C40" i="71"/>
  <c r="Q70" i="44"/>
  <c r="Q68" i="15"/>
  <c r="Q69" i="71"/>
  <c r="Q68" i="71"/>
  <c r="C44" i="44"/>
  <c r="C45" i="44" s="1"/>
  <c r="B2" i="44" s="1"/>
  <c r="B3" i="44" s="1"/>
  <c r="C43" i="15"/>
  <c r="J42" i="15"/>
  <c r="J43" i="15" s="1"/>
  <c r="Q57" i="15"/>
  <c r="Q63" i="15" s="1"/>
  <c r="Q48" i="15"/>
  <c r="Q54" i="15" s="1"/>
  <c r="B2" i="15"/>
  <c r="B3" i="15" s="1"/>
  <c r="Q66" i="15"/>
  <c r="Q76" i="15" s="1"/>
  <c r="Q66" i="71"/>
  <c r="Q76" i="71" s="1"/>
  <c r="Q48" i="71"/>
  <c r="Q54" i="71" s="1"/>
  <c r="B2" i="71"/>
  <c r="B3" i="71" s="1"/>
  <c r="E10" i="12" s="1"/>
  <c r="C6" i="12" s="1"/>
  <c r="J42" i="71"/>
  <c r="J43" i="71" s="1"/>
  <c r="C43" i="71"/>
  <c r="Q57" i="71"/>
  <c r="Q63" i="71" s="1"/>
  <c r="C46" i="71"/>
  <c r="C46" i="15"/>
  <c r="J9" i="39"/>
  <c r="H9" i="39"/>
  <c r="F9" i="39"/>
  <c r="B5" i="44" l="1"/>
  <c r="B4" i="44"/>
  <c r="C24" i="12"/>
  <c r="C29" i="12"/>
  <c r="U9" i="39"/>
  <c r="AB9" i="39"/>
  <c r="T49" i="39" s="1"/>
  <c r="G49" i="39" s="1"/>
  <c r="AA9" i="39"/>
  <c r="R49" i="39" s="1"/>
  <c r="S9" i="39"/>
  <c r="AC9" i="39"/>
  <c r="V49" i="39" s="1"/>
  <c r="I49" i="39" s="1"/>
  <c r="W9" i="39"/>
  <c r="C35" i="12" l="1"/>
  <c r="C33" i="12" s="1"/>
  <c r="C28" i="12"/>
  <c r="C26" i="12" s="1"/>
  <c r="C31" i="12" s="1"/>
  <c r="C30" i="12" s="1"/>
  <c r="G53" i="39"/>
  <c r="H53" i="39" s="1"/>
  <c r="G54" i="39"/>
  <c r="H54" i="39" s="1"/>
  <c r="I53" i="39"/>
  <c r="J53" i="39" s="1"/>
  <c r="R50" i="39"/>
  <c r="E49" i="39"/>
  <c r="C36" i="12" l="1"/>
  <c r="B2" i="12" s="1"/>
  <c r="B3" i="12" s="1"/>
  <c r="E54" i="39"/>
  <c r="F54" i="39" s="1"/>
  <c r="E53" i="39"/>
  <c r="F53" i="39" s="1"/>
  <c r="I54" i="39"/>
  <c r="J54" i="39" s="1"/>
  <c r="C50" i="39"/>
  <c r="C49" i="39"/>
  <c r="D19" i="9"/>
  <c r="D20" i="9"/>
  <c r="B4" i="12" l="1"/>
  <c r="B5" i="12"/>
  <c r="L44" i="9"/>
  <c r="B58" i="39"/>
  <c r="F58" i="39" s="1"/>
  <c r="B60" i="39"/>
  <c r="F60" i="39" s="1"/>
  <c r="B62" i="39"/>
  <c r="F62" i="39" s="1"/>
  <c r="B66" i="39"/>
  <c r="F66" i="39" s="1"/>
  <c r="B65" i="39"/>
  <c r="F65" i="39" s="1"/>
  <c r="B59" i="39"/>
  <c r="F59" i="39" s="1"/>
  <c r="B61" i="39"/>
  <c r="F61" i="39" s="1"/>
  <c r="B64" i="39"/>
  <c r="F64" i="39" s="1"/>
  <c r="B63" i="39"/>
  <c r="F63" i="39" s="1"/>
  <c r="B67" i="39"/>
  <c r="F67" i="39" s="1"/>
  <c r="D21" i="9"/>
  <c r="F68" i="39" l="1"/>
  <c r="B2" i="39" s="1"/>
  <c r="C19" i="9"/>
  <c r="L43" i="9" l="1"/>
  <c r="G19" i="9"/>
  <c r="D27" i="9" s="1"/>
  <c r="D22" i="9"/>
  <c r="B5" i="39"/>
  <c r="B3" i="39"/>
  <c r="B4" i="39"/>
  <c r="C21" i="9"/>
  <c r="C20" i="9"/>
  <c r="G21" i="9" l="1"/>
  <c r="G20" i="9"/>
  <c r="G22" i="9"/>
  <c r="C32" i="9"/>
  <c r="N43" i="9"/>
  <c r="O43" i="9" l="1"/>
  <c r="C33" i="9"/>
  <c r="C35" i="9"/>
  <c r="F42" i="9" s="1"/>
  <c r="O38" i="9"/>
  <c r="C42" i="9"/>
  <c r="C34" i="9"/>
  <c r="C44" i="9" l="1"/>
  <c r="N68" i="9"/>
  <c r="D63" i="9"/>
  <c r="R5" i="54"/>
  <c r="B48" i="63" s="1"/>
  <c r="D14" i="66"/>
  <c r="E42" i="9"/>
  <c r="P5" i="54" s="1"/>
  <c r="B46" i="63" s="1"/>
  <c r="M38" i="9"/>
  <c r="K27" i="9" s="1"/>
  <c r="K26" i="9"/>
  <c r="K25" i="9"/>
  <c r="D42" i="9"/>
  <c r="Q5" i="54" s="1"/>
  <c r="B47" i="63" s="1"/>
  <c r="N38" i="9"/>
  <c r="K28" i="9" s="1"/>
  <c r="E20" i="66" l="1"/>
  <c r="F20" i="66"/>
  <c r="E14" i="66"/>
  <c r="F14" i="66"/>
  <c r="C103" i="9"/>
  <c r="C82" i="9"/>
  <c r="C81" i="9" s="1"/>
  <c r="C85" i="9" s="1"/>
  <c r="C86" i="9" s="1"/>
  <c r="D72" i="9" s="1"/>
  <c r="C90" i="9"/>
  <c r="C96" i="9"/>
  <c r="C91" i="9" s="1"/>
  <c r="D71" i="9"/>
  <c r="D66" i="9" s="1"/>
  <c r="N72" i="9" s="1"/>
  <c r="D77" i="9"/>
  <c r="N75" i="9" s="1"/>
  <c r="D70" i="9"/>
  <c r="C111" i="9"/>
  <c r="C104" i="9" s="1"/>
  <c r="O39" i="9"/>
  <c r="G14" i="66"/>
  <c r="F44" i="9"/>
  <c r="N69" i="9"/>
  <c r="E44" i="9"/>
  <c r="D44" i="9"/>
  <c r="R6" i="54" l="1"/>
  <c r="B50" i="63" s="1"/>
  <c r="K29" i="9"/>
  <c r="K30" i="9" s="1"/>
  <c r="C97" i="9"/>
  <c r="C113" i="9"/>
  <c r="M83" i="9"/>
  <c r="N83" i="9" s="1"/>
  <c r="M85" i="9"/>
  <c r="N85" i="9" s="1"/>
  <c r="M87" i="9"/>
  <c r="N87" i="9" s="1"/>
  <c r="M84" i="9"/>
  <c r="N84" i="9" s="1"/>
  <c r="M86" i="9"/>
  <c r="N86" i="9" s="1"/>
  <c r="M88" i="9"/>
  <c r="N88" i="9" s="1"/>
  <c r="C114" i="9" l="1"/>
  <c r="E114" i="9" s="1"/>
  <c r="E115" i="9" s="1"/>
  <c r="N89" i="9"/>
  <c r="O89" i="9" s="1"/>
  <c r="C98" i="9"/>
  <c r="E98" i="9" s="1"/>
  <c r="E99" i="9" s="1"/>
  <c r="C99" i="9" l="1"/>
  <c r="C115" i="9"/>
  <c r="D76" i="9" s="1"/>
  <c r="D74" i="9" s="1"/>
  <c r="N74" i="9" s="1"/>
  <c r="O77" i="9" s="1"/>
  <c r="O78" i="9" l="1"/>
  <c r="Q77" i="9"/>
  <c r="O79" i="9"/>
  <c r="O81" i="9" l="1"/>
  <c r="O80" i="9"/>
  <c r="B2" i="66" l="1"/>
  <c r="D7" i="66" l="1"/>
  <c r="D8" i="66"/>
  <c r="B6" i="66" l="1"/>
  <c r="D6" i="66" s="1"/>
  <c r="E15" i="66"/>
  <c r="F15" i="66"/>
  <c r="B5" i="66"/>
  <c r="C6" i="66" l="1"/>
  <c r="E21" i="66"/>
  <c r="F21"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<sst xmlns="http://schemas.openxmlformats.org/spreadsheetml/2006/main" count="7594" uniqueCount="3217">
  <si>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</si>
  <si>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</si>
  <si>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</si>
  <si>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</si>
  <si>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</si>
  <si>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</si>
  <si>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</si>
  <si>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</si>
  <si>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</si>
  <si>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</si>
  <si>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</si>
  <si>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</si>
  <si>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</si>
  <si>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</si>
  <si>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</si>
  <si>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</si>
  <si>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</si>
  <si>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</si>
  <si>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</si>
  <si>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</si>
  <si>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</si>
  <si>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</si>
  <si>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</si>
  <si>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</si>
  <si>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</si>
  <si>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</si>
  <si>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</si>
  <si>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</si>
  <si>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</si>
  <si>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</si>
  <si>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</si>
  <si>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</si>
  <si>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</si>
  <si>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</si>
  <si>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</si>
  <si>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</si>
  <si>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</si>
  <si>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</si>
  <si>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</si>
  <si>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</si>
  <si>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</si>
  <si>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</si>
  <si>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</si>
  <si>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</si>
  <si>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</si>
  <si>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</si>
  <si>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</si>
  <si>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</si>
  <si>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</si>
  <si>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</si>
  <si>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</si>
  <si>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</si>
  <si>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</si>
  <si>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</si>
  <si>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</si>
  <si>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</si>
  <si>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</si>
  <si>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</si>
  <si>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</si>
  <si>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</si>
  <si>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</si>
  <si>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</si>
  <si>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</si>
  <si>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</si>
  <si>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</si>
  <si>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</si>
  <si>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</si>
  <si>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</si>
  <si>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</si>
  <si>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</si>
  <si>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</si>
  <si>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</si>
  <si>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</si>
  <si>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</si>
  <si>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</si>
  <si>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</si>
  <si>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</si>
  <si>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</si>
  <si>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</si>
  <si>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</si>
  <si>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</si>
  <si>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</si>
  <si>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</si>
  <si>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</si>
  <si>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</si>
  <si>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</si>
  <si>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</si>
  <si>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</si>
  <si>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</si>
  <si>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</si>
  <si>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</si>
  <si>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</si>
  <si>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</si>
  <si>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</si>
  <si>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</si>
  <si>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</si>
  <si>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</si>
  <si>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</si>
  <si>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</si>
  <si>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</si>
  <si>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</si>
  <si>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</si>
  <si>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</si>
  <si>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</si>
  <si>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</si>
  <si>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</si>
  <si>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</si>
  <si>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</si>
  <si>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</si>
  <si>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</si>
  <si>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</si>
  <si>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</si>
  <si>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</si>
  <si>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</si>
  <si>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</si>
  <si>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</si>
  <si>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</si>
  <si>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</si>
  <si>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</si>
  <si>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</si>
  <si>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</si>
  <si>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</si>
  <si>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</si>
  <si>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</si>
  <si>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</si>
  <si>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</si>
  <si>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</si>
  <si>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</si>
  <si>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</si>
  <si>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</si>
  <si>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</si>
  <si>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</si>
  <si>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</si>
  <si>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</si>
  <si>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</si>
  <si>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</si>
  <si>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</si>
  <si>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</si>
  <si>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</si>
  <si>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</si>
  <si>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</si>
  <si>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</si>
  <si>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</si>
  <si>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</si>
  <si>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</si>
  <si>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</si>
  <si>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</si>
  <si>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</si>
  <si>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</si>
  <si>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</si>
  <si>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</si>
  <si>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</si>
  <si>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</si>
  <si>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</si>
  <si>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</si>
  <si>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</si>
  <si>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</si>
  <si>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</si>
  <si>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</si>
  <si>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</si>
  <si>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</si>
  <si>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</si>
  <si>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</si>
  <si>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</si>
  <si>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</si>
  <si>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</si>
  <si>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</si>
  <si>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</si>
  <si>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</si>
  <si>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</si>
  <si>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</si>
  <si>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</si>
  <si>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</si>
  <si>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</si>
  <si>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</si>
  <si>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</si>
  <si>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</si>
  <si>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</si>
  <si>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</si>
  <si>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</si>
  <si>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</si>
  <si>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</si>
  <si>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</si>
  <si>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</si>
  <si>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</si>
  <si>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</si>
  <si>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</si>
  <si>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</si>
  <si>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</si>
  <si>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</si>
  <si>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</si>
  <si>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</si>
  <si>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</si>
  <si>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</si>
  <si>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</si>
  <si>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</si>
  <si>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</si>
  <si>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</si>
  <si>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</si>
  <si>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</si>
  <si>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</si>
  <si>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</si>
  <si>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</si>
  <si>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</si>
  <si>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</si>
  <si>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</si>
  <si>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</si>
  <si>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</si>
  <si>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</si>
  <si>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</si>
  <si>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</si>
  <si>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</si>
  <si>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</si>
  <si>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</si>
  <si>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</si>
  <si>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</si>
  <si>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</si>
  <si>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</si>
  <si>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</si>
  <si>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</si>
  <si>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</si>
  <si>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</si>
  <si>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</si>
  <si>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</si>
  <si>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</si>
  <si>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</si>
  <si>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</si>
  <si>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</si>
  <si>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</si>
  <si>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</si>
  <si>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</si>
  <si>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</si>
  <si>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</si>
  <si>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</si>
  <si>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</si>
  <si>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</si>
  <si>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</si>
  <si>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</si>
  <si>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</si>
  <si>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</si>
  <si>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</si>
  <si>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</si>
  <si>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</si>
  <si>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</si>
  <si>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</si>
  <si>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</si>
  <si>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</si>
  <si>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</si>
  <si>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</si>
  <si>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</si>
  <si>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</si>
  <si>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</si>
  <si>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</si>
  <si>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</si>
  <si>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</si>
  <si>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</si>
  <si>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</si>
  <si>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</si>
  <si>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</si>
  <si>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</si>
  <si>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</si>
  <si>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</si>
  <si>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</si>
  <si>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</si>
  <si>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</si>
  <si>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</si>
  <si>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</si>
  <si>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</si>
  <si>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</si>
  <si>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</si>
  <si>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</si>
  <si>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</si>
  <si>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</si>
  <si>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</si>
  <si>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</si>
  <si>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</si>
  <si>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</si>
  <si>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</si>
  <si>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</si>
  <si>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</si>
  <si>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</si>
  <si>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</si>
  <si>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</si>
  <si>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</si>
  <si>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</si>
  <si>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</si>
  <si>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</si>
  <si>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</si>
  <si>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</si>
  <si>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</si>
  <si>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</si>
  <si>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</si>
  <si>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</si>
  <si>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</si>
  <si>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</si>
  <si>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</si>
  <si>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</si>
  <si>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</si>
  <si>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</si>
  <si>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</si>
  <si>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</si>
  <si>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</si>
  <si>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</si>
  <si>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</si>
  <si>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</si>
  <si>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</si>
  <si>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</si>
  <si>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</si>
  <si>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</si>
  <si>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</si>
  <si>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</si>
  <si>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</si>
  <si>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</si>
  <si>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</si>
  <si>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</si>
  <si>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</si>
  <si>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</si>
  <si>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</si>
  <si>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</si>
  <si>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</si>
  <si>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</si>
  <si>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</si>
  <si>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</si>
  <si>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</si>
  <si>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</si>
  <si>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</si>
  <si>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</si>
  <si>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</si>
  <si>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</si>
  <si>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</si>
  <si>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</si>
  <si>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</si>
  <si>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</si>
  <si>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</si>
  <si>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</si>
  <si>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</si>
  <si>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</si>
  <si>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</si>
  <si>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</si>
  <si>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</si>
  <si>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</si>
  <si>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</si>
  <si>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</si>
  <si>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</si>
  <si>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</si>
  <si>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</si>
  <si>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</si>
  <si>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</si>
  <si>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</si>
  <si>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</si>
  <si>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</si>
  <si>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</si>
  <si>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</si>
  <si>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</si>
  <si>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</si>
  <si>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</si>
  <si>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</si>
  <si>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</si>
  <si>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</si>
  <si>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</si>
  <si>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</si>
  <si>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</si>
  <si>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</si>
  <si>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</si>
  <si>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</si>
  <si>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</si>
  <si>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</si>
  <si>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</si>
  <si>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</si>
  <si>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</si>
  <si>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</si>
  <si>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</si>
  <si>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</si>
  <si>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</si>
  <si>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</si>
  <si>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</si>
  <si>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</si>
  <si>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</si>
  <si>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</si>
  <si>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</si>
  <si>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</si>
  <si>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</si>
  <si>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</si>
  <si>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</si>
  <si>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</si>
  <si>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</si>
  <si>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</si>
  <si>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</si>
  <si>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</si>
  <si>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</si>
  <si>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</si>
  <si>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</si>
  <si>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</si>
  <si>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</si>
  <si>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</si>
  <si>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</si>
  <si>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</si>
  <si>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</si>
  <si>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</si>
  <si>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</si>
  <si>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</si>
  <si>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</si>
  <si>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</si>
  <si>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</si>
  <si>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</si>
  <si>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</si>
  <si>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</si>
  <si>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</si>
  <si>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</si>
  <si>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</si>
  <si>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</si>
  <si>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</si>
  <si>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</si>
  <si>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</si>
  <si>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</si>
  <si>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</si>
  <si>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</si>
  <si>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</si>
  <si>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</si>
  <si>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</si>
  <si>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</si>
  <si>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</si>
  <si>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</si>
  <si>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</si>
  <si>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</si>
  <si>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</si>
  <si>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</si>
  <si>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</si>
  <si>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</si>
  <si>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</si>
  <si>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</si>
  <si>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</si>
  <si>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</si>
  <si>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</si>
  <si>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</si>
  <si>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</si>
  <si>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</si>
  <si>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</si>
  <si>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</si>
  <si>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</si>
  <si>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</si>
  <si>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</si>
  <si>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</si>
  <si>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</si>
  <si>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</si>
  <si>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</si>
  <si>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</si>
  <si>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</si>
  <si>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</si>
  <si>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</si>
  <si>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</si>
  <si>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</si>
  <si>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</si>
  <si>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</si>
  <si>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</si>
  <si>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</si>
  <si>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</si>
  <si>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</si>
  <si>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</si>
  <si>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</si>
  <si>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</si>
  <si>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</si>
  <si>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</si>
  <si>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</si>
  <si>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</si>
  <si>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</si>
  <si>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</si>
  <si>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</si>
  <si>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</si>
  <si>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</si>
  <si>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</si>
  <si>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</si>
  <si>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</si>
  <si>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</si>
  <si>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</si>
  <si>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</si>
  <si>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</si>
  <si>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</si>
  <si>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</si>
  <si>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</si>
  <si>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</si>
  <si>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</si>
  <si>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</si>
  <si>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</si>
  <si>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</si>
  <si>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</si>
  <si>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</si>
  <si>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</si>
  <si>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</si>
  <si>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</si>
  <si>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</si>
  <si>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</si>
  <si>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</si>
  <si>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</si>
  <si>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</si>
  <si>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</si>
  <si>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</si>
  <si>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</si>
  <si>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</si>
  <si>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</si>
  <si>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</si>
  <si>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</si>
  <si>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</si>
  <si>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</si>
  <si>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</si>
  <si>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</si>
  <si>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</si>
  <si>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</si>
  <si>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</si>
  <si>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</si>
  <si>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</si>
  <si>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</si>
  <si>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</si>
  <si>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</si>
  <si>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</si>
  <si>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</si>
  <si>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</si>
  <si>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</si>
  <si>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</si>
  <si>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</si>
  <si>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</si>
  <si>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</si>
  <si>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</si>
  <si>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</si>
  <si>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</si>
  <si>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</si>
  <si>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</si>
  <si>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</si>
  <si>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</si>
  <si>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</si>
  <si>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</si>
  <si>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</si>
  <si>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</si>
  <si>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</si>
  <si>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</si>
  <si>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</si>
  <si>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</si>
  <si>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</si>
  <si>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</si>
  <si>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</si>
  <si>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</si>
  <si>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</si>
  <si>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</si>
  <si>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</si>
  <si>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</si>
  <si>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</si>
  <si>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</si>
  <si>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</si>
  <si>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</si>
  <si>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</si>
  <si>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</si>
  <si>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</si>
  <si>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</si>
  <si>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</si>
  <si>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</si>
  <si>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</si>
  <si>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</si>
  <si>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</si>
  <si>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</si>
  <si>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</si>
  <si>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</si>
  <si>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</si>
  <si>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</si>
  <si>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</si>
  <si>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</si>
  <si>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</si>
  <si>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</si>
  <si>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</si>
  <si>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</si>
  <si>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</si>
  <si>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</si>
  <si>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</si>
  <si>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</si>
  <si>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</si>
  <si>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</si>
  <si>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</si>
  <si>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</si>
  <si>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</si>
  <si>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</si>
  <si>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</si>
  <si>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</si>
  <si>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</si>
  <si>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</si>
  <si>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</si>
  <si>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</si>
  <si>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</si>
  <si>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</si>
  <si>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</si>
  <si>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</si>
  <si>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</si>
  <si>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</si>
  <si>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</si>
  <si>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</si>
  <si>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</si>
  <si>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</si>
  <si>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</si>
  <si>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</si>
  <si>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</si>
  <si>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</si>
  <si>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</si>
  <si>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</si>
  <si>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</si>
  <si>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</si>
  <si>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</si>
  <si>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</si>
  <si>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</si>
  <si>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</si>
  <si>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</si>
  <si>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</si>
  <si>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</si>
  <si>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</si>
  <si>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</si>
  <si>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</si>
  <si>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</si>
  <si>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</si>
  <si>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</si>
  <si>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</si>
  <si>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</si>
  <si>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</si>
  <si>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</si>
  <si>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</si>
  <si>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</si>
  <si>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</si>
  <si>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</si>
  <si>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</si>
  <si>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</si>
  <si>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</si>
  <si>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</si>
  <si>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</si>
  <si>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</si>
  <si>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</si>
  <si>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</si>
  <si>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</si>
  <si>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</si>
  <si>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</si>
  <si>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</si>
  <si>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</si>
  <si>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</si>
  <si>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</si>
  <si>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</si>
  <si>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</si>
  <si>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</si>
  <si>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</si>
  <si>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</si>
  <si>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</si>
  <si>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</si>
  <si>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</si>
  <si>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</si>
  <si>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</si>
  <si>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</si>
  <si>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</si>
  <si>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</si>
  <si>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</si>
  <si>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</si>
  <si>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</si>
  <si>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</si>
  <si>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</si>
  <si>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</si>
  <si>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</si>
  <si>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</si>
  <si>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</si>
  <si>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</si>
  <si>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</si>
  <si>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</si>
  <si>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</si>
  <si>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</si>
  <si>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</si>
  <si>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</si>
  <si>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</si>
  <si>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</si>
  <si>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</si>
  <si>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</si>
  <si>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</si>
  <si>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</si>
  <si>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</si>
  <si>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</si>
  <si>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</si>
  <si>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</si>
  <si>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</si>
  <si>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</si>
  <si>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</si>
  <si>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</si>
  <si>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</si>
  <si>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</si>
  <si>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</si>
  <si>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</si>
  <si>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</si>
  <si>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</si>
  <si>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</si>
  <si>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</si>
  <si>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</si>
  <si>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</si>
  <si>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</si>
  <si>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</si>
  <si>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</si>
  <si>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</si>
  <si>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</si>
  <si>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</si>
  <si>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</si>
  <si>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</si>
  <si>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</si>
  <si>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</si>
  <si>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</si>
  <si>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</si>
  <si>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</si>
  <si>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</si>
  <si>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</si>
  <si>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</si>
  <si>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</si>
  <si>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</si>
  <si>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</si>
  <si>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</si>
  <si>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</si>
  <si>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</si>
  <si>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</si>
  <si>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</si>
  <si>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</si>
  <si>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</si>
  <si>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</si>
  <si>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</si>
  <si>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</si>
  <si>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</si>
  <si>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</si>
  <si>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</si>
  <si>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</si>
  <si>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</si>
  <si>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</si>
  <si>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</si>
  <si>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</si>
  <si>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</si>
  <si>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</si>
  <si>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</si>
  <si>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</si>
  <si>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</si>
  <si>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</si>
  <si>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</si>
  <si>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</si>
  <si>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</si>
  <si>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</si>
  <si>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</si>
  <si>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</si>
  <si>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</si>
  <si>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</si>
  <si>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</si>
  <si>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</si>
  <si>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</si>
  <si>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</si>
  <si>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</si>
  <si>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</si>
  <si>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</si>
  <si>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</si>
  <si>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</si>
  <si>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</si>
  <si>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</si>
  <si>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</si>
  <si>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</si>
  <si>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</si>
  <si>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</si>
  <si>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</si>
  <si>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</si>
  <si>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</si>
  <si>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</si>
  <si>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</si>
  <si>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</si>
  <si>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</si>
  <si>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</si>
  <si>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</si>
  <si>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</si>
  <si>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</si>
  <si>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</si>
  <si>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</si>
  <si>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</si>
  <si>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</si>
  <si>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</si>
  <si>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</si>
  <si>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</si>
  <si>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</si>
  <si>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</si>
  <si>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</si>
  <si>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</si>
  <si>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</si>
  <si>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</si>
  <si>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</si>
  <si>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</si>
  <si>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</si>
  <si>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</si>
  <si>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</si>
  <si>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</si>
  <si>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</si>
  <si>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</si>
  <si>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</si>
  <si>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</si>
  <si>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</si>
  <si>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</si>
  <si>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</si>
  <si>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</si>
  <si>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</si>
  <si>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</si>
  <si>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</si>
  <si>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</si>
  <si>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</si>
  <si>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</si>
  <si>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</si>
  <si>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</si>
  <si>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</si>
  <si>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</si>
  <si>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</si>
  <si>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</si>
  <si>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</si>
  <si>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</si>
  <si>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</si>
  <si>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</si>
  <si>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</si>
  <si>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</si>
  <si>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</si>
  <si>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</si>
  <si>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</si>
  <si>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</si>
  <si>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</si>
  <si>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</si>
  <si>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</si>
  <si>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</si>
  <si>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</si>
  <si>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</si>
  <si>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</si>
  <si>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</si>
  <si>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</si>
  <si>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</si>
  <si>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</si>
  <si>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</si>
  <si>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</si>
  <si>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</si>
  <si>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</si>
  <si>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</si>
  <si>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</si>
  <si>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</si>
  <si>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</si>
  <si>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</si>
  <si>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</si>
  <si>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</si>
  <si>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</si>
  <si>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</si>
  <si>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</si>
  <si>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</si>
  <si>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</si>
  <si>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</si>
  <si>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</si>
  <si>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</si>
  <si>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</si>
  <si>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</si>
  <si>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</si>
  <si>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</si>
  <si>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</si>
  <si>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</si>
  <si>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</si>
  <si>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</si>
  <si>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</si>
  <si>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</si>
  <si>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</si>
  <si>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</si>
  <si>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</si>
  <si>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</si>
  <si>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</si>
  <si>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</si>
  <si>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</si>
  <si>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</si>
  <si>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</si>
  <si>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</si>
  <si>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</si>
  <si>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</si>
  <si>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</si>
  <si>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</si>
  <si>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</si>
  <si>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</si>
  <si>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</si>
  <si>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</si>
  <si>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</si>
  <si>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</si>
  <si>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</si>
  <si>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</si>
  <si>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</si>
  <si>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</si>
  <si>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</si>
  <si>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</si>
  <si>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</si>
  <si>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</si>
  <si>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</si>
  <si>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</si>
  <si>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</si>
  <si>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</si>
  <si>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</si>
  <si>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</si>
  <si>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</si>
  <si>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</si>
  <si>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</si>
  <si>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</si>
  <si>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</si>
  <si>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</si>
  <si>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</si>
  <si>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</si>
  <si>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</si>
  <si>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</si>
  <si>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</si>
  <si>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</si>
  <si>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</si>
  <si>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</si>
  <si>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</si>
  <si>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</si>
  <si>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</si>
  <si>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</si>
  <si>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</si>
  <si>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</si>
  <si>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</si>
  <si>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</si>
  <si>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</si>
  <si>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</si>
  <si>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</si>
  <si>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</si>
  <si>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</si>
  <si>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</si>
  <si>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</si>
  <si>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</si>
  <si>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</si>
  <si>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</si>
  <si>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</si>
  <si>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</si>
  <si>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</si>
  <si>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</si>
  <si>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</si>
  <si>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</si>
  <si>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</si>
  <si>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</si>
  <si>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</si>
  <si>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</si>
  <si>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</si>
  <si>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</si>
  <si>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</si>
  <si>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</si>
  <si>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</si>
  <si>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</si>
  <si>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</si>
  <si>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</si>
  <si>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</si>
  <si>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</si>
  <si>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</si>
  <si>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</si>
  <si>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</si>
  <si>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</si>
  <si>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</si>
  <si>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</si>
  <si>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</si>
  <si>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</si>
  <si>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</si>
  <si>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</si>
  <si>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</si>
  <si>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</si>
  <si>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</si>
  <si>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</si>
  <si>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</si>
  <si>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</si>
  <si>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</si>
  <si>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</si>
  <si>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</si>
  <si>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</si>
  <si>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</si>
  <si>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</si>
  <si>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</si>
  <si>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</si>
  <si>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</si>
  <si>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</si>
  <si>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</si>
  <si>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</si>
  <si>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</si>
  <si>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</si>
  <si>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</si>
  <si>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</si>
  <si>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</si>
  <si>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</si>
  <si>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</si>
  <si>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</si>
  <si>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</si>
  <si>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</si>
  <si>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</si>
  <si>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</si>
  <si>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</si>
  <si>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</si>
  <si>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</si>
  <si>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</si>
  <si>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</si>
  <si>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</si>
  <si>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</si>
  <si>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</si>
  <si>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</si>
  <si>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</si>
  <si>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</si>
  <si>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</si>
  <si>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</si>
  <si>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</si>
  <si>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</si>
  <si>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</si>
  <si>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</si>
  <si>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</si>
  <si>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</si>
  <si>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</si>
  <si>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</si>
  <si>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</si>
  <si>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</si>
  <si>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</si>
  <si>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</si>
  <si>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</si>
  <si>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</si>
  <si>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</si>
  <si>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</si>
  <si>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</si>
  <si>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</si>
  <si>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</si>
  <si>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</si>
  <si>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</si>
  <si>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</si>
  <si>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</si>
  <si>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</si>
  <si>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</si>
  <si>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</si>
  <si>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</si>
  <si>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</si>
  <si>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</si>
  <si>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</si>
  <si>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</si>
  <si>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</si>
  <si>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</si>
  <si>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</si>
  <si>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</si>
  <si>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</si>
  <si>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</si>
  <si>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</si>
  <si>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</si>
  <si>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</si>
  <si>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</si>
  <si>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</si>
  <si>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</si>
  <si>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</si>
  <si>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</si>
  <si>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</si>
  <si>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</si>
  <si>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</si>
  <si>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</si>
  <si>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</si>
  <si>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</si>
  <si>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</si>
  <si>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</si>
  <si>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</si>
  <si>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</si>
  <si>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</si>
  <si>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</si>
  <si>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</si>
  <si>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</si>
  <si>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</si>
  <si>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</si>
  <si>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</si>
  <si>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</si>
  <si>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</si>
  <si>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</si>
  <si>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</si>
  <si>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</si>
  <si>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</si>
  <si>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</si>
  <si>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</si>
  <si>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</si>
  <si>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</si>
  <si>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</si>
  <si>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</si>
  <si>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</si>
  <si>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</si>
  <si>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</si>
  <si>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</si>
  <si>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</si>
  <si>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</si>
  <si>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</si>
  <si>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</si>
  <si>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</si>
  <si>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</si>
  <si>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</si>
  <si>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</si>
  <si>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</si>
  <si>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</si>
  <si>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</si>
  <si>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</si>
  <si>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</si>
  <si>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</si>
  <si>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</si>
  <si>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</si>
  <si>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</si>
  <si>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</si>
  <si>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</si>
  <si>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</si>
  <si>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</si>
  <si>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</si>
  <si>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</si>
  <si>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</si>
  <si>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</si>
  <si>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</si>
  <si>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</si>
  <si>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</si>
  <si>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</si>
  <si>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</si>
  <si>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</si>
  <si>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</si>
  <si>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</si>
  <si>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</si>
  <si>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</si>
  <si>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</si>
  <si>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</si>
  <si>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</si>
  <si>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</si>
  <si>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</si>
  <si>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</si>
  <si>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</si>
  <si>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</si>
  <si>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</si>
  <si>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</si>
  <si>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</si>
  <si>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</si>
  <si>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</si>
  <si>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</si>
  <si>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</si>
  <si>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</si>
  <si>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</si>
  <si>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</si>
  <si>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</si>
  <si>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</si>
  <si>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</si>
  <si>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</si>
  <si>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</si>
  <si>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</si>
  <si>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</si>
  <si>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</si>
  <si>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</si>
  <si>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</si>
  <si>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</si>
  <si>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</si>
  <si>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</si>
  <si>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</si>
  <si>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</si>
  <si>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</si>
  <si>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</si>
  <si>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</si>
  <si>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</si>
  <si>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</si>
  <si>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</si>
  <si>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</si>
  <si>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</si>
  <si>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</si>
  <si>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</si>
  <si>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</si>
  <si>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</si>
  <si>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</si>
  <si>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</si>
  <si>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</si>
  <si>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</si>
  <si>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</si>
  <si>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</si>
  <si>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</si>
  <si>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</si>
  <si>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</si>
  <si>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</si>
  <si>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</si>
  <si>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</si>
  <si>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</si>
  <si>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</si>
  <si>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</si>
  <si>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</si>
  <si>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</si>
  <si>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</si>
  <si>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</si>
  <si>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</si>
  <si>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</si>
  <si>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</si>
  <si>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</si>
  <si>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</si>
  <si>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</si>
  <si>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</si>
  <si>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</si>
  <si>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</si>
  <si>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</si>
  <si>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</si>
  <si>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</si>
  <si>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</si>
  <si>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</si>
  <si>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</si>
  <si>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</si>
  <si>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</si>
  <si>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</si>
  <si>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</si>
  <si>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</si>
  <si>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</si>
  <si>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</si>
  <si>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</si>
  <si>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</si>
  <si>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</si>
  <si>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</si>
  <si>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</si>
  <si>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</si>
  <si>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</si>
  <si>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</si>
  <si>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</si>
  <si>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</si>
  <si>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</si>
  <si>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</si>
  <si>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</si>
  <si>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</si>
  <si>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</si>
  <si>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</si>
  <si>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</si>
  <si>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</si>
  <si>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</si>
  <si>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</si>
  <si>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</si>
  <si>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</si>
  <si>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</si>
  <si>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</si>
  <si>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</si>
  <si>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</si>
  <si>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</si>
  <si>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</si>
  <si>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</si>
  <si>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</si>
  <si>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</si>
  <si>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</si>
  <si>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</si>
  <si>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</si>
  <si>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</si>
  <si>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</si>
  <si>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</si>
  <si>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</si>
  <si>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</si>
  <si>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</si>
  <si>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</si>
  <si>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</si>
  <si>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</si>
  <si>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</si>
  <si>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</si>
  <si>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</si>
  <si>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</si>
  <si>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</si>
  <si>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</si>
  <si>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</si>
  <si>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</si>
  <si>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</si>
  <si>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</si>
  <si>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</si>
  <si>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</si>
  <si>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</si>
  <si>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</si>
  <si>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</si>
  <si>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</si>
  <si>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</si>
  <si>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</si>
  <si>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</si>
  <si>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</si>
  <si>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</si>
  <si>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</si>
  <si>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</si>
  <si>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</si>
  <si>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</si>
  <si>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</si>
  <si>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</si>
  <si>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</si>
  <si>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</si>
  <si>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</si>
  <si>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</si>
  <si>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</si>
  <si>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</si>
  <si>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</si>
  <si>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</si>
  <si>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</si>
  <si>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</si>
  <si>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</si>
  <si>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</si>
  <si>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</si>
  <si>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</si>
  <si>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</si>
  <si>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</si>
  <si>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</si>
  <si>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</si>
  <si>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</si>
  <si>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</si>
  <si>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</si>
  <si>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</si>
  <si>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</si>
  <si>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</si>
  <si>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</si>
  <si>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</si>
  <si>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</si>
  <si>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</si>
  <si>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</si>
  <si>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</si>
  <si>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</si>
  <si>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</si>
  <si>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</si>
  <si>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</si>
  <si>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</si>
  <si>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</si>
  <si>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</si>
  <si>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</si>
  <si>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</si>
  <si>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</si>
  <si>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</si>
  <si>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</si>
  <si>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</si>
  <si>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</si>
  <si>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</si>
  <si>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</si>
  <si>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</si>
  <si>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</si>
  <si>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</si>
  <si>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</si>
  <si>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</si>
  <si>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</si>
  <si>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</si>
  <si>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</si>
  <si>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</si>
  <si>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</si>
  <si>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</si>
  <si>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</si>
  <si>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</si>
  <si>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</si>
  <si>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</si>
  <si>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</si>
  <si>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</si>
  <si>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</si>
  <si>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</si>
  <si>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</si>
  <si>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</si>
  <si>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</si>
  <si>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</si>
  <si>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</si>
  <si>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</si>
  <si>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</si>
  <si>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</si>
  <si>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</si>
  <si>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</si>
  <si>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</si>
  <si>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</si>
  <si>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</si>
  <si>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</si>
  <si>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</si>
  <si>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</si>
  <si>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</si>
  <si>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</si>
  <si>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</si>
  <si>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</si>
  <si>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</si>
  <si>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</si>
  <si>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</si>
  <si>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</si>
  <si>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</si>
  <si>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</si>
  <si>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</si>
  <si>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</si>
  <si>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</si>
  <si>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</si>
  <si>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</si>
  <si>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</si>
  <si>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</si>
  <si>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</si>
  <si>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</si>
  <si>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</si>
  <si>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</si>
  <si>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</si>
  <si>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</si>
  <si>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</si>
  <si>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</si>
  <si>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</si>
  <si>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</si>
  <si>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</si>
  <si>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</si>
  <si>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</si>
  <si>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</si>
  <si>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</si>
  <si>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</si>
  <si>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</si>
  <si>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</si>
  <si>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</si>
  <si>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</si>
  <si>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</si>
  <si>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</si>
  <si>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</si>
  <si>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</si>
  <si>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</si>
  <si>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</si>
  <si>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</si>
  <si>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</si>
  <si>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</si>
  <si>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</si>
  <si>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</si>
  <si>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</si>
  <si>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</si>
  <si>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</si>
  <si>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</si>
  <si>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</si>
  <si>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</si>
  <si>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</si>
  <si>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</si>
  <si>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</si>
  <si>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</si>
  <si>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</si>
  <si>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</si>
  <si>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</si>
  <si>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</si>
  <si>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</si>
  <si>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</si>
  <si>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</si>
  <si>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</si>
  <si>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</si>
  <si>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</si>
  <si>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</si>
  <si>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</si>
  <si>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</si>
  <si>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</si>
  <si>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</si>
  <si>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</si>
  <si>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</si>
  <si>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</si>
  <si>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</si>
  <si>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</si>
  <si>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</si>
  <si>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</si>
  <si>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</si>
  <si>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</si>
  <si>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</si>
  <si>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</si>
  <si>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</si>
  <si>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</si>
  <si>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</si>
  <si>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</si>
  <si>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</si>
  <si>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</si>
  <si>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</si>
  <si>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</si>
  <si>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</si>
  <si>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</si>
  <si>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</si>
  <si>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</si>
  <si>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</si>
  <si>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</si>
  <si>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</si>
  <si>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</si>
  <si>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</si>
  <si>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</si>
  <si>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</si>
  <si>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</si>
  <si>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</si>
  <si>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</si>
  <si>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</si>
  <si>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</si>
  <si>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</si>
  <si>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</si>
  <si>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</si>
  <si>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</si>
  <si>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</si>
  <si>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</si>
  <si>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</si>
  <si>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</si>
  <si>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</si>
  <si>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</si>
  <si>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</si>
  <si>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</si>
  <si>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</si>
  <si>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</si>
  <si>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</si>
  <si>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</si>
  <si>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</si>
  <si>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</si>
  <si>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</si>
  <si>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</si>
  <si>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</si>
  <si>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</si>
  <si>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</si>
  <si>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</si>
  <si>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</si>
  <si>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</si>
  <si>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</si>
  <si>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</si>
  <si>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</si>
  <si>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</si>
  <si>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</si>
  <si>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</si>
  <si>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</si>
  <si>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</si>
  <si>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</si>
  <si>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</si>
  <si>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</si>
  <si>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</si>
  <si>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</si>
  <si>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</si>
  <si>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</si>
  <si>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</si>
  <si>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</si>
  <si>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</si>
  <si>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</si>
  <si>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</si>
  <si>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</si>
  <si>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</si>
  <si>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</si>
  <si>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</si>
  <si>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</si>
  <si>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</si>
  <si>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</si>
  <si>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</si>
  <si>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</si>
  <si>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</si>
  <si>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</si>
  <si>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</si>
  <si>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</si>
  <si>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</si>
  <si>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</si>
  <si>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</si>
  <si>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</si>
  <si>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</si>
  <si>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</si>
  <si>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</si>
  <si>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</si>
  <si>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</si>
  <si>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</si>
  <si>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</si>
  <si>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</si>
  <si>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</si>
  <si>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</si>
  <si>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</si>
  <si>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</si>
  <si>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</si>
  <si>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</si>
  <si>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</si>
  <si>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</si>
  <si>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</si>
  <si>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</si>
  <si>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</si>
  <si>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</si>
  <si>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</si>
  <si>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</si>
  <si>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</si>
  <si>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</si>
  <si>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</si>
  <si>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</si>
  <si>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</si>
  <si>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</si>
  <si>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</si>
  <si>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</si>
  <si>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</si>
  <si>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</si>
  <si>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</si>
  <si>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</si>
  <si>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</si>
  <si>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</si>
  <si>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</si>
  <si>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</si>
  <si>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</si>
  <si>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</si>
  <si>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</si>
  <si>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</si>
  <si>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</si>
  <si>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</si>
  <si>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</si>
  <si>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</si>
  <si>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</si>
  <si>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</si>
  <si>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</si>
  <si>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</si>
  <si>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</si>
  <si>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</si>
  <si>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</si>
  <si>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</si>
  <si>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</si>
  <si>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</si>
  <si>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</si>
  <si>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</si>
  <si>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</si>
  <si>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</si>
  <si>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</si>
  <si>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</si>
  <si>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</si>
  <si>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</si>
  <si>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</si>
  <si>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</si>
  <si>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</si>
  <si>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</si>
  <si>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</si>
  <si>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</si>
  <si>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</si>
  <si>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</si>
  <si>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</si>
  <si>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</si>
  <si>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</si>
  <si>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</si>
  <si>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</si>
  <si>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</si>
  <si>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</si>
  <si>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</si>
  <si>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</si>
  <si>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</si>
  <si>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</si>
  <si>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</si>
  <si>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</si>
  <si>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</si>
  <si>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</si>
  <si>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</si>
  <si>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</si>
  <si>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</si>
  <si>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</si>
  <si>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</si>
  <si>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</si>
  <si>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</si>
  <si>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</si>
  <si>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</si>
  <si>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</si>
  <si>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</si>
  <si>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</si>
  <si>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</si>
  <si>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</si>
  <si>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</si>
  <si>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</si>
  <si>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</si>
  <si>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</si>
  <si>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</si>
  <si>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</si>
  <si>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</si>
  <si>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</si>
  <si>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</si>
  <si>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</si>
  <si>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</si>
  <si>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</si>
  <si>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</si>
  <si>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</si>
  <si>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</si>
  <si>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</si>
  <si>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</si>
  <si>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</si>
  <si>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</si>
  <si>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</si>
  <si>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</si>
  <si>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</si>
  <si>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</si>
  <si>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</si>
  <si>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</si>
  <si>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</si>
  <si>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</si>
  <si>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</si>
  <si>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</si>
  <si>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</si>
  <si>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</si>
  <si>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</si>
  <si>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</si>
  <si>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</si>
  <si>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</si>
  <si>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</si>
  <si>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</si>
  <si>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</si>
  <si>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</si>
  <si>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</si>
  <si>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</si>
  <si>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</si>
  <si>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</si>
  <si>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</si>
  <si>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</si>
  <si>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</si>
  <si>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</si>
  <si>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</si>
  <si>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</si>
  <si>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</si>
  <si>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</si>
  <si>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</si>
  <si>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</si>
  <si>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</si>
  <si>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</si>
  <si>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</si>
  <si>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</si>
  <si>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</si>
  <si>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</si>
  <si>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</si>
  <si>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</si>
  <si>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</si>
  <si>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</si>
  <si>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</si>
  <si>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</si>
  <si>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</si>
  <si>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</si>
  <si>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</si>
  <si>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</si>
  <si>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</si>
  <si>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</si>
  <si>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</si>
  <si>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</si>
  <si>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</si>
  <si>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</si>
  <si>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</si>
  <si>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</si>
  <si>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</si>
  <si>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</si>
  <si>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</si>
  <si>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</si>
  <si>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</si>
  <si>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</si>
  <si>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</si>
  <si>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</si>
  <si>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</si>
  <si>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</si>
  <si>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</si>
  <si>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</si>
  <si>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</si>
  <si>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</si>
  <si>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</si>
  <si>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</si>
  <si>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</si>
  <si>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</si>
  <si>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</si>
  <si>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</si>
  <si>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</si>
  <si>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</si>
  <si>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</si>
  <si>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</si>
  <si>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</si>
  <si>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</si>
  <si>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</si>
  <si>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</si>
  <si>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</si>
  <si>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</si>
  <si>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</si>
  <si>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</si>
  <si>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</si>
  <si>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</si>
  <si>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</si>
  <si>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</si>
  <si>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</si>
  <si>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</si>
  <si>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</si>
  <si>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</si>
  <si>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</si>
  <si>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</si>
  <si>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</si>
  <si>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</si>
  <si>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</si>
  <si>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</si>
  <si>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</si>
  <si>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</si>
  <si>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</si>
  <si>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</si>
  <si>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</si>
  <si>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</si>
  <si>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</si>
  <si>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</si>
  <si>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</si>
  <si>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</si>
  <si>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</si>
  <si>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</si>
  <si>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</si>
  <si>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</si>
  <si>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</si>
  <si>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</si>
  <si>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</si>
  <si>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</si>
  <si>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</si>
  <si>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</si>
  <si>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</si>
  <si>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</si>
  <si>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</si>
  <si>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</si>
  <si>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</si>
  <si>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</si>
  <si>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</si>
  <si>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</si>
  <si>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</si>
  <si>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</si>
  <si>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</si>
  <si>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</si>
  <si>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</si>
  <si>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</si>
  <si>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</si>
  <si>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</si>
  <si>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</si>
  <si>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</si>
  <si>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</si>
  <si>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</si>
  <si>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</si>
  <si>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</si>
  <si>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</si>
  <si>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</si>
  <si>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</si>
  <si>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</si>
  <si>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</si>
  <si>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</si>
  <si>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</si>
  <si>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</si>
  <si>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</si>
  <si>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</si>
  <si>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</si>
  <si>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</si>
  <si>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</si>
  <si>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</si>
  <si>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</si>
  <si>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</si>
  <si>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</si>
  <si>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</si>
  <si>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</si>
  <si>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</si>
  <si>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</si>
  <si>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</si>
  <si>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</si>
  <si>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</si>
  <si>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</si>
  <si>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</si>
  <si>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</si>
  <si>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</si>
  <si>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</si>
  <si>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</si>
  <si>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</si>
  <si>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</si>
  <si>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</si>
  <si>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</si>
  <si>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</si>
  <si>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</si>
  <si>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</si>
  <si>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</si>
  <si>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</si>
  <si>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</si>
  <si>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</si>
  <si>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</si>
  <si>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</si>
  <si>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</si>
  <si>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</si>
  <si>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</si>
  <si>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</si>
  <si>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</si>
  <si>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</si>
  <si>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</si>
  <si>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</si>
  <si>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</si>
  <si>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</si>
  <si>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</si>
  <si>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</si>
  <si>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</si>
  <si>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</si>
  <si>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</si>
  <si>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</si>
  <si>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</si>
  <si>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</si>
  <si>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</si>
  <si>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</si>
  <si>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</si>
  <si>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</si>
  <si>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</si>
  <si>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</si>
  <si>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</si>
  <si>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</si>
  <si>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</si>
  <si>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</si>
  <si>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</si>
  <si>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</si>
  <si>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</si>
  <si>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</si>
  <si>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</si>
  <si>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</si>
  <si>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</si>
  <si>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</si>
  <si>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</si>
  <si>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</si>
  <si>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</si>
  <si>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</si>
  <si>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</si>
  <si>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</si>
  <si>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</si>
  <si>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</si>
  <si>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</si>
  <si>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</si>
  <si>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</si>
  <si>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</si>
  <si>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</si>
  <si>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</si>
  <si>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</si>
  <si>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</si>
  <si>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</si>
  <si>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</si>
  <si>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</si>
  <si>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</si>
  <si>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</si>
  <si>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</si>
  <si>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</si>
  <si>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</si>
  <si>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</si>
  <si>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</si>
  <si>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</si>
  <si>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</si>
  <si>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</si>
  <si>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</si>
  <si>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</si>
  <si>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</si>
  <si>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</si>
  <si>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</si>
  <si>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</si>
  <si>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</si>
  <si>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</si>
  <si>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</si>
  <si>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</si>
  <si>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</si>
  <si>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</si>
  <si>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</si>
  <si>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</si>
  <si>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</si>
  <si>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</si>
  <si>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</si>
  <si>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</si>
  <si>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</si>
  <si>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</si>
  <si>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</si>
  <si>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</si>
  <si>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</si>
  <si>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</si>
  <si>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</si>
  <si>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</si>
  <si>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</si>
  <si>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</si>
  <si>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</si>
  <si>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</si>
  <si>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</si>
  <si>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</si>
  <si>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</si>
  <si>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</si>
  <si>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</si>
  <si>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</si>
  <si>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</si>
  <si>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</si>
  <si>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</si>
  <si>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</si>
  <si>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</si>
  <si>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</si>
  <si>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</si>
  <si>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</si>
  <si>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</si>
  <si>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</si>
  <si>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</si>
  <si>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</si>
  <si>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</si>
  <si>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</si>
  <si>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</si>
  <si>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</si>
  <si>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</si>
  <si>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</si>
  <si>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</si>
  <si>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</si>
  <si>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</si>
  <si>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</si>
  <si>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</si>
  <si>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</si>
  <si>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</si>
  <si>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</si>
  <si>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</si>
  <si>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</si>
  <si>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</si>
  <si>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</si>
  <si>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</si>
  <si>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</si>
  <si>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</si>
  <si>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</si>
  <si>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</si>
  <si>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</si>
  <si>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</si>
  <si>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</si>
  <si>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</si>
  <si>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</si>
  <si>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</si>
  <si>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</si>
  <si>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</si>
  <si>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</si>
  <si>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</si>
  <si>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</si>
  <si>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</si>
  <si>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</si>
  <si>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</si>
  <si>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</si>
  <si>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</si>
  <si>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</si>
  <si>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</si>
  <si>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</si>
  <si>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</si>
  <si>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</si>
  <si>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</si>
  <si>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</si>
  <si>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</si>
  <si>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</si>
  <si>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</si>
  <si>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</si>
  <si>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</si>
  <si>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</si>
  <si>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</si>
  <si>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</si>
  <si>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</si>
  <si>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</si>
  <si>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</si>
  <si>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</si>
  <si>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</si>
  <si>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</si>
  <si>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</si>
  <si>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</si>
  <si>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</si>
  <si>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</si>
  <si>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</si>
  <si>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</si>
  <si>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</si>
  <si>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</si>
  <si>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</si>
  <si>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</si>
  <si>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</si>
  <si>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</si>
  <si>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</si>
  <si>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</si>
  <si>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</si>
  <si>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</si>
  <si>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</si>
  <si>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</si>
  <si>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</si>
  <si>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</si>
  <si>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</si>
  <si>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</si>
  <si>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</si>
  <si>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</si>
  <si>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</si>
  <si>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</si>
  <si>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</si>
  <si>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</si>
  <si>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</si>
  <si>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</si>
  <si>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</si>
  <si>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</si>
  <si>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</si>
  <si>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</si>
  <si>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</si>
  <si>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</si>
  <si>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</si>
  <si>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</si>
  <si>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</si>
  <si>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</si>
  <si>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</si>
  <si>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</si>
  <si>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</si>
  <si>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</si>
  <si>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</si>
  <si>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</si>
  <si>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</si>
  <si>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</si>
  <si>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</si>
  <si>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</si>
  <si>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</si>
  <si>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</si>
  <si>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</si>
  <si>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</si>
  <si>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</si>
  <si>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</si>
  <si>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</si>
  <si>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</si>
  <si>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</si>
  <si>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</si>
  <si>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</si>
  <si>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</si>
  <si>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</si>
  <si>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</si>
  <si>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</si>
  <si>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</si>
  <si>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</si>
  <si>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</si>
  <si>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</si>
  <si>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</si>
  <si>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</si>
  <si>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</si>
  <si>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</si>
  <si>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</si>
  <si>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</si>
  <si>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</si>
  <si>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</si>
  <si>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</si>
  <si>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</si>
  <si>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</si>
  <si>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</si>
  <si>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</si>
  <si>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</si>
  <si>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</si>
  <si>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</si>
  <si>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</si>
  <si>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</si>
  <si>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</si>
  <si>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</si>
  <si>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</si>
  <si>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</si>
  <si>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</si>
  <si>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</si>
  <si>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</si>
  <si>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</si>
  <si>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</si>
  <si>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</si>
  <si>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</si>
  <si>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</si>
  <si>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</si>
  <si>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</si>
  <si>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</si>
  <si>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</si>
  <si>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</si>
  <si>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</si>
  <si>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</si>
  <si>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</si>
  <si>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</si>
  <si>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</si>
  <si>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</si>
  <si>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</si>
  <si>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</si>
  <si>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</si>
  <si>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</si>
  <si>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</si>
  <si>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</si>
  <si>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</si>
  <si>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</si>
  <si>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</si>
  <si>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</si>
  <si>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</si>
  <si>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</si>
  <si>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</si>
  <si>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</si>
  <si>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</si>
  <si>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</si>
  <si>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</si>
  <si>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</si>
  <si>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</si>
  <si>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</si>
  <si>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</si>
  <si>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</si>
  <si>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</si>
  <si>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</si>
  <si>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</si>
  <si>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</si>
  <si>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</si>
  <si>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</si>
  <si>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</si>
  <si>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</si>
  <si>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</si>
  <si>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</si>
  <si>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</si>
  <si>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</si>
  <si>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</si>
  <si>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</si>
  <si>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</si>
  <si>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</si>
  <si>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</si>
  <si>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</si>
  <si>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</si>
  <si>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</si>
  <si>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</si>
  <si>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</si>
  <si>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</si>
  <si>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</si>
  <si>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</si>
  <si>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</si>
  <si>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</si>
  <si>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</si>
  <si>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</si>
  <si>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</si>
  <si>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</si>
  <si>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</si>
  <si>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</si>
  <si>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</si>
  <si>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</si>
  <si>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</si>
  <si>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</si>
  <si>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</si>
  <si>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</si>
  <si>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</si>
  <si>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</si>
  <si>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</si>
  <si>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</si>
  <si>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</si>
  <si>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</si>
  <si>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</si>
  <si>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</si>
  <si>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</si>
  <si>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</si>
  <si>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</si>
  <si>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</si>
  <si>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</si>
  <si>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</si>
  <si>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</si>
  <si>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</si>
  <si>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</si>
  <si>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</si>
  <si>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</si>
  <si>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</si>
  <si>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</si>
  <si>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</si>
  <si>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</si>
  <si>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</si>
  <si>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</si>
  <si>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</si>
  <si>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</si>
  <si>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</si>
  <si>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</si>
  <si>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</si>
  <si>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</si>
  <si>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</si>
  <si>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</si>
  <si>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</si>
  <si>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</si>
  <si>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</si>
  <si>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</si>
  <si>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</si>
  <si>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</si>
  <si>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</si>
  <si>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</si>
  <si>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</si>
  <si>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</si>
  <si>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</si>
  <si>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</si>
  <si>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</si>
  <si>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</si>
  <si>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</si>
  <si>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</si>
  <si>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</si>
  <si>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</si>
  <si>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</si>
  <si>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</si>
  <si>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</si>
  <si>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</si>
  <si>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</si>
  <si>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</si>
  <si>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</si>
  <si>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</si>
  <si>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</si>
  <si>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</si>
  <si>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</si>
  <si>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</si>
  <si>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</si>
  <si>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</si>
  <si>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</si>
  <si>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</si>
  <si>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</si>
  <si>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</si>
  <si>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</si>
  <si>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</si>
  <si>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</si>
  <si>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</si>
  <si>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</si>
  <si>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</si>
  <si>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</si>
  <si>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</si>
  <si>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</si>
  <si>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</si>
  <si>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</si>
  <si>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</si>
  <si>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</si>
  <si>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</si>
  <si>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</si>
  <si>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</si>
  <si>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</si>
  <si>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</si>
  <si>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</si>
  <si>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</si>
  <si>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</si>
  <si>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</si>
  <si>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</si>
  <si>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</si>
  <si>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</si>
  <si>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</si>
  <si>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</si>
  <si>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</si>
  <si>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</si>
  <si>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</si>
  <si>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</si>
  <si>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</si>
  <si>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</si>
  <si>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</si>
  <si>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</si>
  <si>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</si>
  <si>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</si>
  <si>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</si>
  <si>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</si>
  <si>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</si>
  <si>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</si>
  <si>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</si>
  <si>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</si>
  <si>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</si>
  <si>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</si>
  <si>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</si>
  <si>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</si>
  <si>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</si>
  <si>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</si>
  <si>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</si>
  <si>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</si>
  <si>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</si>
  <si>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</si>
  <si>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</si>
  <si>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</si>
  <si>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</si>
  <si>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</si>
  <si>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</si>
  <si>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</si>
  <si>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</si>
  <si>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</si>
  <si>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</si>
  <si>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</si>
  <si>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</si>
  <si>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</si>
  <si>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</si>
  <si>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</si>
  <si>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</si>
  <si>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</si>
  <si>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</si>
  <si>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</si>
  <si>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</si>
  <si>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</si>
  <si>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</si>
  <si>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</si>
  <si>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</si>
  <si>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</si>
  <si>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</si>
  <si>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</si>
  <si>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</si>
  <si>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</si>
  <si>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</si>
  <si>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</si>
  <si>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</si>
  <si>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</si>
  <si>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</si>
  <si>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</si>
  <si>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</si>
  <si>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</si>
  <si>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</si>
  <si>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</si>
  <si>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</si>
  <si>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</si>
  <si>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</si>
  <si>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</si>
  <si>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</si>
  <si>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</si>
  <si>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</si>
  <si>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</si>
  <si>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</si>
  <si>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</si>
  <si>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</si>
  <si>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</si>
  <si>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</si>
  <si>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</si>
  <si>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</si>
  <si>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</si>
  <si>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</si>
  <si>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</si>
  <si>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</si>
  <si>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</si>
  <si>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</si>
  <si>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</si>
  <si>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</si>
  <si>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</si>
  <si>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</si>
  <si>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</si>
  <si>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</si>
  <si>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</si>
  <si>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</si>
  <si>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</si>
  <si>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</si>
  <si>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</si>
  <si>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</si>
  <si>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</si>
  <si>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</si>
  <si>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</si>
  <si>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</si>
  <si>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</si>
  <si>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</si>
  <si>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</si>
  <si>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</si>
  <si>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</si>
  <si>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</si>
  <si>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</si>
  <si>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</si>
  <si>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</si>
  <si>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</si>
  <si>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</si>
  <si>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</si>
  <si>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</si>
  <si>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</si>
  <si>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</si>
  <si>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</si>
  <si>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</si>
  <si>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</si>
  <si>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</si>
  <si>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</si>
  <si>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</si>
  <si>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</si>
  <si>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</si>
  <si>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</si>
  <si>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</si>
  <si>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</si>
  <si>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</si>
  <si>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</si>
  <si>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</si>
  <si>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</si>
  <si>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</si>
  <si>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</si>
  <si>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</si>
  <si>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</si>
  <si>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</si>
  <si>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</si>
  <si>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</si>
  <si>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</si>
  <si>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</si>
  <si>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</si>
  <si>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</si>
  <si>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</si>
  <si>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</si>
  <si>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</si>
  <si>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</si>
  <si>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</si>
  <si>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</si>
  <si>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</si>
  <si>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</si>
  <si>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</si>
  <si>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</si>
  <si>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</si>
  <si>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</si>
  <si>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</si>
  <si>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</si>
  <si>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</si>
  <si>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</si>
  <si>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</si>
  <si>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</si>
  <si>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</si>
  <si>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</si>
  <si>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</si>
  <si>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</si>
  <si>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</si>
  <si>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</si>
  <si>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</si>
  <si>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</si>
  <si>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</si>
  <si>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</si>
  <si>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</si>
  <si>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</si>
  <si>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</si>
  <si>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</si>
  <si>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</si>
  <si>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</si>
  <si>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</si>
  <si>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</si>
  <si>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</si>
  <si>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</si>
  <si>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</si>
  <si>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</si>
  <si>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</si>
  <si>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</si>
  <si>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</si>
  <si>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</si>
  <si>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</si>
  <si>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</si>
  <si>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</si>
  <si>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</si>
  <si>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</si>
  <si>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</si>
  <si>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</si>
  <si>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</si>
  <si>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</si>
  <si>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</si>
  <si>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</si>
  <si>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</si>
  <si>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</si>
  <si>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</si>
  <si>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</si>
  <si>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</si>
  <si>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</si>
  <si>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</si>
  <si>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</si>
  <si>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</si>
  <si>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</si>
  <si>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</si>
  <si>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</si>
  <si>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</si>
  <si>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</si>
  <si>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</si>
  <si>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</si>
  <si>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</si>
  <si>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</si>
  <si>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</si>
  <si>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</si>
  <si>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</si>
  <si>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</si>
  <si>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</si>
  <si>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</si>
  <si>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</si>
  <si>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</si>
  <si>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</si>
  <si>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</si>
  <si>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</si>
  <si>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</si>
  <si>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</si>
  <si>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</si>
  <si>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</si>
  <si>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</si>
  <si>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</si>
  <si>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</si>
  <si>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</si>
  <si>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</si>
  <si>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</si>
  <si>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</si>
  <si>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</si>
  <si>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</si>
  <si>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</si>
  <si>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</si>
  <si>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</si>
  <si>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</si>
  <si>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</si>
  <si>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</si>
  <si>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</si>
  <si>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</si>
  <si>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</si>
  <si>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</si>
  <si>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</si>
  <si>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</si>
  <si>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</si>
  <si>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</si>
  <si>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</si>
  <si>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</si>
  <si>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</si>
  <si>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</si>
  <si>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</si>
  <si>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</si>
  <si>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</si>
  <si>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</si>
  <si>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</si>
  <si>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</si>
  <si>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</si>
  <si>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</si>
  <si>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</si>
  <si>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</si>
  <si>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</si>
  <si>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</si>
  <si>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</si>
  <si>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</si>
  <si>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</si>
  <si>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</si>
  <si>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</si>
  <si>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</si>
  <si>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</si>
  <si>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</si>
  <si>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</si>
  <si>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</si>
  <si>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</si>
  <si>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</si>
  <si>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</si>
  <si>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</si>
  <si>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</si>
  <si>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</si>
  <si>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</si>
  <si>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</si>
  <si>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</si>
  <si>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</si>
  <si>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</si>
  <si>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</si>
  <si>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</si>
  <si>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</si>
  <si>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</si>
  <si>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</si>
  <si>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</si>
  <si>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</si>
  <si>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</si>
  <si>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</si>
  <si>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</si>
  <si>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</si>
  <si>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</si>
  <si>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</si>
  <si>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</si>
  <si>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</si>
  <si>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</si>
  <si>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</si>
  <si>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</si>
  <si>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</si>
  <si>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</si>
  <si>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</si>
  <si>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</si>
  <si>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</si>
  <si>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</si>
  <si>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</si>
  <si>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</si>
  <si>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</si>
  <si>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</si>
  <si>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</si>
  <si>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</si>
  <si>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</si>
  <si>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</si>
  <si>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</si>
  <si>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</si>
  <si>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</si>
  <si>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</si>
  <si>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</si>
  <si>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</si>
  <si>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</si>
  <si>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</si>
  <si>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</si>
  <si>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</si>
  <si>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</si>
  <si>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</si>
  <si>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</si>
  <si>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</si>
  <si>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</si>
  <si>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</si>
  <si>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</si>
  <si>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</si>
  <si>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</si>
  <si>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</si>
  <si>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</si>
  <si>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</si>
  <si>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</si>
  <si>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</si>
  <si>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</si>
  <si>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</si>
  <si>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</si>
  <si>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</si>
  <si>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</si>
  <si>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</si>
  <si>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</si>
  <si>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</si>
  <si>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</si>
  <si>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</si>
  <si>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</si>
  <si>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</si>
  <si>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</si>
  <si>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</si>
  <si>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</si>
  <si>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</si>
  <si>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</si>
  <si>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</si>
  <si>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</si>
  <si>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</si>
  <si>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</si>
  <si>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</si>
  <si>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</si>
  <si>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</si>
  <si>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</si>
  <si>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</si>
  <si>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</si>
  <si>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</si>
  <si>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</si>
  <si>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</si>
  <si>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</si>
  <si>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</si>
  <si>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</si>
  <si>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</si>
  <si>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</si>
  <si>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</si>
  <si>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</si>
  <si>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</si>
  <si>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</si>
  <si>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</si>
  <si>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</si>
  <si>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</si>
  <si>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</si>
  <si>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</si>
  <si>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</si>
  <si>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</si>
  <si>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</si>
  <si>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</si>
  <si>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</si>
  <si>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</si>
  <si>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</si>
  <si>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</si>
  <si>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</si>
  <si>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</si>
  <si>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</si>
  <si>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</si>
  <si>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</si>
  <si>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</si>
  <si>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</si>
  <si>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</si>
  <si>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</si>
  <si>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</si>
  <si>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</si>
  <si>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</si>
  <si>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</si>
  <si>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</si>
  <si>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</si>
  <si>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</si>
  <si>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</si>
  <si>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</si>
  <si>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</si>
  <si>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</si>
  <si>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</si>
  <si>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</si>
  <si>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</si>
  <si>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</si>
  <si>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</si>
  <si>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</si>
  <si>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</si>
  <si>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</si>
  <si>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</si>
  <si>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</si>
  <si>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</si>
  <si>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</si>
  <si>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</si>
  <si>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</si>
  <si>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</si>
  <si>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</si>
  <si>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</si>
  <si>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</si>
  <si>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</si>
  <si>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</si>
  <si>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</si>
  <si>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</si>
  <si>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</si>
  <si>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</si>
  <si>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</si>
  <si>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</si>
  <si>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</si>
  <si>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</si>
  <si>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</si>
  <si>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</si>
  <si>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</si>
  <si>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</si>
  <si>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</si>
  <si>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</si>
  <si>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</si>
  <si>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</si>
  <si>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</si>
  <si>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</si>
  <si>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</si>
  <si>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</si>
  <si>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</si>
  <si>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</si>
  <si>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</si>
  <si>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</si>
  <si>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</si>
  <si>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</si>
  <si>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</si>
  <si>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</si>
  <si>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</si>
  <si>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</si>
  <si>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</si>
  <si>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</si>
  <si>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</si>
  <si>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</si>
  <si>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</si>
  <si>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</si>
  <si>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</si>
  <si>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</si>
  <si>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</si>
  <si>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</si>
  <si>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</si>
  <si>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</si>
  <si>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</si>
  <si>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</si>
  <si>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</si>
  <si>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</si>
  <si>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</si>
  <si>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</si>
  <si>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</si>
  <si>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</si>
  <si>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</si>
  <si>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</si>
  <si>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</si>
  <si>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</si>
  <si>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</si>
  <si>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</si>
  <si>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</si>
  <si>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</si>
  <si>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</si>
  <si>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</si>
  <si>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</si>
  <si>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</si>
  <si>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</si>
  <si>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</si>
  <si>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</si>
  <si>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</si>
  <si>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</si>
  <si>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</si>
  <si>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</si>
  <si>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</si>
  <si>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</si>
  <si>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</si>
  <si>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</si>
  <si>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</si>
  <si>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</si>
  <si>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</si>
  <si>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</si>
  <si>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</si>
  <si>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</si>
  <si>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</si>
  <si>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</si>
  <si>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</si>
  <si>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</si>
  <si>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</si>
  <si>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</si>
  <si>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</si>
  <si>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</si>
  <si>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</si>
  <si>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</si>
  <si>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</si>
  <si>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</si>
  <si>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</si>
  <si>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</si>
  <si>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</si>
  <si>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</si>
  <si>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</si>
  <si>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</si>
  <si>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</si>
  <si>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</si>
  <si>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</si>
  <si>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</si>
  <si>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</si>
  <si>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</si>
  <si>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</si>
  <si>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</si>
  <si>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</si>
  <si>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</si>
  <si>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</si>
  <si>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</si>
  <si>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</si>
  <si>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</si>
  <si>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</si>
  <si>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</si>
  <si>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</si>
  <si>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</si>
  <si>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</si>
  <si>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</si>
  <si>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</si>
  <si>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</si>
  <si>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</si>
  <si>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</si>
  <si>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</si>
  <si>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</si>
  <si>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</si>
  <si>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</si>
  <si>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</si>
  <si>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</si>
  <si>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</si>
  <si>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</si>
  <si>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</si>
  <si>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</si>
  <si>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</si>
  <si>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</si>
  <si>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</si>
  <si>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</si>
  <si>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</si>
  <si>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</si>
  <si>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</si>
  <si>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</si>
  <si>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</si>
  <si>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</si>
  <si>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</si>
  <si>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</si>
  <si>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</si>
  <si>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</si>
  <si>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</si>
  <si>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</si>
  <si>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</si>
  <si>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</si>
  <si>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</si>
  <si>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</si>
  <si>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</si>
  <si>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</si>
  <si>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</si>
  <si>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</si>
  <si>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</si>
  <si>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</si>
  <si>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</si>
  <si>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</si>
  <si>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</si>
  <si>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</si>
  <si>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</si>
  <si>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</si>
  <si>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</si>
  <si>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</si>
  <si>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</si>
  <si>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</si>
  <si>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</si>
  <si>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</si>
  <si>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</si>
  <si>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</si>
  <si>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</si>
  <si>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</si>
  <si>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</si>
  <si>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</si>
  <si>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</si>
  <si>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</si>
  <si>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</si>
  <si>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</si>
  <si>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</si>
  <si>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</si>
  <si>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</si>
  <si>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</si>
  <si>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</si>
  <si>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</si>
  <si>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</si>
  <si>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</si>
  <si>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</si>
  <si>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</si>
  <si>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</si>
  <si>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</si>
  <si>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</si>
  <si>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</si>
  <si>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</si>
  <si>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</si>
  <si>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</si>
  <si>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</si>
  <si>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</si>
  <si>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</si>
  <si>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</si>
  <si>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</si>
  <si>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</si>
  <si>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</si>
  <si>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</si>
  <si>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</si>
  <si>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</si>
  <si>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</si>
  <si>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</si>
  <si>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</si>
  <si>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</si>
  <si>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</si>
  <si>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</si>
  <si>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</si>
  <si>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</si>
  <si>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</si>
  <si>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</si>
  <si>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</si>
  <si>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</si>
  <si>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</si>
  <si>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</si>
  <si>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</si>
  <si>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</si>
  <si>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</si>
  <si>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</si>
  <si>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</si>
  <si>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</si>
  <si>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</si>
  <si>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</si>
  <si>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</si>
  <si>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</si>
  <si>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</si>
  <si>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</si>
  <si>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</si>
  <si>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</si>
  <si>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</si>
  <si>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</si>
  <si>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</si>
  <si>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</si>
  <si>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</si>
  <si>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</si>
  <si>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</si>
  <si>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</si>
  <si>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</si>
  <si>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</si>
  <si>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</si>
  <si>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</si>
  <si>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</si>
  <si>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</si>
  <si>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</si>
  <si>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</si>
  <si>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</si>
  <si>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</si>
  <si>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</si>
  <si>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</si>
  <si>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</si>
  <si>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</si>
  <si>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</si>
  <si>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</si>
  <si>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</si>
  <si>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</si>
  <si>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</si>
  <si>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</si>
  <si>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</si>
  <si>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</si>
  <si>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</si>
  <si>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</si>
  <si>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</si>
  <si>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</si>
  <si>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</si>
  <si>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</si>
  <si>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</si>
  <si>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</si>
  <si>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</si>
  <si>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</si>
  <si>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</si>
  <si>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</si>
  <si>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</si>
  <si>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</si>
  <si>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</si>
  <si>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</si>
  <si>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</si>
  <si>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</si>
  <si>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</si>
  <si>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</si>
  <si>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</si>
  <si>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</si>
  <si>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</si>
  <si>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</si>
  <si>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</si>
  <si>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</si>
  <si>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</si>
  <si>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</si>
  <si>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</si>
  <si>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</si>
  <si>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</si>
  <si>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</si>
  <si>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抵押价格</t>
  </si>
  <si>
    <t>企业</t>
  </si>
  <si>
    <t>一致</t>
  </si>
  <si>
    <t>商业</t>
  </si>
  <si>
    <t>地上</t>
  </si>
  <si>
    <t>普通住宅</t>
  </si>
  <si>
    <t>LOFT住宅</t>
  </si>
  <si>
    <t>底商</t>
  </si>
  <si>
    <t>地下</t>
  </si>
  <si>
    <t>车库</t>
  </si>
  <si>
    <t>住宅</t>
    <phoneticPr fontId="8" type="noConversion"/>
  </si>
  <si>
    <t>商业</t>
    <phoneticPr fontId="8" type="noConversion"/>
  </si>
  <si>
    <t>地下车库</t>
    <phoneticPr fontId="8" type="noConversion"/>
  </si>
  <si>
    <t>地块名称</t>
  </si>
  <si>
    <t>城市</t>
  </si>
  <si>
    <t>用地性质</t>
  </si>
  <si>
    <t>区县</t>
  </si>
  <si>
    <t>板块</t>
  </si>
  <si>
    <t>出让方式</t>
  </si>
  <si>
    <t>详细规划</t>
  </si>
  <si>
    <t>建设用地面积(㎡)</t>
  </si>
  <si>
    <t>规划建筑面积(㎡)</t>
  </si>
  <si>
    <t>商业比例</t>
  </si>
  <si>
    <t>推出特殊政策</t>
  </si>
  <si>
    <t>成交特殊政策</t>
  </si>
  <si>
    <t>开发进度</t>
  </si>
  <si>
    <t>成交日期</t>
  </si>
  <si>
    <t>公告编号</t>
  </si>
  <si>
    <t>交易状态</t>
  </si>
  <si>
    <t>受让单位</t>
  </si>
  <si>
    <t>成交价(万元)</t>
  </si>
  <si>
    <t>推出每亩价(万元/亩)</t>
  </si>
  <si>
    <t>成交每亩价(万元/亩)</t>
  </si>
  <si>
    <t>推出楼面价(元/㎡)</t>
  </si>
  <si>
    <t>成交楼面价(元/㎡)</t>
  </si>
  <si>
    <t>溢价率</t>
  </si>
  <si>
    <t>出让年限</t>
  </si>
  <si>
    <t>竞报整体自持比例(%)</t>
  </si>
  <si>
    <t>竞报商品住房自持比例(%)</t>
  </si>
  <si>
    <t>竞报商办部分自持比例(%)</t>
  </si>
  <si>
    <t>土地星级</t>
  </si>
  <si>
    <t>已成交</t>
  </si>
  <si>
    <t>正常</t>
  </si>
  <si>
    <t>楼面地价</t>
  </si>
  <si>
    <t>否</t>
  </si>
  <si>
    <t>比较法-住宅、综合</t>
  </si>
  <si>
    <t>开工中</t>
  </si>
  <si>
    <t>一般</t>
  </si>
  <si>
    <t>剩余法-待开发</t>
  </si>
  <si>
    <t>不动产收益法</t>
  </si>
  <si>
    <t>按租金收入计税</t>
  </si>
  <si>
    <t>钢混</t>
  </si>
  <si>
    <t>项目全部</t>
  </si>
  <si>
    <t>土地</t>
  </si>
  <si>
    <t>土地面积</t>
    <phoneticPr fontId="229" type="noConversion"/>
  </si>
  <si>
    <t>地块</t>
    <phoneticPr fontId="229" type="noConversion"/>
  </si>
  <si>
    <t>建筑使用性质</t>
    <phoneticPr fontId="229" type="noConversion"/>
  </si>
  <si>
    <t>建筑面积</t>
    <phoneticPr fontId="229" type="noConversion"/>
  </si>
  <si>
    <t>层数</t>
    <phoneticPr fontId="229" type="noConversion"/>
  </si>
  <si>
    <t>备注</t>
    <phoneticPr fontId="229" type="noConversion"/>
  </si>
  <si>
    <t>序号</t>
    <phoneticPr fontId="229" type="noConversion"/>
  </si>
  <si>
    <t>1-1#人防出入口</t>
    <phoneticPr fontId="229" type="noConversion"/>
  </si>
  <si>
    <t>1-地下车库</t>
    <phoneticPr fontId="229" type="noConversion"/>
  </si>
  <si>
    <t>2-1#住宅楼</t>
    <phoneticPr fontId="229" type="noConversion"/>
  </si>
  <si>
    <t>2-2#住宅楼</t>
  </si>
  <si>
    <t>2-3#住宅楼</t>
  </si>
  <si>
    <t>2-4#住宅楼</t>
  </si>
  <si>
    <t>2-地下车库</t>
    <phoneticPr fontId="229" type="noConversion"/>
  </si>
  <si>
    <t>3-1#住宅楼</t>
    <phoneticPr fontId="229" type="noConversion"/>
  </si>
  <si>
    <t>3-2#住宅楼</t>
  </si>
  <si>
    <t>3-3#住宅楼</t>
  </si>
  <si>
    <t>3-4#住宅楼</t>
  </si>
  <si>
    <t>3-5#办公楼</t>
    <phoneticPr fontId="229" type="noConversion"/>
  </si>
  <si>
    <t>3-6#办公楼</t>
  </si>
  <si>
    <t>3-7#垃圾分类收集站</t>
    <phoneticPr fontId="229" type="noConversion"/>
  </si>
  <si>
    <r>
      <t>1-2#住宅楼</t>
    </r>
    <r>
      <rPr>
        <sz val="11"/>
        <color theme="1"/>
        <rFont val="宋体"/>
        <family val="2"/>
        <charset val="134"/>
        <scheme val="minor"/>
      </rPr>
      <t/>
    </r>
  </si>
  <si>
    <r>
      <t>1-3#住宅楼</t>
    </r>
    <r>
      <rPr>
        <sz val="11"/>
        <color theme="1"/>
        <rFont val="宋体"/>
        <family val="2"/>
        <charset val="134"/>
        <scheme val="minor"/>
      </rPr>
      <t/>
    </r>
  </si>
  <si>
    <r>
      <t>1-4#住宅楼</t>
    </r>
    <r>
      <rPr>
        <sz val="11"/>
        <color theme="1"/>
        <rFont val="宋体"/>
        <family val="2"/>
        <charset val="134"/>
        <scheme val="minor"/>
      </rPr>
      <t/>
    </r>
  </si>
  <si>
    <r>
      <t>1-5#住宅楼</t>
    </r>
    <r>
      <rPr>
        <sz val="11"/>
        <color theme="1"/>
        <rFont val="宋体"/>
        <family val="2"/>
        <charset val="134"/>
        <scheme val="minor"/>
      </rPr>
      <t/>
    </r>
  </si>
  <si>
    <r>
      <t>1-6#住宅楼</t>
    </r>
    <r>
      <rPr>
        <sz val="11"/>
        <color theme="1"/>
        <rFont val="宋体"/>
        <family val="2"/>
        <charset val="134"/>
        <scheme val="minor"/>
      </rPr>
      <t/>
    </r>
  </si>
  <si>
    <r>
      <t>1-7#住宅楼</t>
    </r>
    <r>
      <rPr>
        <sz val="11"/>
        <color theme="1"/>
        <rFont val="宋体"/>
        <family val="2"/>
        <charset val="134"/>
        <scheme val="minor"/>
      </rPr>
      <t/>
    </r>
  </si>
  <si>
    <t>1-1#住宅楼</t>
    <phoneticPr fontId="229" type="noConversion"/>
  </si>
  <si>
    <t>3-8#分界室</t>
    <phoneticPr fontId="229" type="noConversion"/>
  </si>
  <si>
    <t>3-1#人防出入口</t>
    <phoneticPr fontId="229" type="noConversion"/>
  </si>
  <si>
    <t>3-2#人防出入口</t>
  </si>
  <si>
    <t>3-地下车库</t>
    <phoneticPr fontId="229" type="noConversion"/>
  </si>
  <si>
    <t>4-1#办公楼</t>
    <phoneticPr fontId="229" type="noConversion"/>
  </si>
  <si>
    <t>4-2#商业酒店综合楼</t>
    <phoneticPr fontId="229" type="noConversion"/>
  </si>
  <si>
    <t>4-1#人防出入口</t>
    <phoneticPr fontId="229" type="noConversion"/>
  </si>
  <si>
    <t>4-地下车库</t>
    <phoneticPr fontId="229" type="noConversion"/>
  </si>
  <si>
    <t>5-1#住宅楼</t>
    <phoneticPr fontId="229" type="noConversion"/>
  </si>
  <si>
    <t>5-2#住宅楼</t>
  </si>
  <si>
    <t>5-3#住宅楼</t>
  </si>
  <si>
    <t>5-4#住宅楼</t>
  </si>
  <si>
    <t>5-5#住宅楼</t>
  </si>
  <si>
    <t>5-6#社区综合服务中心</t>
    <phoneticPr fontId="229" type="noConversion"/>
  </si>
  <si>
    <t>5-地下车库</t>
    <phoneticPr fontId="229" type="noConversion"/>
  </si>
  <si>
    <t>6-1#住宅楼</t>
    <phoneticPr fontId="229" type="noConversion"/>
  </si>
  <si>
    <t>6-2#住宅楼</t>
  </si>
  <si>
    <t>6-3#住宅楼</t>
  </si>
  <si>
    <t>6-4#住宅楼</t>
  </si>
  <si>
    <t>6-5#住宅楼</t>
  </si>
  <si>
    <t>6-6#住宅楼</t>
  </si>
  <si>
    <t>6-7#住宅楼</t>
  </si>
  <si>
    <t>6-地下车库</t>
    <phoneticPr fontId="229" type="noConversion"/>
  </si>
  <si>
    <t>8-1#楼幼儿园</t>
    <phoneticPr fontId="229" type="noConversion"/>
  </si>
  <si>
    <t>8-2#楼门卫</t>
    <phoneticPr fontId="229" type="noConversion"/>
  </si>
  <si>
    <t>5-1#人防出入口</t>
    <phoneticPr fontId="229" type="noConversion"/>
  </si>
  <si>
    <t>含主楼地下一层</t>
    <phoneticPr fontId="229" type="noConversion"/>
  </si>
  <si>
    <t>含主楼地下一层，含配套商业及物业管理用房</t>
    <phoneticPr fontId="229" type="noConversion"/>
  </si>
  <si>
    <t>含自行车库专用电梯</t>
    <phoneticPr fontId="229" type="noConversion"/>
  </si>
  <si>
    <t>住宅楼</t>
    <phoneticPr fontId="229" type="noConversion"/>
  </si>
  <si>
    <t>办公楼</t>
    <phoneticPr fontId="229" type="noConversion"/>
  </si>
  <si>
    <t>商业酒店</t>
    <phoneticPr fontId="229" type="noConversion"/>
  </si>
  <si>
    <t>地下车库</t>
    <phoneticPr fontId="229" type="noConversion"/>
  </si>
  <si>
    <t>配套用房</t>
    <phoneticPr fontId="229" type="noConversion"/>
  </si>
  <si>
    <t>人防用房</t>
    <phoneticPr fontId="229" type="noConversion"/>
  </si>
  <si>
    <t>挂牌</t>
  </si>
  <si>
    <t>住宅用地</t>
  </si>
  <si>
    <t>土地位置</t>
  </si>
  <si>
    <t>地块编号</t>
  </si>
  <si>
    <t>建筑密度</t>
  </si>
  <si>
    <t>限制高度</t>
  </si>
  <si>
    <t>保障房类型</t>
  </si>
  <si>
    <t>推出保障房面积(㎡)</t>
  </si>
  <si>
    <t>成交保障房面积(㎡)</t>
  </si>
  <si>
    <t>配建自住房情况</t>
  </si>
  <si>
    <t>配建养老设施面积情况</t>
  </si>
  <si>
    <t>公告时间</t>
  </si>
  <si>
    <t>起始日期</t>
  </si>
  <si>
    <t>截止日期</t>
  </si>
  <si>
    <t>保证金(万元)</t>
  </si>
  <si>
    <t>起始价(万元)</t>
  </si>
  <si>
    <t>推出楼面价(除保障房)(元/㎡)</t>
  </si>
  <si>
    <t>成交楼面价(除保障房)(元/㎡)</t>
  </si>
  <si>
    <t>不动产收益法商</t>
    <phoneticPr fontId="15" type="noConversion"/>
  </si>
  <si>
    <t>技术指标</t>
  </si>
  <si>
    <t>备注</t>
  </si>
  <si>
    <t>用地面积</t>
  </si>
  <si>
    <t>总建筑面积</t>
  </si>
  <si>
    <t>地上建筑面积：</t>
  </si>
  <si>
    <t>住宅建筑面积</t>
  </si>
  <si>
    <t>公共服务配套</t>
  </si>
  <si>
    <t>配套商业服务</t>
  </si>
  <si>
    <t>出地面楼梯间</t>
  </si>
  <si>
    <t>设备用房</t>
  </si>
  <si>
    <t>人防工程</t>
  </si>
  <si>
    <t>幼儿园</t>
  </si>
  <si>
    <t>地下建筑面积：</t>
  </si>
  <si>
    <t>非机动车库</t>
  </si>
  <si>
    <t>机动车库</t>
  </si>
  <si>
    <t>可售面积</t>
  </si>
  <si>
    <t>商品住宅（可售）</t>
  </si>
  <si>
    <t>机动车停车位个数</t>
  </si>
  <si>
    <t>1186</t>
  </si>
  <si>
    <t>6001地块(西）</t>
    <phoneticPr fontId="277" type="noConversion"/>
  </si>
  <si>
    <t>6002地块（东）</t>
    <phoneticPr fontId="277" type="noConversion"/>
  </si>
  <si>
    <t>国土证号</t>
    <phoneticPr fontId="277" type="noConversion"/>
  </si>
  <si>
    <t>京（2019）大不动产权第0040690号</t>
    <phoneticPr fontId="277" type="noConversion"/>
  </si>
  <si>
    <t>京（2019）大不动产权第0040688号</t>
    <phoneticPr fontId="277" type="noConversion"/>
  </si>
  <si>
    <t>住宅、商业、办公</t>
    <phoneticPr fontId="7" type="noConversion"/>
  </si>
  <si>
    <t>通路</t>
  </si>
  <si>
    <t>通电</t>
  </si>
  <si>
    <t>通讯</t>
  </si>
  <si>
    <t>通下水</t>
  </si>
  <si>
    <t>通上水</t>
  </si>
  <si>
    <t>燃气</t>
  </si>
  <si>
    <t>地块分为东西三个地块，分别为6001、6002两个R2二类居住用地，以及6003地块A33基础教育用地。6001地块布置有10栋11F高层住宅建筑，1栋10F高层住宅建筑，2栋9F中高层住宅建筑，1栋5F多层住宅建筑，另有5栋1-2F配套公共服务设施建筑；6002地块布置有10栋11F高层住宅建筑，7栋10F高层住宅建筑，1栋9F中高层住宅建筑，3栋6F多层住宅建筑，1栋4F多层住宅建筑，另有2栋1F配套公共服务设施建筑。6003地块为基础教育用地，布置一栋地上3层的6班幼儿园。</t>
    <phoneticPr fontId="229" type="noConversion"/>
  </si>
  <si>
    <t>合计</t>
    <phoneticPr fontId="229" type="noConversion"/>
  </si>
  <si>
    <t>押一</t>
  </si>
  <si>
    <t>其他：</t>
  </si>
  <si>
    <t>湖北省</t>
    <phoneticPr fontId="7" type="noConversion"/>
  </si>
  <si>
    <t>黄石市黄金山开发区大棋路以北卫楼下路以东</t>
    <phoneticPr fontId="7" type="noConversion"/>
  </si>
  <si>
    <t>住宅</t>
    <phoneticPr fontId="4" type="noConversion"/>
  </si>
  <si>
    <t>商业</t>
    <phoneticPr fontId="4" type="noConversion"/>
  </si>
  <si>
    <t>车位</t>
    <phoneticPr fontId="4" type="noConversion"/>
  </si>
  <si>
    <t>其他</t>
    <phoneticPr fontId="4" type="noConversion"/>
  </si>
  <si>
    <t>黄石市</t>
  </si>
  <si>
    <t>大冶市</t>
  </si>
  <si>
    <t>其他普通商品住房用地</t>
  </si>
  <si>
    <t>小于或等于28</t>
  </si>
  <si>
    <t>70年</t>
  </si>
  <si>
    <t>金湖大道西侧、大棋路还建点东侧</t>
  </si>
  <si>
    <t>G18001</t>
  </si>
  <si>
    <t>大于或等于2并且小于或等于4</t>
  </si>
  <si>
    <t>小于或等于30</t>
  </si>
  <si>
    <t>2018-01-12</t>
  </si>
  <si>
    <t>2018-02-01</t>
  </si>
  <si>
    <t>2018-02-13</t>
  </si>
  <si>
    <t>冶土网告字[2018]01号</t>
  </si>
  <si>
    <t>黄石市正宏房地产开发有限公司</t>
  </si>
  <si>
    <t>4星</t>
  </si>
  <si>
    <t>大棋路以北卫楼下路以东B-01</t>
  </si>
  <si>
    <t>HG15036</t>
  </si>
  <si>
    <t>中低价位、中小套型普通商品住房用地</t>
  </si>
  <si>
    <t>大于或等于1并且小于或等于2.5</t>
  </si>
  <si>
    <t>已完工</t>
  </si>
  <si>
    <t>2015-12-15</t>
  </si>
  <si>
    <t>2016-01-04</t>
  </si>
  <si>
    <t>2016-01-14</t>
  </si>
  <si>
    <t>黄土出告字[2015]07号</t>
  </si>
  <si>
    <t>黄石市城市建设投资开发公司</t>
  </si>
  <si>
    <t>3星</t>
  </si>
  <si>
    <t>大棋路以北圣明路以东四棵大道以南A-02</t>
  </si>
  <si>
    <t>HG19016</t>
  </si>
  <si>
    <t>城镇住宅用地</t>
  </si>
  <si>
    <t>大于或等于1并且小于2.5</t>
  </si>
  <si>
    <t>小于或等于100</t>
  </si>
  <si>
    <t>未开工</t>
  </si>
  <si>
    <t>2019-08-22</t>
  </si>
  <si>
    <t>2019-09-11</t>
  </si>
  <si>
    <t>2019-09-23</t>
  </si>
  <si>
    <t>黄土网告字[2019]04号</t>
  </si>
  <si>
    <t>湖北光亮新能源产业投资有限公司</t>
  </si>
  <si>
    <t>大棋路以北圣明路以东四棵大道以南A-01</t>
  </si>
  <si>
    <t>HG19015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</si>
</sst>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 * #,##0.00_ ;_ * \-#,##0.00_ ;_ * &quot;-&quot;??_ ;_ @_ "/>
    <numFmt numFmtId="195" formatCode="_ * #,##0.0_ ;_ * \-#,##0.0_ ;_ * &quot;-&quot;??_ ;_ @_ "/>
    <numFmt numFmtId="196" formatCode="#,##0.00_);[Red]\(#,##0.00\)"/>
  </numFmts>
  <fonts count="27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sz val="10"/>
      <color theme="1"/>
      <name val="Arial Unicode MS"/>
      <family val="2"/>
      <charset val="134"/>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42"/>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43" fontId="275" fillId="0" borderId="0" applyFont="0" applyFill="0" applyBorder="0" applyAlignment="0" applyProtection="0">
      <alignment vertical="center"/>
    </xf>
    <xf numFmtId="0" fontId="33" fillId="0" borderId="0">
      <alignment vertical="center"/>
    </xf>
    <xf numFmtId="0" fontId="33" fillId="0" borderId="0">
      <alignment vertical="center"/>
    </xf>
  </cellStyleXfs>
  <cellXfs count="3535">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3"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3"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3"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4" fontId="158" fillId="12" borderId="120" xfId="13" applyNumberFormat="1" applyFont="1" applyFill="1" applyBorder="1" applyAlignment="1" applyProtection="1">
      <alignment horizontal="center" vertical="center" wrapText="1"/>
    </xf>
    <xf numFmtId="184"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2" fillId="0" borderId="2" xfId="0" applyFont="1" applyBorder="1" applyAlignment="1" applyProtection="1">
      <alignment horizontal="left" vertical="center" wrapText="1"/>
      <protection locked="0"/>
    </xf>
    <xf numFmtId="0" fontId="72" fillId="0" borderId="12" xfId="0" applyFont="1" applyFill="1" applyBorder="1" applyAlignment="1" applyProtection="1">
      <alignment horizontal="center" vertical="center"/>
      <protection locked="0"/>
    </xf>
    <xf numFmtId="0" fontId="72" fillId="6" borderId="12" xfId="0" applyFont="1" applyFill="1" applyBorder="1" applyAlignment="1" applyProtection="1">
      <alignment horizontal="center" vertical="center"/>
      <protection locked="0"/>
    </xf>
    <xf numFmtId="181" fontId="150" fillId="0" borderId="2" xfId="0" applyNumberFormat="1" applyFont="1" applyFill="1" applyBorder="1" applyAlignment="1" applyProtection="1">
      <alignment horizontal="center" vertical="center"/>
      <protection locked="0"/>
    </xf>
    <xf numFmtId="0" fontId="154" fillId="0" borderId="11" xfId="0" applyFont="1" applyFill="1" applyBorder="1" applyAlignment="1" applyProtection="1">
      <alignment vertical="center"/>
      <protection locked="0"/>
    </xf>
    <xf numFmtId="181" fontId="154" fillId="0" borderId="2" xfId="0" applyNumberFormat="1" applyFont="1" applyFill="1" applyBorder="1" applyAlignment="1" applyProtection="1">
      <alignment vertical="center"/>
      <protection locked="0"/>
    </xf>
    <xf numFmtId="181" fontId="72" fillId="0" borderId="2" xfId="0" applyNumberFormat="1" applyFont="1" applyFill="1" applyBorder="1" applyAlignment="1" applyProtection="1">
      <alignment vertical="center"/>
      <protection locked="0"/>
    </xf>
    <xf numFmtId="179" fontId="72" fillId="0" borderId="2" xfId="0" applyNumberFormat="1"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276" fillId="0" borderId="2" xfId="0" applyFont="1" applyBorder="1" applyAlignment="1">
      <alignment horizontal="center" vertical="center"/>
    </xf>
    <xf numFmtId="0" fontId="276" fillId="0" borderId="0" xfId="0" applyFont="1">
      <alignment vertical="center"/>
    </xf>
    <xf numFmtId="0" fontId="276" fillId="0" borderId="2" xfId="0" applyFont="1" applyFill="1" applyBorder="1" applyAlignment="1">
      <alignment horizontal="center" vertical="center"/>
    </xf>
    <xf numFmtId="0" fontId="276" fillId="6" borderId="2" xfId="0" applyFont="1" applyFill="1" applyBorder="1" applyAlignment="1">
      <alignment horizontal="center" vertical="center"/>
    </xf>
    <xf numFmtId="0" fontId="276" fillId="0" borderId="2" xfId="0" applyFont="1" applyBorder="1">
      <alignment vertical="center"/>
    </xf>
    <xf numFmtId="0" fontId="276" fillId="0" borderId="0" xfId="0" applyFont="1" applyAlignment="1">
      <alignment horizontal="center" vertical="center"/>
    </xf>
    <xf numFmtId="43" fontId="276" fillId="0" borderId="2" xfId="16" applyFont="1" applyBorder="1" applyAlignment="1">
      <alignment horizontal="center" vertical="center" wrapText="1"/>
    </xf>
    <xf numFmtId="0" fontId="276" fillId="0" borderId="0" xfId="0" applyFont="1" applyBorder="1" applyAlignment="1">
      <alignment horizontal="center" vertical="center"/>
    </xf>
    <xf numFmtId="2" fontId="276" fillId="0" borderId="0" xfId="0" applyNumberFormat="1" applyFont="1">
      <alignment vertical="center"/>
    </xf>
    <xf numFmtId="179" fontId="276" fillId="0" borderId="0" xfId="0" applyNumberFormat="1" applyFont="1">
      <alignment vertical="center"/>
    </xf>
    <xf numFmtId="179" fontId="276" fillId="0" borderId="2" xfId="0" applyNumberFormat="1" applyFont="1" applyBorder="1">
      <alignment vertical="center"/>
    </xf>
    <xf numFmtId="2" fontId="276" fillId="0" borderId="2" xfId="0" applyNumberFormat="1" applyFont="1" applyBorder="1">
      <alignment vertical="center"/>
    </xf>
    <xf numFmtId="2" fontId="77" fillId="3" borderId="12" xfId="0" applyNumberFormat="1" applyFont="1" applyFill="1" applyBorder="1" applyProtection="1">
      <alignment vertical="center"/>
      <protection locked="0"/>
    </xf>
    <xf numFmtId="0" fontId="215" fillId="18" borderId="2" xfId="17" applyFont="1" applyFill="1" applyBorder="1" applyAlignment="1">
      <alignment horizontal="center" vertical="center"/>
    </xf>
    <xf numFmtId="0" fontId="160" fillId="0" borderId="0" xfId="0" applyFont="1">
      <alignment vertical="center"/>
    </xf>
    <xf numFmtId="0" fontId="215" fillId="18" borderId="2" xfId="17" applyFont="1" applyFill="1" applyBorder="1" applyAlignment="1">
      <alignment horizontal="center" vertical="center" wrapText="1"/>
    </xf>
    <xf numFmtId="0" fontId="215" fillId="0" borderId="2" xfId="18" applyFont="1" applyFill="1" applyBorder="1" applyAlignment="1">
      <alignment horizontal="center" vertical="center"/>
    </xf>
    <xf numFmtId="43" fontId="215" fillId="0" borderId="2" xfId="16" applyFont="1" applyFill="1" applyBorder="1" applyAlignment="1">
      <alignment horizontal="right" vertical="center"/>
    </xf>
    <xf numFmtId="176" fontId="215" fillId="0" borderId="2" xfId="16" applyNumberFormat="1" applyFont="1" applyFill="1" applyBorder="1" applyAlignment="1">
      <alignment horizontal="right" vertical="center"/>
    </xf>
    <xf numFmtId="194" fontId="270" fillId="0" borderId="2" xfId="0" applyNumberFormat="1" applyFont="1" applyFill="1" applyBorder="1" applyAlignment="1">
      <alignment horizontal="right" vertical="center"/>
    </xf>
    <xf numFmtId="0" fontId="160" fillId="0" borderId="2" xfId="0" applyFont="1" applyFill="1" applyBorder="1">
      <alignment vertical="center"/>
    </xf>
    <xf numFmtId="195" fontId="215" fillId="0" borderId="2" xfId="16" applyNumberFormat="1" applyFont="1" applyFill="1" applyBorder="1" applyAlignment="1">
      <alignment horizontal="center" vertical="center"/>
    </xf>
    <xf numFmtId="195" fontId="270" fillId="0" borderId="2" xfId="0" applyNumberFormat="1" applyFont="1" applyFill="1" applyBorder="1" applyAlignment="1">
      <alignment horizontal="center" vertical="center"/>
    </xf>
    <xf numFmtId="0" fontId="160" fillId="0" borderId="2" xfId="0" applyFont="1" applyBorder="1">
      <alignment vertical="center"/>
    </xf>
    <xf numFmtId="0" fontId="160" fillId="0" borderId="2" xfId="0" applyNumberFormat="1" applyFont="1" applyBorder="1">
      <alignment vertical="center"/>
    </xf>
    <xf numFmtId="0" fontId="215" fillId="0" borderId="2" xfId="0" applyFont="1" applyBorder="1" applyAlignment="1">
      <alignment horizontal="center" vertical="center"/>
    </xf>
    <xf numFmtId="0" fontId="149" fillId="0" borderId="2" xfId="18" applyFont="1" applyBorder="1" applyAlignment="1">
      <alignment horizontal="left" vertical="center"/>
    </xf>
    <xf numFmtId="0" fontId="149" fillId="0" borderId="5" xfId="18" applyFont="1" applyBorder="1" applyAlignment="1">
      <alignment horizontal="left" vertical="center"/>
    </xf>
    <xf numFmtId="196" fontId="133" fillId="0" borderId="2" xfId="16" applyNumberFormat="1" applyFont="1" applyBorder="1" applyAlignment="1">
      <alignment horizontal="right" vertical="center"/>
    </xf>
    <xf numFmtId="0" fontId="149" fillId="0" borderId="2" xfId="0" applyFont="1" applyBorder="1" applyAlignment="1">
      <alignment horizontal="left" vertical="center"/>
    </xf>
    <xf numFmtId="0" fontId="149" fillId="0" borderId="5" xfId="0" applyFont="1" applyBorder="1" applyAlignment="1">
      <alignment horizontal="left" vertical="center"/>
    </xf>
    <xf numFmtId="43" fontId="149" fillId="0" borderId="2" xfId="16" applyFont="1" applyBorder="1" applyAlignment="1">
      <alignment horizontal="right" vertical="center"/>
    </xf>
    <xf numFmtId="0" fontId="149" fillId="0" borderId="17" xfId="0" applyFont="1" applyBorder="1" applyAlignment="1">
      <alignment horizontal="left" vertical="center"/>
    </xf>
    <xf numFmtId="0" fontId="215" fillId="0" borderId="17" xfId="0" applyFont="1" applyBorder="1" applyAlignment="1">
      <alignment horizontal="center" vertical="center"/>
    </xf>
    <xf numFmtId="0" fontId="149" fillId="0" borderId="2" xfId="0" applyFont="1" applyFill="1" applyBorder="1" applyAlignment="1">
      <alignment horizontal="left" vertical="center"/>
    </xf>
    <xf numFmtId="0" fontId="149" fillId="0" borderId="5" xfId="0" applyFont="1" applyFill="1" applyBorder="1" applyAlignment="1">
      <alignment horizontal="left" vertical="center"/>
    </xf>
    <xf numFmtId="0" fontId="270" fillId="0" borderId="2" xfId="0" applyFont="1" applyFill="1" applyBorder="1" applyAlignment="1">
      <alignment horizontal="left" vertical="center"/>
    </xf>
    <xf numFmtId="196" fontId="270" fillId="0" borderId="2" xfId="0" applyNumberFormat="1" applyFont="1" applyBorder="1" applyAlignment="1">
      <alignment horizontal="right" vertical="center"/>
    </xf>
    <xf numFmtId="196" fontId="149" fillId="0" borderId="2" xfId="0" applyNumberFormat="1" applyFont="1" applyBorder="1" applyAlignment="1">
      <alignment horizontal="right" vertical="center"/>
    </xf>
    <xf numFmtId="176" fontId="149" fillId="0" borderId="2" xfId="16" applyNumberFormat="1" applyFont="1" applyBorder="1" applyAlignment="1">
      <alignment horizontal="right" vertical="center"/>
    </xf>
    <xf numFmtId="43" fontId="160" fillId="0" borderId="0" xfId="0" applyNumberFormat="1" applyFont="1">
      <alignment vertical="center"/>
    </xf>
    <xf numFmtId="0" fontId="203" fillId="0" borderId="11" xfId="0" applyFont="1" applyBorder="1" applyAlignment="1" applyProtection="1">
      <alignment horizontal="center" vertical="center"/>
      <protection locked="0"/>
    </xf>
    <xf numFmtId="4" fontId="12" fillId="0" borderId="2" xfId="0" applyNumberFormat="1" applyFont="1" applyBorder="1" applyAlignment="1" applyProtection="1">
      <alignment horizontal="center" vertical="center" wrapText="1"/>
      <protection locked="0"/>
    </xf>
    <xf numFmtId="0" fontId="0" fillId="19" borderId="0" xfId="0" applyFill="1" applyAlignment="1"/>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60" fillId="0" borderId="0" xfId="0" applyFont="1" applyAlignment="1">
      <alignment horizontal="left" vertical="center" wrapText="1"/>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49" fontId="263" fillId="0" borderId="11" xfId="0" applyNumberFormat="1"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9">
    <cellStyle name="百分比 2" xfId="11"/>
    <cellStyle name="常规" xfId="0" builtinId="0"/>
    <cellStyle name="常规 109 3"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冷泉花园项目初步估算060312" xfId="17"/>
    <cellStyle name="千位分隔" xfId="16" builtinId="3"/>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23</xdr:row>
      <xdr:rowOff>152400</xdr:rowOff>
    </xdr:from>
    <xdr:to>
      <xdr:col>3</xdr:col>
      <xdr:colOff>751840</xdr:colOff>
      <xdr:row>46</xdr:row>
      <xdr:rowOff>52705</xdr:rowOff>
    </xdr:to>
    <xdr:pic>
      <xdr:nvPicPr>
        <xdr:cNvPr id="2" name="图片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244"/>
        <a:stretch/>
      </xdr:blipFill>
      <xdr:spPr bwMode="auto">
        <a:xfrm>
          <a:off x="542925" y="4667250"/>
          <a:ext cx="4304665" cy="3843655"/>
        </a:xfrm>
        <a:prstGeom prst="rect">
          <a:avLst/>
        </a:prstGeom>
        <a:ln w="9525" cap="flat" cmpd="sng" algn="ctr">
          <a:solidFill>
            <a:sysClr val="windowText" lastClr="000000"/>
          </a:solidFill>
          <a:prstDash val="solid"/>
          <a:round/>
          <a:headEnd type="none" w="med" len="med"/>
          <a:tailEnd type="none" w="med" len="med"/>
          <a:extLst>
            <a:ext uri="{C807C97D-BFC1-408E-A445-0C87EB9F89A2}">
              <ask:lineSketchStyleProps xmlns:ve="http://schemas.openxmlformats.org/markup-compatibility/2006" xmlns:r="http://schemas.openxmlformats.org/officeDocument/2006/relationships" xmlns:m="http://schemas.openxmlformats.org/officeDocument/2006/math" xmlns:wp="http://schemas.openxmlformats.org/drawingml/2006/wordprocessingDrawing" xmlns:wne="http://schemas.microsoft.com/office/word/2006/wordml" xmlns:pic="http://schemas.openxmlformats.org/drawingml/2006/picture"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ps="http://schemas.microsoft.com/office/word/2010/wordprocessingShape" xmlns:ask="http://schemas.microsoft.com/office/drawing/2018/sketchyshapes" xmlns:lc="http://schemas.openxmlformats.org/drawingml/2006/lockedCanva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2656</v>
      </c>
      <c r="B1" s="2845" t="s">
        <v>2753</v>
      </c>
    </row>
    <row r="2" spans="1:55" s="2849" customFormat="1" ht="15" thickTop="1">
      <c r="A2" s="2847" t="s">
        <v>2660</v>
      </c>
      <c r="B2" s="2848" t="str">
        <f>'预评函-封皮'!B37</f>
        <v>湖北省黄石市黄金山开发区大棋路以北卫楼下路以东出让国有建设用地使用权抵押价格预评估</v>
      </c>
      <c r="AX2" s="2850"/>
      <c r="AZ2" s="2850"/>
      <c r="BA2" s="2851"/>
      <c r="BC2" s="2851"/>
    </row>
    <row r="3" spans="1:55" s="2852" customFormat="1">
      <c r="A3" s="2831" t="s">
        <v>2661</v>
      </c>
      <c r="B3" s="2834">
        <f>'预评函-封皮'!B40</f>
        <v>0</v>
      </c>
    </row>
    <row r="4" spans="1:55" s="2833" customFormat="1">
      <c r="A4" s="2831" t="s">
        <v>2662</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2663</v>
      </c>
      <c r="B5" s="2854" t="str">
        <f>'预评函-封皮'!B49</f>
        <v>康正预评字号</v>
      </c>
    </row>
    <row r="6" spans="1:55" s="2855" customFormat="1" ht="15" thickTop="1">
      <c r="A6" s="2847" t="s">
        <v>2705</v>
      </c>
      <c r="B6" s="2848" t="str">
        <f>'预评函-1'!A4</f>
        <v>受贵公司委托，我公司对湖北省黄石市黄金山开发区大棋路以北卫楼下路以东出让国有建设用地使用权抵押价格进行了预评估。</v>
      </c>
      <c r="AM6" s="2856"/>
    </row>
    <row r="7" spans="1:55" s="2830" customFormat="1">
      <c r="A7" s="2831" t="s">
        <v>2657</v>
      </c>
      <c r="B7" s="2832" t="str">
        <f>'预评函-1'!A6</f>
        <v>估价对象为使用的、位于湖北省黄石市黄金山开发区大棋路以北卫楼下路以东出让国有建设用地使用权。根据《国有土地使用证》[]，估价对象（分摊）出让国有建设用地使用权面积为153365平方米。根据《建设工程规划许可证》[]、《出让合同》[]，估价对象规划建筑面积为508675平方米。</v>
      </c>
    </row>
    <row r="8" spans="1:55" s="2830" customFormat="1">
      <c r="A8" s="2831" t="s">
        <v>2658</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2708</v>
      </c>
      <c r="B9" s="2832" t="str">
        <f>'预评函-1'!A9</f>
        <v>拟使用湖北省黄石市黄金山开发区大棋路以北卫楼下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2659</v>
      </c>
      <c r="B10" s="2832" t="str">
        <f>'预评函-1'!A11</f>
        <v>2020年1月3日（评估专业人员勘察现场之日）</v>
      </c>
    </row>
    <row r="11" spans="1:55" s="2830" customFormat="1">
      <c r="A11" s="2831" t="s">
        <v>2665</v>
      </c>
      <c r="B11" s="2832" t="str">
        <f>'预评函-1'!A14</f>
        <v>根据《国有土地使用证》[]，本次评估估价对象证载（地类）用途为住宅、商业、办公。</v>
      </c>
    </row>
    <row r="12" spans="1:55" s="2830" customFormat="1">
      <c r="A12" s="2831" t="s">
        <v>2666</v>
      </c>
      <c r="B12" s="2832" t="str">
        <f>'预评函-1'!A15</f>
        <v>本次评估设定用途即为证载用途住宅、商业、办公。</v>
      </c>
    </row>
    <row r="13" spans="1:55" s="2830" customFormat="1">
      <c r="A13" s="2831" t="s">
        <v>2667</v>
      </c>
      <c r="B13" s="2832" t="str">
        <f>'预评函-1'!A17</f>
        <v>根据委托估价方介绍及评估专业人员现场勘查，本次评估估价对象实际土地开发程度为红线外市政基础设施达“七通”（即通路、通电、通讯、通上水、通下水、燃气、）、宗地红线内场地平整。</v>
      </c>
    </row>
    <row r="14" spans="1:55" s="2830" customFormat="1">
      <c r="A14" s="2831" t="s">
        <v>2668</v>
      </c>
      <c r="B14" s="2832" t="str">
        <f>'预评函-1'!A18</f>
        <v>。本次评估设定土地开发程度为红线外市政基础设施达“七通”、宗地红线内场地平整。</v>
      </c>
    </row>
    <row r="15" spans="1:55" s="2830" customFormat="1">
      <c r="A15" s="2831" t="s">
        <v>2664</v>
      </c>
      <c r="B15" s="2832" t="str">
        <f>'预评函-1'!A20</f>
        <v>根据《国有土地使用证》[]，估价对象（分摊）出让国有建设用地使用权面积为153365平方米。根据《建设工程规划许可证》[]、《出让合同》[]，估价对象规划建筑面积为508675平方米。</v>
      </c>
    </row>
    <row r="16" spans="1:55" s="2830" customFormat="1">
      <c r="A16" s="2831" t="s">
        <v>2669</v>
      </c>
      <c r="B16" s="2832" t="str">
        <f>'预评函-1'!A22</f>
        <v>本次估价对象为出让国有建设用地使用权，《国有土地使用证》[]证载土地终止日期为住宅2086年7月26日、商业2056年7月26日地下车库2056年7月26日。截至估价期日，出让国有建设用地使用权剩余土地使用年限为。</v>
      </c>
    </row>
    <row r="17" spans="1:48" s="2830" customFormat="1">
      <c r="A17" s="2831" t="s">
        <v>2670</v>
      </c>
      <c r="B17" s="2832" t="str">
        <f>'预评函-1'!A23</f>
        <v>本次评估设定估价对象剩余土地使用年限为。</v>
      </c>
    </row>
    <row r="18" spans="1:48" s="2830" customFormat="1">
      <c r="A18" s="2831" t="s">
        <v>2671</v>
      </c>
      <c r="B18" s="2832" t="str">
        <f>'预评函-1'!A25</f>
        <v>本次估价的“出让国有建设用地使用权价格”是指在估价对象土地所有权为国家所有，使用权性质为出让，在公开市场条件下、于估价期日2020年1月3日，在规划利用条件下、设定土地开发程度为红线外“七通”、宗地内场地，设定用途为住宅、商业、办公，剩余土地使用年限为的出让国有建设用地使用权价格。</v>
      </c>
    </row>
    <row r="19" spans="1:48" s="2830" customFormat="1">
      <c r="A19" s="2831" t="s">
        <v>2672</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2673</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2674</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2675</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2676</v>
      </c>
      <c r="B23" s="2832" t="str">
        <f>'预评函-2'!K2</f>
        <v>估价期日：2020年1月3日</v>
      </c>
    </row>
    <row r="24" spans="1:48">
      <c r="A24" s="2831" t="s">
        <v>2677</v>
      </c>
      <c r="B24" s="2832" t="str">
        <f>'预评函-2'!R2</f>
        <v>估价期日的国有建设用地使用权性质：出让</v>
      </c>
    </row>
    <row r="25" spans="1:48">
      <c r="A25" s="2831" t="s">
        <v>2733</v>
      </c>
      <c r="B25" s="2832" t="str">
        <f>'预评函-2'!A3</f>
        <v>估价期日土地使用者</v>
      </c>
    </row>
    <row r="26" spans="1:48">
      <c r="A26" s="2831" t="s">
        <v>2709</v>
      </c>
      <c r="B26" s="2832" t="str">
        <f>'预评函-2'!A5</f>
        <v>中信开发</v>
      </c>
    </row>
    <row r="27" spans="1:48">
      <c r="A27" s="2831" t="s">
        <v>2734</v>
      </c>
      <c r="B27" s="2832" t="str">
        <f>'预评函-2'!B3</f>
        <v>宗地编号/不动产单元号</v>
      </c>
    </row>
    <row r="28" spans="1:48">
      <c r="A28" s="2831" t="s">
        <v>2710</v>
      </c>
      <c r="B28" s="2832" t="str">
        <f>'预评函-2'!B5</f>
        <v>11111111111</v>
      </c>
    </row>
    <row r="29" spans="1:48">
      <c r="A29" s="2831" t="s">
        <v>2736</v>
      </c>
      <c r="B29" s="2832">
        <f>'预评函-2'!C5</f>
        <v>22</v>
      </c>
    </row>
    <row r="30" spans="1:48">
      <c r="A30" s="2831" t="s">
        <v>2737</v>
      </c>
      <c r="B30" s="2832" t="str">
        <f>'预评函-2'!D3</f>
        <v>土地使用证编号/不动产权证书编号</v>
      </c>
    </row>
    <row r="31" spans="1:48">
      <c r="A31" s="2831" t="s">
        <v>2711</v>
      </c>
      <c r="B31" s="2832" t="str">
        <f>'预评函-2'!D5</f>
        <v>京国土字第111号</v>
      </c>
    </row>
    <row r="32" spans="1:48">
      <c r="A32" s="2831" t="s">
        <v>2712</v>
      </c>
      <c r="B32" s="2832" t="str">
        <f>'预评函-2'!E5</f>
        <v>住宅、商业、办公</v>
      </c>
      <c r="AV32" s="2836"/>
    </row>
    <row r="33" spans="1:2">
      <c r="A33" s="2831" t="s">
        <v>2713</v>
      </c>
      <c r="B33" s="2832">
        <f>'预评函-2'!F5</f>
        <v>258</v>
      </c>
    </row>
    <row r="34" spans="1:2">
      <c r="A34" s="2831" t="s">
        <v>2714</v>
      </c>
      <c r="B34" s="2832" t="str">
        <f>'预评函-2'!G5</f>
        <v>住宅、商业、办公</v>
      </c>
    </row>
    <row r="35" spans="1:2">
      <c r="A35" s="2831" t="s">
        <v>2715</v>
      </c>
      <c r="B35" s="2832">
        <f>'预评函-2'!H5</f>
        <v>1.5</v>
      </c>
    </row>
    <row r="36" spans="1:2">
      <c r="A36" s="2831" t="s">
        <v>2716</v>
      </c>
      <c r="B36" s="2832">
        <f>'预评函-2'!I5</f>
        <v>1.5</v>
      </c>
    </row>
    <row r="37" spans="1:2">
      <c r="A37" s="2831" t="s">
        <v>2717</v>
      </c>
      <c r="B37" s="2832">
        <f>'预评函-2'!J5</f>
        <v>1.5</v>
      </c>
    </row>
    <row r="38" spans="1:2">
      <c r="A38" s="2831" t="s">
        <v>2718</v>
      </c>
      <c r="B38" s="2832" t="str">
        <f>'预评函-2'!K5</f>
        <v>红线外七通、宗地红线内</v>
      </c>
    </row>
    <row r="39" spans="1:2">
      <c r="A39" s="2831" t="s">
        <v>2719</v>
      </c>
      <c r="B39" s="2832" t="str">
        <f>'预评函-2'!L5</f>
        <v>红线外七通、宗地红线内场地</v>
      </c>
    </row>
    <row r="40" spans="1:2">
      <c r="A40" s="2831" t="s">
        <v>2738</v>
      </c>
      <c r="B40" s="2832" t="str">
        <f>'预评函-2'!M3</f>
        <v>（剩余）土地使用年限/年</v>
      </c>
    </row>
    <row r="41" spans="1:2">
      <c r="A41" s="2831" t="s">
        <v>2720</v>
      </c>
      <c r="B41" s="2832">
        <f>'预评函-2'!M5</f>
        <v>0</v>
      </c>
    </row>
    <row r="42" spans="1:2">
      <c r="A42" s="2831" t="s">
        <v>2739</v>
      </c>
      <c r="B42" s="2832" t="str">
        <f>'预评函-2'!N3</f>
        <v>（分摊）出让国有建设用地使用权面积/㎡</v>
      </c>
    </row>
    <row r="43" spans="1:2">
      <c r="A43" s="2831" t="s">
        <v>2721</v>
      </c>
      <c r="B43" s="2832">
        <f>'预评函-2'!N5</f>
        <v>153365</v>
      </c>
    </row>
    <row r="44" spans="1:2">
      <c r="A44" s="2831" t="s">
        <v>2740</v>
      </c>
      <c r="B44" s="2832" t="str">
        <f>'预评函-2'!O3</f>
        <v>规划建筑面积/㎡</v>
      </c>
    </row>
    <row r="45" spans="1:2">
      <c r="A45" s="2831" t="s">
        <v>2722</v>
      </c>
      <c r="B45" s="2832">
        <f>'预评函-2'!O5</f>
        <v>508675</v>
      </c>
    </row>
    <row r="46" spans="1:2">
      <c r="A46" s="2831" t="s">
        <v>2723</v>
      </c>
      <c r="B46" s="2832">
        <f ca="1">'预评函-2'!P5</f>
        <v>2562</v>
      </c>
    </row>
    <row r="47" spans="1:2">
      <c r="A47" s="2831" t="s">
        <v>2724</v>
      </c>
      <c r="B47" s="2832">
        <f ca="1">'预评函-2'!Q5</f>
        <v>773</v>
      </c>
    </row>
    <row r="48" spans="1:2">
      <c r="A48" s="2831" t="s">
        <v>2725</v>
      </c>
      <c r="B48" s="2832">
        <f ca="1">'预评函-2'!R5</f>
        <v>39298</v>
      </c>
    </row>
    <row r="49" spans="1:2">
      <c r="A49" s="2831" t="s">
        <v>2741</v>
      </c>
      <c r="B49" s="2832" t="str">
        <f>'预评函-2'!A6</f>
        <v>抵押价格</v>
      </c>
    </row>
    <row r="50" spans="1:2">
      <c r="A50" s="2831" t="s">
        <v>2726</v>
      </c>
      <c r="B50" s="2832">
        <f ca="1">'预评函-2'!R6</f>
        <v>39298</v>
      </c>
    </row>
    <row r="51" spans="1:2">
      <c r="A51" s="2831" t="s">
        <v>2742</v>
      </c>
      <c r="B51" s="2832" t="str">
        <f>'预评函-2'!A7</f>
        <v>——</v>
      </c>
    </row>
    <row r="52" spans="1:2">
      <c r="A52" s="2831" t="s">
        <v>2727</v>
      </c>
      <c r="B52" s="2832" t="str">
        <f>'预评函-2'!R7</f>
        <v>——</v>
      </c>
    </row>
    <row r="53" spans="1:2">
      <c r="A53" s="2831" t="s">
        <v>2743</v>
      </c>
      <c r="B53" s="2832">
        <f>'预评函-2'!A8</f>
        <v>0</v>
      </c>
    </row>
    <row r="54" spans="1:2" s="2846" customFormat="1" ht="15" thickBot="1">
      <c r="A54" s="2853" t="s">
        <v>2728</v>
      </c>
      <c r="B54" s="2854" t="str">
        <f>'预评函-2'!R8</f>
        <v>——</v>
      </c>
    </row>
    <row r="55" spans="1:2" ht="15" thickTop="1">
      <c r="A55" s="2842" t="s">
        <v>2678</v>
      </c>
      <c r="B55" s="2843" t="str">
        <f>'预评函-3'!A2</f>
        <v>1.权利限制：根据估价对象《不动产权证书》原件、《国有土地使用权》复印件，截至估价期日，估价对象抵押权未见登记。未设定租赁等其他他项权利。</v>
      </c>
    </row>
    <row r="56" spans="1:2">
      <c r="A56" s="2831" t="s">
        <v>2679</v>
      </c>
      <c r="B56" s="2832" t="str">
        <f>'预评函-3'!A3</f>
        <v>2.基础设施条件：估价对象实际开发程度为红线外七通、宗地红线内；本次评估设定开发程度为红线外七通、宗地红线内场地。</v>
      </c>
    </row>
    <row r="57" spans="1:2">
      <c r="A57" s="2831" t="s">
        <v>2680</v>
      </c>
      <c r="B57" s="2832" t="str">
        <f>'预评函-3'!A4</f>
        <v>3.估价规划限制条件：详见《建设工程规划许可证》[]、《出让合同》[]。</v>
      </c>
    </row>
    <row r="58" spans="1:2" s="2846" customFormat="1" ht="15" thickBot="1">
      <c r="A58" s="2853" t="s">
        <v>2729</v>
      </c>
      <c r="B58" s="2854" t="str">
        <f>'预评函-3'!A5</f>
        <v>4.影响价格的其他限定条件：无。</v>
      </c>
    </row>
    <row r="59" spans="1:2" ht="15" thickTop="1">
      <c r="A59" s="2842" t="s">
        <v>2681</v>
      </c>
      <c r="B59" s="2843" t="str">
        <f>'预评函-3'!A8</f>
        <v>2.本《评估意见函》仅供金融机构进行内部审核使用，不做其他目的之用。</v>
      </c>
    </row>
    <row r="60" spans="1:2">
      <c r="A60" s="2831" t="s">
        <v>2682</v>
      </c>
      <c r="B60" s="2832" t="str">
        <f>'预评函-3'!A9</f>
        <v>3.抵押双方在办理抵押登记手续时，应使用本公司出具的正式《土地估价报告》，特提请报告使用者注意。</v>
      </c>
    </row>
    <row r="61" spans="1:2">
      <c r="A61" s="2831" t="s">
        <v>2684</v>
      </c>
      <c r="B61" s="2832" t="str">
        <f>'预评函-3'!A10</f>
        <v>4.估价师所知悉的法定优先受偿款情况为：</v>
      </c>
    </row>
    <row r="62" spans="1:2">
      <c r="A62" s="2831" t="s">
        <v>2683</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2685</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2686</v>
      </c>
      <c r="B64" s="2837" t="str">
        <f>'预评函-3'!A13</f>
        <v>（3）。</v>
      </c>
    </row>
    <row r="65" spans="1:2">
      <c r="A65" s="2831" t="s">
        <v>2687</v>
      </c>
      <c r="B65" s="2838" t="str">
        <f>'预评函-3'!A14</f>
        <v>综上，本次评估不存在估价师知悉的法定优先受偿款</v>
      </c>
    </row>
    <row r="66" spans="1:2">
      <c r="A66" s="2831" t="s">
        <v>2688</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2689</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2692</v>
      </c>
      <c r="B68" s="2857">
        <f>'预评函-3'!D30</f>
        <v>42558</v>
      </c>
    </row>
    <row r="69" spans="1:2" ht="15" thickTop="1">
      <c r="A69" s="2842" t="s">
        <v>2690</v>
      </c>
      <c r="B69" s="2843" t="str">
        <f>'预评函-3'!A20</f>
        <v>土地估价师</v>
      </c>
    </row>
    <row r="70" spans="1:2">
      <c r="A70" s="2831" t="s">
        <v>2690</v>
      </c>
      <c r="B70" s="2838">
        <f>'预评函-3'!B20</f>
        <v>0</v>
      </c>
    </row>
    <row r="71" spans="1:2">
      <c r="A71" s="2831" t="s">
        <v>2691</v>
      </c>
      <c r="B71" s="2832" t="str">
        <f>'预评函-3'!A21</f>
        <v>土地估价师</v>
      </c>
    </row>
    <row r="72" spans="1:2" s="2846" customFormat="1" ht="15" thickBot="1">
      <c r="A72" s="2853" t="s">
        <v>2691</v>
      </c>
      <c r="B72" s="2859">
        <f>'预评函-3'!B21</f>
        <v>0</v>
      </c>
    </row>
    <row r="73" spans="1:2" ht="15" thickTop="1">
      <c r="A73" s="2842" t="s">
        <v>2750</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2751</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2752</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2787</v>
      </c>
      <c r="B76" s="2841"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5" zoomScale="90" zoomScaleNormal="100" zoomScaleSheetLayoutView="90" workbookViewId="0">
      <selection activeCell="F12" sqref="F12:I12"/>
    </sheetView>
  </sheetViews>
  <sheetFormatPr defaultColWidth="10" defaultRowHeight="14.25"/>
  <cols>
    <col min="1" max="1" width="15.375" style="1673" customWidth="1"/>
    <col min="2" max="2" width="11.375" style="1673" customWidth="1"/>
    <col min="3" max="3" width="12.625" style="1673" customWidth="1"/>
    <col min="4" max="4" width="11.75" style="1673" customWidth="1"/>
    <col min="5" max="5" width="12.5" style="1673" customWidth="1"/>
    <col min="6"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79" t="str">
        <f>IF(B10="北京市","北京市",C10)&amp;F10&amp;B16&amp;"国有建设用地使用权"&amp;B9&amp;"预评估"</f>
        <v>湖北省黄石市黄金山开发区大棋路以北卫楼下路以东出让国有建设用地使用权抵押价格预评估</v>
      </c>
      <c r="C1" s="3280"/>
      <c r="D1" s="3280"/>
      <c r="E1" s="3280"/>
      <c r="F1" s="3280"/>
      <c r="G1" s="3280"/>
      <c r="H1" s="3280"/>
      <c r="I1" s="3281"/>
      <c r="J1" s="1676"/>
      <c r="K1" s="2417" t="str">
        <f>IF(B10="北京市","北京市",C10)&amp;F10&amp;B16&amp;"国有建设用地使用权"&amp;B9</f>
        <v>湖北省黄石市黄金山开发区大棋路以北卫楼下路以东出让国有建设用地使用权抵押价格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湖北省黄石市黄金山开发区大棋路以北卫楼下路以东出让国有建设用地使用权</v>
      </c>
      <c r="L2" s="1705"/>
      <c r="M2" s="1705"/>
      <c r="N2" s="1676"/>
      <c r="O2" s="1677"/>
      <c r="P2" s="1676"/>
      <c r="Q2" s="1676"/>
      <c r="R2" s="1676"/>
      <c r="S2" s="1676"/>
      <c r="T2" s="1676"/>
      <c r="U2" s="1676"/>
    </row>
    <row r="3" spans="1:21">
      <c r="A3" s="1643" t="s">
        <v>1939</v>
      </c>
      <c r="B3" s="1644">
        <v>43833</v>
      </c>
      <c r="C3" s="1645" t="s">
        <v>1995</v>
      </c>
      <c r="D3" s="1644">
        <f>B3</f>
        <v>43833</v>
      </c>
      <c r="E3" s="1676"/>
      <c r="F3" s="1676"/>
      <c r="G3" s="1676"/>
      <c r="H3" s="1642"/>
      <c r="I3" s="1677"/>
      <c r="J3" s="1676"/>
      <c r="K3" s="1756"/>
      <c r="L3" s="1705"/>
      <c r="M3" s="1705"/>
      <c r="N3" s="1676"/>
      <c r="O3" s="1677"/>
      <c r="P3" s="1676"/>
      <c r="Q3" s="1676"/>
      <c r="R3" s="1676"/>
      <c r="S3" s="1676"/>
      <c r="T3" s="1676"/>
      <c r="U3" s="1676"/>
    </row>
    <row r="4" spans="1:21" ht="15" thickBot="1">
      <c r="A4" s="1646" t="s">
        <v>1940</v>
      </c>
      <c r="B4" s="1825" t="s">
        <v>2889</v>
      </c>
      <c r="C4" s="1828">
        <f>SUMIF(土地估价师,B4,估价师及机构信息!E3:E24)</f>
        <v>0</v>
      </c>
      <c r="D4" s="1825" t="s">
        <v>2889</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2706</v>
      </c>
      <c r="B6" s="1771"/>
      <c r="C6" s="1743"/>
      <c r="D6" s="1650"/>
      <c r="E6" s="1676"/>
      <c r="F6" s="1676"/>
      <c r="G6" s="1676"/>
      <c r="H6" s="1642"/>
      <c r="I6" s="1677"/>
      <c r="J6" s="1676"/>
      <c r="K6" s="3002" t="str">
        <f>IF(COUNTIF(B6,"*上海银行*"),"上海银行","")</f>
        <v/>
      </c>
      <c r="L6" s="1705"/>
      <c r="M6" s="1705"/>
      <c r="N6" s="1676"/>
      <c r="O6" s="1677"/>
      <c r="P6" s="1676"/>
      <c r="Q6" s="1676"/>
      <c r="R6" s="1676"/>
      <c r="S6" s="1676"/>
      <c r="T6" s="1676"/>
      <c r="U6" s="1676"/>
    </row>
    <row r="7" spans="1:21">
      <c r="A7" s="1651" t="s">
        <v>2707</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2996</v>
      </c>
      <c r="C8" s="1653"/>
      <c r="D8" s="3285" t="s">
        <v>1944</v>
      </c>
      <c r="E8" s="1826" t="s">
        <v>3001</v>
      </c>
      <c r="F8" s="1654"/>
      <c r="G8" s="1642"/>
      <c r="H8" s="1642"/>
      <c r="I8" s="1689"/>
      <c r="J8" s="1676"/>
      <c r="K8" s="1756"/>
      <c r="L8" s="1705"/>
      <c r="M8" s="1705"/>
      <c r="N8" s="1676"/>
      <c r="O8" s="1677"/>
      <c r="P8" s="1676"/>
      <c r="Q8" s="1676"/>
      <c r="R8" s="1676"/>
      <c r="S8" s="1676"/>
      <c r="T8" s="1676"/>
      <c r="U8" s="1676"/>
    </row>
    <row r="9" spans="1:21" ht="15" thickBot="1">
      <c r="A9" s="1655" t="s">
        <v>1943</v>
      </c>
      <c r="B9" s="1656" t="s">
        <v>3001</v>
      </c>
      <c r="C9" s="1657"/>
      <c r="D9" s="3286"/>
      <c r="E9" s="1656"/>
      <c r="F9" s="1729"/>
      <c r="G9" s="1724"/>
      <c r="H9" s="1724"/>
      <c r="I9" s="1725"/>
      <c r="J9" s="1676"/>
      <c r="K9" s="1756"/>
      <c r="L9" s="1705"/>
      <c r="M9" s="1705"/>
      <c r="N9" s="1676"/>
      <c r="O9" s="1677"/>
      <c r="P9" s="1676"/>
      <c r="Q9" s="1676"/>
      <c r="R9" s="1676"/>
      <c r="S9" s="1676"/>
      <c r="T9" s="1676"/>
      <c r="U9" s="1676"/>
    </row>
    <row r="10" spans="1:21" ht="15" thickTop="1">
      <c r="A10" s="1726" t="s">
        <v>1999</v>
      </c>
      <c r="B10" s="1701" t="s">
        <v>3171</v>
      </c>
      <c r="C10" s="1658" t="s">
        <v>3172</v>
      </c>
      <c r="D10" s="1649"/>
      <c r="E10" s="1659" t="s">
        <v>1946</v>
      </c>
      <c r="F10" s="1660" t="s">
        <v>3173</v>
      </c>
      <c r="G10" s="1727"/>
      <c r="H10" s="1728"/>
      <c r="I10" s="1649"/>
      <c r="J10" s="1676"/>
      <c r="K10" s="1756"/>
      <c r="L10" s="1705"/>
      <c r="M10" s="1705"/>
      <c r="N10" s="1676"/>
      <c r="O10" s="1677"/>
      <c r="P10" s="1676"/>
      <c r="Q10" s="1676"/>
      <c r="R10" s="1676"/>
      <c r="S10" s="1676"/>
      <c r="T10" s="1676"/>
      <c r="U10" s="1676"/>
    </row>
    <row r="11" spans="1:21">
      <c r="A11" s="1679" t="s">
        <v>2000</v>
      </c>
      <c r="B11" s="1680" t="s">
        <v>3002</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82" t="s">
        <v>3161</v>
      </c>
      <c r="C12" s="3283"/>
      <c r="D12" s="3284"/>
      <c r="E12" s="1681" t="s">
        <v>2061</v>
      </c>
      <c r="F12" s="3300" t="s">
        <v>2890</v>
      </c>
      <c r="G12" s="3301"/>
      <c r="H12" s="3301"/>
      <c r="I12" s="3302"/>
      <c r="J12" s="1676"/>
      <c r="K12" s="1756"/>
      <c r="L12" s="1705"/>
      <c r="M12" s="1705"/>
      <c r="N12" s="1676"/>
      <c r="O12" s="1677"/>
      <c r="P12" s="1676"/>
      <c r="Q12" s="1676"/>
      <c r="R12" s="1676"/>
      <c r="S12" s="1676"/>
      <c r="T12" s="1676"/>
      <c r="U12" s="1676"/>
    </row>
    <row r="13" spans="1:21">
      <c r="A13" s="1669" t="s">
        <v>2059</v>
      </c>
      <c r="B13" s="3282" t="s">
        <v>3161</v>
      </c>
      <c r="C13" s="3283"/>
      <c r="D13" s="3284"/>
      <c r="E13" s="1681" t="s">
        <v>2061</v>
      </c>
      <c r="F13" s="3300" t="s">
        <v>2891</v>
      </c>
      <c r="G13" s="3301"/>
      <c r="H13" s="3301"/>
      <c r="I13" s="3302"/>
      <c r="J13" s="1676"/>
      <c r="K13" s="1756"/>
      <c r="L13" s="1705"/>
      <c r="M13" s="1705"/>
      <c r="N13" s="1676"/>
      <c r="O13" s="1677"/>
      <c r="P13" s="1676"/>
      <c r="Q13" s="1676"/>
      <c r="R13" s="1676"/>
      <c r="S13" s="1676"/>
      <c r="T13" s="1676"/>
      <c r="U13" s="1676"/>
    </row>
    <row r="14" spans="1:21">
      <c r="A14" s="1643" t="s">
        <v>2062</v>
      </c>
      <c r="B14" s="1681"/>
      <c r="C14" s="1827" t="s">
        <v>3003</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2991</v>
      </c>
      <c r="C16" s="1681" t="s">
        <v>1948</v>
      </c>
      <c r="D16" s="2608" t="s">
        <v>1949</v>
      </c>
      <c r="E16" s="1704" t="s">
        <v>3004</v>
      </c>
      <c r="F16" s="1704" t="s">
        <v>1677</v>
      </c>
      <c r="G16" s="1704" t="s">
        <v>35</v>
      </c>
      <c r="H16" s="1704"/>
      <c r="I16" s="1668" t="s">
        <v>1954</v>
      </c>
      <c r="J16" s="1676"/>
      <c r="K16" s="2418" t="str">
        <f>IF(D17="","",D16&amp;TEXT(D17,"yyyy年m月d日;;"))</f>
        <v>住宅2086年7月26日</v>
      </c>
      <c r="L16" s="1681" t="str">
        <f>IF(OR(K16="",M16=""),"","、")</f>
        <v>、</v>
      </c>
      <c r="M16" s="2418" t="str">
        <f>IF(E17="","",E16&amp;TEXT(E17,"yyyy年m月d日;;"))</f>
        <v>商业2056年7月26日</v>
      </c>
      <c r="N16" s="1681" t="str">
        <f>IF(OR(M16="",O16=""),"","、")</f>
        <v/>
      </c>
      <c r="O16" s="2418" t="str">
        <f>IF(F17="","",F16&amp;TEXT(F17,"yyyy年m月d日;;"))</f>
        <v/>
      </c>
      <c r="P16" s="1681" t="str">
        <f>IF(OR(O16="",Q16=""),"","、")</f>
        <v/>
      </c>
      <c r="Q16" s="2418" t="str">
        <f>IF(G17="","",G16&amp;TEXT(G17,"yyyy年m月d日;;"))</f>
        <v>地下车库2056年7月26日</v>
      </c>
      <c r="R16" s="1681" t="str">
        <f>IF(OR(Q16="",S16=""),"","、")</f>
        <v/>
      </c>
      <c r="S16" s="2418" t="str">
        <f>IF(H17="","",H16&amp;TEXT(H17,"yyyy年m月d日;;"))</f>
        <v/>
      </c>
      <c r="T16" s="1681" t="str">
        <f>IF(OR(S16="",U16=""),"","、")</f>
        <v/>
      </c>
      <c r="U16" s="2418" t="str">
        <f>IF(I17="","",I16&amp;TEXT(I17,"yyyy年m月d日;;"))</f>
        <v/>
      </c>
    </row>
    <row r="17" spans="1:21">
      <c r="A17" s="1745"/>
      <c r="B17" s="1664"/>
      <c r="C17" s="1665" t="s">
        <v>1955</v>
      </c>
      <c r="D17" s="1682">
        <v>68144</v>
      </c>
      <c r="E17" s="1682">
        <v>57187</v>
      </c>
      <c r="F17" s="1682"/>
      <c r="G17" s="1682">
        <f>E17</f>
        <v>57187</v>
      </c>
      <c r="H17" s="1682"/>
      <c r="I17" s="1682"/>
      <c r="J17" s="1676"/>
      <c r="K17" s="2417" t="str">
        <f>CONCATENATE(K16,L16,M16,N16,O16,P16,Q16,R16,S16,T16,,U16)</f>
        <v>住宅2086年7月26日、商业2056年7月26日地下车库2056年7月26日</v>
      </c>
      <c r="L17" s="1705"/>
      <c r="M17" s="1705"/>
      <c r="N17" s="1676"/>
      <c r="O17" s="1677"/>
      <c r="P17" s="1676"/>
      <c r="Q17" s="1676"/>
      <c r="R17" s="1676"/>
      <c r="S17" s="1676"/>
      <c r="T17" s="1676"/>
      <c r="U17" s="1676"/>
    </row>
    <row r="18" spans="1:21">
      <c r="A18" s="1745"/>
      <c r="B18" s="1664"/>
      <c r="C18" s="1665" t="s">
        <v>1956</v>
      </c>
      <c r="D18" s="1666">
        <v>70</v>
      </c>
      <c r="E18" s="1666">
        <v>40</v>
      </c>
      <c r="F18" s="1666">
        <v>50</v>
      </c>
      <c r="G18" s="1666">
        <v>50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66.599999999999994</v>
      </c>
      <c r="E19" s="1667">
        <f>IF(B16="出让",IF(E17="","",ROUNDDOWN(MIN((E17-$D$3)/365,E18),2)),E18)</f>
        <v>36.58</v>
      </c>
      <c r="F19" s="1667" t="str">
        <f>IF(B16="出让",IF(F17="","",ROUNDDOWN(MIN((F17-$D$3)/365,F18),2)),F18)</f>
        <v/>
      </c>
      <c r="G19" s="1667">
        <f>IF(B16="出让",IF(G17="","",ROUNDDOWN(MIN((G17-$D$3)/365,G18),2)),G18)</f>
        <v>36.58</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97"/>
      <c r="E20" s="3298"/>
      <c r="F20" s="3298"/>
      <c r="G20" s="3298"/>
      <c r="H20" s="3298"/>
      <c r="I20" s="3299"/>
      <c r="J20" s="1676"/>
      <c r="K20" s="1756"/>
      <c r="L20" s="1705"/>
      <c r="M20" s="1705"/>
      <c r="N20" s="1676"/>
      <c r="O20" s="1677"/>
      <c r="P20" s="1676"/>
      <c r="Q20" s="1676"/>
      <c r="R20" s="1676"/>
      <c r="S20" s="1676"/>
      <c r="T20" s="1676"/>
      <c r="U20" s="1676"/>
    </row>
    <row r="21" spans="1:21">
      <c r="A21" s="1745" t="s">
        <v>1958</v>
      </c>
      <c r="B21" s="1746" t="s">
        <v>1959</v>
      </c>
      <c r="C21" s="1741">
        <f>'数据-汇总表'!E3</f>
        <v>508675</v>
      </c>
      <c r="D21" s="1742" t="s">
        <v>1960</v>
      </c>
      <c r="E21" s="3287" t="s">
        <v>1998</v>
      </c>
      <c r="F21" s="3288"/>
      <c r="G21" s="3288"/>
      <c r="H21" s="3288"/>
      <c r="I21" s="3289"/>
      <c r="J21" s="1676"/>
      <c r="K21" s="1756"/>
      <c r="L21" s="1705"/>
      <c r="M21" s="1705"/>
      <c r="N21" s="1676"/>
      <c r="O21" s="1677"/>
      <c r="P21" s="1676"/>
      <c r="Q21" s="1676"/>
      <c r="R21" s="1676"/>
      <c r="S21" s="1676"/>
      <c r="T21" s="1676"/>
      <c r="U21" s="1676"/>
    </row>
    <row r="22" spans="1:21">
      <c r="A22" s="3092" t="s">
        <v>952</v>
      </c>
      <c r="B22" s="1643" t="s">
        <v>1961</v>
      </c>
      <c r="C22" s="1668">
        <f>'数据-汇总表'!D3</f>
        <v>153365</v>
      </c>
      <c r="D22" s="1669" t="s">
        <v>1960</v>
      </c>
      <c r="E22" s="3287" t="s">
        <v>2892</v>
      </c>
      <c r="F22" s="3288"/>
      <c r="G22" s="3288"/>
      <c r="H22" s="3288"/>
      <c r="I22" s="3289"/>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90" t="s">
        <v>1966</v>
      </c>
      <c r="C24" s="3291"/>
      <c r="D24" s="3292" t="s">
        <v>1967</v>
      </c>
      <c r="E24" s="3293"/>
      <c r="F24" s="1690" t="s">
        <v>1968</v>
      </c>
      <c r="G24" s="1676"/>
      <c r="H24" s="1676"/>
      <c r="I24" s="1689"/>
      <c r="J24" s="1676"/>
      <c r="K24" s="3278"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278"/>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278"/>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64" t="s">
        <v>2001</v>
      </c>
      <c r="B31" s="1746" t="s">
        <v>2002</v>
      </c>
      <c r="C31" s="3303"/>
      <c r="D31" s="3304"/>
      <c r="E31" s="1676"/>
      <c r="F31" s="1676"/>
      <c r="G31" s="1676"/>
      <c r="H31" s="1676"/>
      <c r="I31" s="1689"/>
      <c r="J31" s="1676"/>
      <c r="K31" s="2420"/>
      <c r="L31" s="1676"/>
      <c r="M31" s="1676"/>
      <c r="N31" s="1676"/>
      <c r="O31" s="1676"/>
      <c r="P31" s="1676"/>
      <c r="Q31" s="1676"/>
      <c r="R31" s="1676"/>
      <c r="S31" s="1676"/>
      <c r="T31" s="1676"/>
      <c r="U31" s="1676"/>
    </row>
    <row r="32" spans="1:21">
      <c r="A32" s="3264"/>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64"/>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65"/>
      <c r="B34" s="1643" t="s">
        <v>2005</v>
      </c>
      <c r="C34" s="3266"/>
      <c r="D34" s="3267"/>
      <c r="E34" s="1676"/>
      <c r="F34" s="1676"/>
      <c r="G34" s="1676"/>
      <c r="H34" s="1676"/>
      <c r="I34" s="1689"/>
      <c r="J34" s="1676"/>
      <c r="K34" s="2420"/>
      <c r="L34" s="1676"/>
      <c r="M34" s="1676"/>
      <c r="N34" s="1676"/>
      <c r="O34" s="1676"/>
      <c r="P34" s="1676"/>
      <c r="Q34" s="1676"/>
      <c r="R34" s="1676"/>
      <c r="S34" s="1676"/>
      <c r="T34" s="1676"/>
      <c r="U34" s="1676"/>
    </row>
    <row r="35" spans="1:21">
      <c r="A35" s="3268" t="s">
        <v>847</v>
      </c>
      <c r="B35" s="1704"/>
      <c r="C35" s="1758" t="str">
        <f>IF(B35="场地平整","——","具体情况：")</f>
        <v>具体情况：</v>
      </c>
      <c r="D35" s="3270"/>
      <c r="E35" s="3271"/>
      <c r="F35" s="3271"/>
      <c r="G35" s="3271"/>
      <c r="H35" s="3271"/>
      <c r="I35" s="3272"/>
      <c r="J35" s="1676"/>
      <c r="K35" s="1757"/>
      <c r="L35" s="1705"/>
      <c r="M35" s="1705"/>
      <c r="N35" s="1676"/>
      <c r="O35" s="1677"/>
      <c r="P35" s="1676"/>
      <c r="Q35" s="1676"/>
      <c r="R35" s="1676"/>
      <c r="S35" s="1676"/>
      <c r="T35" s="1676"/>
      <c r="U35" s="1676"/>
    </row>
    <row r="36" spans="1:21">
      <c r="A36" s="3264"/>
      <c r="B36" s="3273" t="s">
        <v>2054</v>
      </c>
      <c r="C36" s="3274"/>
      <c r="D36" s="1774"/>
      <c r="E36" s="3275"/>
      <c r="F36" s="3275"/>
      <c r="G36" s="1669" t="str">
        <f>IF(B35="场地未平整","估价结果处理","")</f>
        <v/>
      </c>
      <c r="H36" s="3276"/>
      <c r="I36" s="3276"/>
      <c r="J36" s="1676"/>
      <c r="K36" s="1757"/>
      <c r="L36" s="1705"/>
      <c r="M36" s="1705"/>
      <c r="N36" s="1676"/>
      <c r="O36" s="1677"/>
      <c r="P36" s="1676"/>
      <c r="Q36" s="1676"/>
      <c r="R36" s="1676"/>
      <c r="S36" s="1676"/>
      <c r="T36" s="1676"/>
      <c r="U36" s="1676"/>
    </row>
    <row r="37" spans="1:21" ht="28.5">
      <c r="A37" s="3264"/>
      <c r="B37" s="3294"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64"/>
      <c r="B38" s="3295"/>
      <c r="C38" s="1651" t="s">
        <v>850</v>
      </c>
      <c r="D38" s="1773">
        <f>ROUNDDOWN(MIN(('数据-取费表'!$B$2-D37)/365,D34),1)</f>
        <v>120</v>
      </c>
      <c r="E38" s="1709" t="s">
        <v>851</v>
      </c>
      <c r="F38" s="1676"/>
      <c r="G38" s="1676"/>
      <c r="H38" s="1676"/>
      <c r="I38" s="1689"/>
      <c r="J38" s="1676"/>
      <c r="K38" s="1757"/>
      <c r="L38" s="1676"/>
      <c r="M38" s="1676"/>
      <c r="N38" s="1676"/>
      <c r="O38" s="1676"/>
      <c r="P38" s="1676"/>
      <c r="Q38" s="1676"/>
      <c r="R38" s="1676"/>
      <c r="S38" s="1676"/>
      <c r="T38" s="1676"/>
      <c r="U38" s="1676"/>
    </row>
    <row r="39" spans="1:21">
      <c r="A39" s="3265"/>
      <c r="B39" s="3296"/>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t="s">
        <v>3162</v>
      </c>
      <c r="C40" s="1672" t="s">
        <v>3163</v>
      </c>
      <c r="D40" s="1672" t="s">
        <v>3164</v>
      </c>
      <c r="E40" s="1672" t="s">
        <v>3166</v>
      </c>
      <c r="F40" s="1672" t="s">
        <v>3165</v>
      </c>
      <c r="G40" s="1672" t="s">
        <v>3167</v>
      </c>
      <c r="H40" s="1672"/>
      <c r="I40" s="1689"/>
      <c r="J40" s="1676"/>
      <c r="K40" s="1712">
        <f>COUNTIF(B40:H40,"——")</f>
        <v>0</v>
      </c>
      <c r="L40" s="1681" t="s">
        <v>1978</v>
      </c>
      <c r="M40" s="1678" t="s">
        <v>1979</v>
      </c>
      <c r="N40" s="1678" t="s">
        <v>1980</v>
      </c>
      <c r="O40" s="1678" t="s">
        <v>1981</v>
      </c>
      <c r="P40" s="1678" t="s">
        <v>1982</v>
      </c>
      <c r="Q40" s="1678" t="s">
        <v>1983</v>
      </c>
      <c r="R40" s="1678" t="s">
        <v>1984</v>
      </c>
      <c r="S40" s="3277" t="s">
        <v>1985</v>
      </c>
      <c r="T40" s="1713" t="str">
        <f>NUMBERSTRING(7-K40,1)&amp;"通"</f>
        <v>七通</v>
      </c>
      <c r="U40" s="1676"/>
    </row>
    <row r="41" spans="1:21">
      <c r="A41" s="1645"/>
      <c r="B41" s="3269" t="s">
        <v>1721</v>
      </c>
      <c r="C41" s="3269"/>
      <c r="D41" s="3269"/>
      <c r="E41" s="3269"/>
      <c r="F41" s="1714" t="str">
        <f>C10</f>
        <v>湖北省</v>
      </c>
      <c r="G41" s="1676"/>
      <c r="H41" s="1676"/>
      <c r="I41" s="1689"/>
      <c r="J41" s="1676"/>
      <c r="K41" s="1681"/>
      <c r="L41" s="1678" t="str">
        <f>B40</f>
        <v>通路</v>
      </c>
      <c r="M41" s="1715" t="str">
        <f>B40&amp;"、"&amp;C40</f>
        <v>通路、通电</v>
      </c>
      <c r="N41" s="1716" t="str">
        <f>B40&amp;"、"&amp;C40&amp;"、"&amp;D40</f>
        <v>通路、通电、通讯</v>
      </c>
      <c r="O41" s="1716" t="str">
        <f>B40&amp;"、"&amp;C40&amp;"、"&amp;D40&amp;"、"&amp;E40</f>
        <v>通路、通电、通讯、通上水</v>
      </c>
      <c r="P41" s="1716" t="str">
        <f>B40&amp;"、"&amp;C40&amp;"、"&amp;D40&amp;"、"&amp;E40&amp;"、"&amp;F40</f>
        <v>通路、通电、通讯、通上水、通下水</v>
      </c>
      <c r="Q41" s="1716" t="str">
        <f>B40&amp;"、"&amp;C40&amp;"、"&amp;D40&amp;"、"&amp;E40&amp;"、"&amp;F40&amp;"、"&amp;G40</f>
        <v>通路、通电、通讯、通上水、通下水、燃气</v>
      </c>
      <c r="R41" s="1716" t="str">
        <f>B40&amp;"、"&amp;C40&amp;"、"&amp;D40&amp;"、"&amp;E40&amp;"、"&amp;F40&amp;"、"&amp;G40&amp;"、"&amp;H40</f>
        <v>通路、通电、通讯、通上水、通下水、燃气、</v>
      </c>
      <c r="S41" s="3277"/>
      <c r="T41" s="1715" t="str">
        <f>IF(T40="一通",L41,IF(T40="二通",M41,IF(T40="三通",N41,IF(T40="四通",O41,IF(T40="五通",P41,IF(T40="六通",Q41,R41))))))</f>
        <v>通路、通电、通讯、通上水、通下水、燃气、</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t="s">
        <v>1419</v>
      </c>
      <c r="C43" s="1720"/>
      <c r="D43" s="1720" t="s">
        <v>1419</v>
      </c>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t="s">
        <v>1185</v>
      </c>
      <c r="C44" s="1720"/>
      <c r="D44" s="1720" t="s">
        <v>1185</v>
      </c>
      <c r="E44" s="1774"/>
      <c r="F44" s="1721"/>
      <c r="G44" s="1676"/>
      <c r="H44" s="1676"/>
      <c r="I44" s="1689"/>
      <c r="J44" s="1676"/>
      <c r="K44" s="1756"/>
      <c r="L44" s="1705"/>
      <c r="M44" s="1705"/>
      <c r="N44" s="1676"/>
      <c r="O44" s="1677"/>
      <c r="P44" s="1676"/>
      <c r="Q44" s="1676"/>
      <c r="R44" s="1676"/>
      <c r="S44" s="1676"/>
      <c r="T44" s="1676"/>
      <c r="U44" s="1676"/>
    </row>
    <row r="45" spans="1:21" s="3019" customFormat="1" ht="21" thickBot="1">
      <c r="A45" s="3020" t="s">
        <v>2893</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workbookViewId="0">
      <selection activeCell="G23" sqref="G23"/>
    </sheetView>
  </sheetViews>
  <sheetFormatPr defaultRowHeight="13.5"/>
  <cols>
    <col min="1" max="1" width="19.625" style="3206" bestFit="1" customWidth="1"/>
    <col min="2" max="2" width="16.5" style="3206" bestFit="1" customWidth="1"/>
    <col min="3" max="3" width="17.625" style="3206" bestFit="1" customWidth="1"/>
    <col min="4" max="4" width="15.75" style="3206" bestFit="1" customWidth="1"/>
    <col min="5" max="6" width="9" style="3206"/>
    <col min="7" max="7" width="17.375" style="3206" bestFit="1" customWidth="1"/>
    <col min="8" max="8" width="14.375" style="3206" bestFit="1" customWidth="1"/>
    <col min="9" max="9" width="13.625" style="3206" customWidth="1"/>
    <col min="10" max="16384" width="9" style="3206"/>
  </cols>
  <sheetData>
    <row r="1" spans="1:9" ht="14.25">
      <c r="A1" s="3205" t="s">
        <v>3137</v>
      </c>
      <c r="B1" s="3205" t="s">
        <v>3156</v>
      </c>
      <c r="C1" s="3205" t="s">
        <v>3157</v>
      </c>
      <c r="D1" s="3205" t="s">
        <v>24</v>
      </c>
      <c r="E1" s="3205" t="s">
        <v>3138</v>
      </c>
    </row>
    <row r="2" spans="1:9" ht="42.75">
      <c r="A2" s="3205" t="s">
        <v>3158</v>
      </c>
      <c r="B2" s="3207" t="s">
        <v>3159</v>
      </c>
      <c r="C2" s="3207" t="s">
        <v>3160</v>
      </c>
      <c r="D2" s="3207"/>
      <c r="E2" s="3205"/>
    </row>
    <row r="3" spans="1:9" ht="14.25">
      <c r="A3" s="3208" t="s">
        <v>3139</v>
      </c>
      <c r="B3" s="3209">
        <v>41047.120999999999</v>
      </c>
      <c r="C3" s="3210">
        <v>44357.279999999999</v>
      </c>
      <c r="D3" s="3211">
        <f>B3+C3</f>
        <v>85404.400999999998</v>
      </c>
      <c r="E3" s="3212"/>
      <c r="H3" s="3206" t="str">
        <f>B1</f>
        <v>6001地块(西）</v>
      </c>
      <c r="I3" s="3206" t="str">
        <f>C1</f>
        <v>6002地块（东）</v>
      </c>
    </row>
    <row r="4" spans="1:9" ht="14.25">
      <c r="A4" s="3208" t="s">
        <v>2032</v>
      </c>
      <c r="B4" s="3213">
        <v>2</v>
      </c>
      <c r="C4" s="3213">
        <v>2</v>
      </c>
      <c r="D4" s="3214">
        <v>2</v>
      </c>
      <c r="E4" s="3212"/>
      <c r="G4" s="3215" t="str">
        <f>A3</f>
        <v>用地面积</v>
      </c>
      <c r="H4" s="3216">
        <f>B3</f>
        <v>41047.120999999999</v>
      </c>
      <c r="I4" s="3216">
        <f>C3</f>
        <v>44357.279999999999</v>
      </c>
    </row>
    <row r="5" spans="1:9" ht="14.25">
      <c r="A5" s="3208" t="s">
        <v>3140</v>
      </c>
      <c r="B5" s="3209">
        <f>B6+B14</f>
        <v>120351.35999999999</v>
      </c>
      <c r="C5" s="3209">
        <f>C6+C14</f>
        <v>129917.92</v>
      </c>
      <c r="D5" s="3211">
        <f>B5+C5</f>
        <v>250269.27999999997</v>
      </c>
      <c r="E5" s="3212"/>
      <c r="G5" s="3217" t="s">
        <v>3141</v>
      </c>
      <c r="H5" s="3216">
        <f>B6</f>
        <v>82093.999999999985</v>
      </c>
      <c r="I5" s="3216">
        <f>C6</f>
        <v>88715</v>
      </c>
    </row>
    <row r="6" spans="1:9" ht="14.25">
      <c r="A6" s="3217" t="s">
        <v>3141</v>
      </c>
      <c r="B6" s="3209">
        <f>SUM(B7:B13)</f>
        <v>82093.999999999985</v>
      </c>
      <c r="C6" s="3209">
        <f>SUM(C7:C13)</f>
        <v>88715</v>
      </c>
      <c r="D6" s="3211">
        <f>B6+C6</f>
        <v>170809</v>
      </c>
      <c r="E6" s="3215"/>
      <c r="G6" s="3218" t="s">
        <v>3142</v>
      </c>
      <c r="H6" s="3216">
        <f>B7</f>
        <v>77447.62</v>
      </c>
      <c r="I6" s="3216">
        <f>C7</f>
        <v>87555.9</v>
      </c>
    </row>
    <row r="7" spans="1:9" ht="14.25">
      <c r="A7" s="3219" t="s">
        <v>3142</v>
      </c>
      <c r="B7" s="3220">
        <v>77447.62</v>
      </c>
      <c r="C7" s="3220">
        <v>87555.9</v>
      </c>
      <c r="D7" s="3211">
        <f>B7+C7</f>
        <v>165003.51999999999</v>
      </c>
      <c r="E7" s="3215"/>
      <c r="G7" s="3221" t="s">
        <v>3143</v>
      </c>
      <c r="H7" s="3216">
        <f t="shared" ref="H7:H12" si="0">B8</f>
        <v>3300</v>
      </c>
      <c r="I7" s="3216">
        <f t="shared" ref="I7:I12" si="1">C8</f>
        <v>0</v>
      </c>
    </row>
    <row r="8" spans="1:9" ht="14.25">
      <c r="A8" s="3222" t="s">
        <v>3143</v>
      </c>
      <c r="B8" s="3223">
        <v>3300</v>
      </c>
      <c r="C8" s="3220"/>
      <c r="D8" s="3211">
        <f>B8+C8</f>
        <v>3300</v>
      </c>
      <c r="E8" s="3215"/>
      <c r="G8" s="3221" t="s">
        <v>3144</v>
      </c>
      <c r="H8" s="3216">
        <f t="shared" si="0"/>
        <v>1154.46</v>
      </c>
      <c r="I8" s="3216">
        <f t="shared" si="1"/>
        <v>1032.77</v>
      </c>
    </row>
    <row r="9" spans="1:9" ht="14.25">
      <c r="A9" s="3222" t="s">
        <v>3144</v>
      </c>
      <c r="B9" s="3223">
        <v>1154.46</v>
      </c>
      <c r="C9" s="3220">
        <v>1032.77</v>
      </c>
      <c r="D9" s="3220">
        <v>2187.23</v>
      </c>
      <c r="E9" s="3215"/>
      <c r="G9" s="3221" t="s">
        <v>3145</v>
      </c>
      <c r="H9" s="3216">
        <f t="shared" si="0"/>
        <v>11.93</v>
      </c>
      <c r="I9" s="3216">
        <f t="shared" si="1"/>
        <v>0</v>
      </c>
    </row>
    <row r="10" spans="1:9" ht="14.25">
      <c r="A10" s="3222" t="s">
        <v>3145</v>
      </c>
      <c r="B10" s="3223">
        <v>11.93</v>
      </c>
      <c r="C10" s="3220"/>
      <c r="D10" s="3220">
        <v>11.93</v>
      </c>
      <c r="E10" s="3215"/>
      <c r="G10" s="3221" t="s">
        <v>3146</v>
      </c>
      <c r="H10" s="3216">
        <f t="shared" si="0"/>
        <v>52.23</v>
      </c>
      <c r="I10" s="3216">
        <f t="shared" si="1"/>
        <v>47.72</v>
      </c>
    </row>
    <row r="11" spans="1:9" ht="14.25">
      <c r="A11" s="3222" t="s">
        <v>3146</v>
      </c>
      <c r="B11" s="3223">
        <v>52.23</v>
      </c>
      <c r="C11" s="3220">
        <v>47.72</v>
      </c>
      <c r="D11" s="3211">
        <f t="shared" ref="D11:D22" si="2">B11+C11</f>
        <v>99.949999999999989</v>
      </c>
      <c r="E11" s="3215"/>
      <c r="G11" s="3221" t="s">
        <v>3147</v>
      </c>
      <c r="H11" s="3216">
        <f t="shared" si="0"/>
        <v>127.76</v>
      </c>
      <c r="I11" s="3216">
        <f t="shared" si="1"/>
        <v>78.61</v>
      </c>
    </row>
    <row r="12" spans="1:9" ht="14.25">
      <c r="A12" s="3222" t="s">
        <v>3147</v>
      </c>
      <c r="B12" s="3220">
        <v>127.76</v>
      </c>
      <c r="C12" s="3220">
        <v>78.61</v>
      </c>
      <c r="D12" s="3211">
        <f t="shared" si="2"/>
        <v>206.37</v>
      </c>
      <c r="E12" s="3215"/>
      <c r="G12" s="3221" t="s">
        <v>3148</v>
      </c>
      <c r="H12" s="3216">
        <f t="shared" si="0"/>
        <v>0</v>
      </c>
      <c r="I12" s="3216">
        <f t="shared" si="1"/>
        <v>0</v>
      </c>
    </row>
    <row r="13" spans="1:9" ht="14.25">
      <c r="A13" s="3224" t="s">
        <v>3148</v>
      </c>
      <c r="B13" s="3220"/>
      <c r="C13" s="3220"/>
      <c r="D13" s="3211">
        <f t="shared" si="2"/>
        <v>0</v>
      </c>
      <c r="E13" s="3215"/>
      <c r="G13" s="3221"/>
      <c r="H13" s="3216"/>
      <c r="I13" s="3216"/>
    </row>
    <row r="14" spans="1:9" ht="14.25">
      <c r="A14" s="3225" t="s">
        <v>3149</v>
      </c>
      <c r="B14" s="3209">
        <f>SUM(B15:B18)</f>
        <v>38257.360000000001</v>
      </c>
      <c r="C14" s="3209">
        <f>SUM(C15:C18)</f>
        <v>41202.92</v>
      </c>
      <c r="D14" s="3211">
        <f t="shared" si="2"/>
        <v>79460.28</v>
      </c>
      <c r="E14" s="3215"/>
      <c r="G14" s="3217" t="s">
        <v>3149</v>
      </c>
      <c r="H14" s="3216">
        <f>B14</f>
        <v>38257.360000000001</v>
      </c>
      <c r="I14" s="3216">
        <f>C14</f>
        <v>41202.92</v>
      </c>
    </row>
    <row r="15" spans="1:9" ht="14.25">
      <c r="A15" s="3227" t="s">
        <v>3150</v>
      </c>
      <c r="B15" s="3220">
        <v>1569.69</v>
      </c>
      <c r="C15" s="3220">
        <v>1706.34</v>
      </c>
      <c r="D15" s="3211">
        <f t="shared" si="2"/>
        <v>3276.0299999999997</v>
      </c>
      <c r="E15" s="3215"/>
      <c r="G15" s="3226" t="s">
        <v>3150</v>
      </c>
      <c r="H15" s="3216">
        <f t="shared" ref="H15:H18" si="3">B15</f>
        <v>1569.69</v>
      </c>
      <c r="I15" s="3216">
        <f t="shared" ref="I15:I18" si="4">C15</f>
        <v>1706.34</v>
      </c>
    </row>
    <row r="16" spans="1:9" ht="14.25">
      <c r="A16" s="3227" t="s">
        <v>3151</v>
      </c>
      <c r="B16" s="3220">
        <v>22959</v>
      </c>
      <c r="C16" s="3220">
        <v>23316.81</v>
      </c>
      <c r="D16" s="3211">
        <f t="shared" si="2"/>
        <v>46275.81</v>
      </c>
      <c r="E16" s="3215"/>
      <c r="G16" s="3226" t="s">
        <v>3151</v>
      </c>
      <c r="H16" s="3216">
        <f t="shared" si="3"/>
        <v>22959</v>
      </c>
      <c r="I16" s="3216">
        <f t="shared" si="4"/>
        <v>23316.81</v>
      </c>
    </row>
    <row r="17" spans="1:9" ht="14.25">
      <c r="A17" s="3227" t="s">
        <v>3146</v>
      </c>
      <c r="B17" s="3220">
        <v>12729.67</v>
      </c>
      <c r="C17" s="3220">
        <v>15258.77</v>
      </c>
      <c r="D17" s="3211">
        <f t="shared" si="2"/>
        <v>27988.440000000002</v>
      </c>
      <c r="E17" s="3215"/>
      <c r="G17" s="3226" t="s">
        <v>3146</v>
      </c>
      <c r="H17" s="3216">
        <f t="shared" si="3"/>
        <v>12729.67</v>
      </c>
      <c r="I17" s="3216">
        <f t="shared" si="4"/>
        <v>15258.77</v>
      </c>
    </row>
    <row r="18" spans="1:9" ht="14.25">
      <c r="A18" s="3227" t="s">
        <v>3143</v>
      </c>
      <c r="B18" s="3220">
        <v>999</v>
      </c>
      <c r="C18" s="3220">
        <v>921</v>
      </c>
      <c r="D18" s="3211">
        <f t="shared" si="2"/>
        <v>1920</v>
      </c>
      <c r="E18" s="3215"/>
      <c r="G18" s="3226" t="s">
        <v>3143</v>
      </c>
      <c r="H18" s="3216">
        <f t="shared" si="3"/>
        <v>999</v>
      </c>
      <c r="I18" s="3216">
        <f t="shared" si="4"/>
        <v>921</v>
      </c>
    </row>
    <row r="19" spans="1:9" ht="14.25">
      <c r="A19" s="3228" t="s">
        <v>3152</v>
      </c>
      <c r="B19" s="3229">
        <f>SUM(B20:B21)</f>
        <v>100406.62</v>
      </c>
      <c r="C19" s="3229">
        <f>SUM(C20:C21)</f>
        <v>110872.70999999999</v>
      </c>
      <c r="D19" s="3211">
        <f>B19+C19</f>
        <v>211279.33</v>
      </c>
      <c r="E19" s="3215"/>
      <c r="G19" s="3215"/>
      <c r="H19" s="3216"/>
      <c r="I19" s="3216"/>
    </row>
    <row r="20" spans="1:9" ht="14.25">
      <c r="A20" s="3219" t="s">
        <v>3153</v>
      </c>
      <c r="B20" s="3230">
        <v>77447.62</v>
      </c>
      <c r="C20" s="3220">
        <v>87555.9</v>
      </c>
      <c r="D20" s="3211">
        <f t="shared" si="2"/>
        <v>165003.51999999999</v>
      </c>
      <c r="E20" s="3215"/>
      <c r="G20" s="3215" t="s">
        <v>3169</v>
      </c>
      <c r="H20" s="3216">
        <f>H5+H14</f>
        <v>120351.35999999999</v>
      </c>
      <c r="I20" s="3216">
        <f>I5+I14</f>
        <v>129917.92</v>
      </c>
    </row>
    <row r="21" spans="1:9" ht="14.25">
      <c r="A21" s="3226" t="s">
        <v>35</v>
      </c>
      <c r="B21" s="3230">
        <v>22959</v>
      </c>
      <c r="C21" s="3220">
        <v>23316.81</v>
      </c>
      <c r="D21" s="3211">
        <f t="shared" si="2"/>
        <v>46275.81</v>
      </c>
      <c r="E21" s="3215"/>
      <c r="H21" s="3232">
        <f>H20-B5</f>
        <v>0</v>
      </c>
      <c r="I21" s="3232">
        <f>I20-C5</f>
        <v>0</v>
      </c>
    </row>
    <row r="22" spans="1:9" ht="14.25">
      <c r="A22" s="3228" t="s">
        <v>3154</v>
      </c>
      <c r="B22" s="3231" t="s">
        <v>3155</v>
      </c>
      <c r="C22" s="3231">
        <v>1341</v>
      </c>
      <c r="D22" s="3211">
        <f t="shared" si="2"/>
        <v>2527</v>
      </c>
      <c r="E22" s="3215"/>
    </row>
    <row r="49" spans="1:4" ht="93.75" customHeight="1">
      <c r="A49" s="3305" t="s">
        <v>3168</v>
      </c>
      <c r="B49" s="3305"/>
      <c r="C49" s="3305"/>
      <c r="D49" s="3305"/>
    </row>
  </sheetData>
  <mergeCells count="1">
    <mergeCell ref="A49:D49"/>
  </mergeCells>
  <phoneticPr fontId="229"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0.375" style="15" customWidth="1"/>
    <col min="3" max="3" width="12.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153365</v>
      </c>
      <c r="B3" s="22">
        <f>IF(C3="否",G5-AT5,G5)</f>
        <v>508675</v>
      </c>
      <c r="C3" s="23" t="s">
        <v>3045</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508675</v>
      </c>
      <c r="H5" s="27">
        <f t="shared" ref="H5:AT5" si="0">SUM(H13:H641)</f>
        <v>505975</v>
      </c>
      <c r="I5" s="27">
        <f t="shared" si="0"/>
        <v>392610</v>
      </c>
      <c r="J5" s="27">
        <f t="shared" si="0"/>
        <v>0</v>
      </c>
      <c r="K5" s="27">
        <f t="shared" si="0"/>
        <v>0</v>
      </c>
      <c r="L5" s="27">
        <f t="shared" si="0"/>
        <v>0</v>
      </c>
      <c r="M5" s="27">
        <f t="shared" si="0"/>
        <v>9450</v>
      </c>
      <c r="N5" s="27">
        <f t="shared" si="0"/>
        <v>0</v>
      </c>
      <c r="O5" s="27">
        <f t="shared" si="0"/>
        <v>103915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2700</v>
      </c>
      <c r="AD5" s="27">
        <f t="shared" si="0"/>
        <v>0</v>
      </c>
      <c r="AE5" s="27">
        <f t="shared" si="0"/>
        <v>0</v>
      </c>
      <c r="AF5" s="27">
        <f t="shared" si="0"/>
        <v>0</v>
      </c>
      <c r="AG5" s="27">
        <f t="shared" si="0"/>
        <v>0</v>
      </c>
      <c r="AH5" s="27">
        <f t="shared" si="0"/>
        <v>0</v>
      </c>
      <c r="AI5" s="27">
        <f t="shared" si="0"/>
        <v>0</v>
      </c>
      <c r="AJ5" s="27">
        <f t="shared" si="0"/>
        <v>0</v>
      </c>
      <c r="AK5" s="27">
        <f t="shared" si="0"/>
        <v>0</v>
      </c>
      <c r="AL5" s="27">
        <f t="shared" si="0"/>
        <v>2700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508675</v>
      </c>
      <c r="BA5" s="29">
        <f t="shared" si="1"/>
        <v>505975</v>
      </c>
      <c r="BB5" s="29">
        <f t="shared" si="1"/>
        <v>392610</v>
      </c>
      <c r="BC5" s="29">
        <f t="shared" si="1"/>
        <v>0</v>
      </c>
      <c r="BD5" s="29">
        <f t="shared" si="1"/>
        <v>9450</v>
      </c>
      <c r="BE5" s="29">
        <f t="shared" si="1"/>
        <v>103915</v>
      </c>
      <c r="BF5" s="29">
        <f t="shared" si="1"/>
        <v>0</v>
      </c>
      <c r="BG5" s="29">
        <f t="shared" si="1"/>
        <v>0</v>
      </c>
      <c r="BH5" s="29">
        <f t="shared" si="1"/>
        <v>0</v>
      </c>
      <c r="BI5" s="29">
        <f t="shared" si="1"/>
        <v>0</v>
      </c>
      <c r="BJ5" s="29">
        <f t="shared" si="1"/>
        <v>0</v>
      </c>
      <c r="BK5" s="29">
        <f t="shared" si="1"/>
        <v>0</v>
      </c>
      <c r="BL5" s="29">
        <f t="shared" si="1"/>
        <v>2700</v>
      </c>
      <c r="BM5" s="29">
        <f t="shared" si="1"/>
        <v>0</v>
      </c>
      <c r="BN5" s="29">
        <f t="shared" si="1"/>
        <v>0</v>
      </c>
      <c r="BO5" s="29">
        <f t="shared" si="1"/>
        <v>0</v>
      </c>
      <c r="BP5" s="29">
        <f t="shared" si="1"/>
        <v>0</v>
      </c>
      <c r="BQ5" s="29">
        <f t="shared" si="1"/>
        <v>2700</v>
      </c>
      <c r="BR5" s="29">
        <f t="shared" si="1"/>
        <v>0</v>
      </c>
      <c r="BS5" s="29">
        <f t="shared" si="1"/>
        <v>0</v>
      </c>
      <c r="BT5" s="30">
        <f t="shared" si="1"/>
        <v>0</v>
      </c>
    </row>
    <row r="6" spans="1:72" s="37" customFormat="1" ht="12.75">
      <c r="A6" s="26" t="s">
        <v>169</v>
      </c>
      <c r="B6" s="31"/>
      <c r="C6" s="31"/>
      <c r="D6" s="32"/>
      <c r="E6" s="27">
        <f>H6+AC6+AT6</f>
        <v>153365.00999999998</v>
      </c>
      <c r="F6" s="27" t="s">
        <v>1</v>
      </c>
      <c r="G6" s="27" t="s">
        <v>2</v>
      </c>
      <c r="H6" s="33">
        <f>SUMIF(I$12:AB$12,"总值",I6:AB6)</f>
        <v>152550.96</v>
      </c>
      <c r="I6" s="27">
        <f t="shared" ref="I6:AB6" si="2">ROUND($A$3*I5/$B$3,2)</f>
        <v>118371.52</v>
      </c>
      <c r="J6" s="27">
        <f t="shared" si="2"/>
        <v>0</v>
      </c>
      <c r="K6" s="27">
        <f t="shared" si="2"/>
        <v>0</v>
      </c>
      <c r="L6" s="27">
        <f t="shared" si="2"/>
        <v>0</v>
      </c>
      <c r="M6" s="27">
        <f t="shared" si="2"/>
        <v>2849.17</v>
      </c>
      <c r="N6" s="27">
        <f t="shared" si="2"/>
        <v>0</v>
      </c>
      <c r="O6" s="27">
        <f t="shared" si="2"/>
        <v>31330.27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814.05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814.05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153365</v>
      </c>
      <c r="AZ6" s="27" t="s">
        <v>3</v>
      </c>
      <c r="BA6" s="27">
        <f>ROUND($AY$6*BA5/$AZ$5,2)</f>
        <v>152550.95000000001</v>
      </c>
      <c r="BB6" s="27">
        <f>ROUND($AY$6*BB5/$AZ$5,2)</f>
        <v>118371.52</v>
      </c>
      <c r="BC6" s="27">
        <f t="shared" ref="BC6:BH6" si="4">ROUND($AY$6*BC5/$AZ$5,2)</f>
        <v>0</v>
      </c>
      <c r="BD6" s="27">
        <f t="shared" si="4"/>
        <v>2849.17</v>
      </c>
      <c r="BE6" s="27">
        <f t="shared" si="4"/>
        <v>31330.27</v>
      </c>
      <c r="BF6" s="27">
        <f t="shared" si="4"/>
        <v>0</v>
      </c>
      <c r="BG6" s="27">
        <f t="shared" si="4"/>
        <v>0</v>
      </c>
      <c r="BH6" s="27">
        <f t="shared" si="4"/>
        <v>0</v>
      </c>
      <c r="BI6" s="27">
        <f t="shared" ref="BI6:BT6" si="5">ROUND($AY$6*BI5/$AZ$5,2)</f>
        <v>0</v>
      </c>
      <c r="BJ6" s="27">
        <f t="shared" si="5"/>
        <v>0</v>
      </c>
      <c r="BK6" s="27">
        <f t="shared" si="5"/>
        <v>0</v>
      </c>
      <c r="BL6" s="27">
        <f t="shared" si="5"/>
        <v>814.05</v>
      </c>
      <c r="BM6" s="27">
        <f t="shared" si="5"/>
        <v>0</v>
      </c>
      <c r="BN6" s="27">
        <f t="shared" si="5"/>
        <v>0</v>
      </c>
      <c r="BO6" s="27">
        <f t="shared" si="5"/>
        <v>0</v>
      </c>
      <c r="BP6" s="27">
        <f t="shared" si="5"/>
        <v>0</v>
      </c>
      <c r="BQ6" s="27">
        <f t="shared" si="5"/>
        <v>814.05</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7" t="s">
        <v>3005</v>
      </c>
      <c r="J9" s="51"/>
      <c r="K9" s="2967" t="s">
        <v>3005</v>
      </c>
      <c r="L9" s="51"/>
      <c r="M9" s="2967" t="s">
        <v>3005</v>
      </c>
      <c r="N9" s="51"/>
      <c r="O9" s="59" t="s">
        <v>3009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7" t="s">
        <v>923</v>
      </c>
      <c r="J10" s="51"/>
      <c r="K10" s="2969" t="s">
        <v>1677</v>
      </c>
      <c r="L10" s="51"/>
      <c r="M10" s="2969" t="s">
        <v>3004</v>
      </c>
      <c r="N10" s="51"/>
      <c r="O10" s="66" t="s">
        <v>3010</v>
      </c>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8" t="s">
        <v>3006</v>
      </c>
      <c r="J11" s="71"/>
      <c r="K11" s="2968" t="s">
        <v>3007</v>
      </c>
      <c r="L11" s="71"/>
      <c r="M11" s="70" t="s">
        <v>3008</v>
      </c>
      <c r="N11" s="71"/>
      <c r="O11" s="70" t="s">
        <v>3010</v>
      </c>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办公</v>
      </c>
      <c r="BD11" s="50" t="str">
        <f>M10</f>
        <v>商业</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LOFT住宅</v>
      </c>
      <c r="BD12" s="79" t="str">
        <f>M11</f>
        <v>底商</v>
      </c>
      <c r="BE12" s="50" t="str">
        <f>O11</f>
        <v>车库</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5" customHeight="1">
      <c r="A13" s="3234">
        <v>404760</v>
      </c>
      <c r="B13" s="2964"/>
      <c r="C13" s="3178" t="s">
        <v>3174</v>
      </c>
      <c r="D13" s="2965" t="s">
        <v>1678</v>
      </c>
      <c r="E13" s="27">
        <f t="shared" ref="E13:E20" si="6">IF($C$3="是",ROUND($A$3*G13/$B$3,2),ROUND($A$3*(G13-AT13)/$B$3,2))</f>
        <v>118371.52</v>
      </c>
      <c r="F13" s="81"/>
      <c r="G13" s="82">
        <f t="shared" ref="G13:G20" si="7">H13+AC13+AT13</f>
        <v>392610</v>
      </c>
      <c r="H13" s="33">
        <f t="shared" ref="H13:H20" si="8">SUMIF(I$12:AB$12,"总值",I13:AB13)</f>
        <v>392610</v>
      </c>
      <c r="I13" s="2966">
        <v>392610</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404760</v>
      </c>
      <c r="AW13" s="17">
        <f t="shared" si="10"/>
        <v>0</v>
      </c>
      <c r="AX13" s="17" t="str">
        <f t="shared" si="10"/>
        <v>住宅</v>
      </c>
      <c r="AY13" s="995">
        <f t="shared" ref="AY13:AY20" si="11">ROUND($AY$6*AZ13/$AZ$5,2)</f>
        <v>118371.52</v>
      </c>
      <c r="AZ13" s="27">
        <f t="shared" ref="AZ13:AZ20" si="12">BA13+BL13</f>
        <v>392610</v>
      </c>
      <c r="BA13" s="27">
        <f t="shared" ref="BA13:BA20" si="13">SUM(BB13:BK13)</f>
        <v>392610</v>
      </c>
      <c r="BB13" s="27">
        <f t="shared" ref="BB13:BB20" si="14">IF($D13="是",I13-J13,0)</f>
        <v>392610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5" customHeight="1">
      <c r="A14" s="2964"/>
      <c r="B14" s="2964"/>
      <c r="C14" s="3178" t="s">
        <v>3175</v>
      </c>
      <c r="D14" s="2965" t="s">
        <v>1678</v>
      </c>
      <c r="E14" s="27">
        <f t="shared" si="6"/>
        <v>2849.17</v>
      </c>
      <c r="F14" s="81"/>
      <c r="G14" s="82">
        <f t="shared" si="7"/>
        <v>9450</v>
      </c>
      <c r="H14" s="33">
        <f t="shared" si="8"/>
        <v>9450</v>
      </c>
      <c r="I14" s="2966"/>
      <c r="J14" s="2966"/>
      <c r="K14" s="2966"/>
      <c r="L14" s="2966"/>
      <c r="M14" s="2966">
        <v>9450</v>
      </c>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t="str">
        <f t="shared" si="10"/>
        <v>商业</v>
      </c>
      <c r="AY14" s="995">
        <f t="shared" si="11"/>
        <v>2849.17</v>
      </c>
      <c r="AZ14" s="27">
        <f t="shared" si="12"/>
        <v>9450</v>
      </c>
      <c r="BA14" s="27">
        <f t="shared" si="13"/>
        <v>9450</v>
      </c>
      <c r="BB14" s="27">
        <f t="shared" si="14"/>
        <v>0</v>
      </c>
      <c r="BC14" s="27">
        <f t="shared" si="15"/>
        <v>0</v>
      </c>
      <c r="BD14" s="27">
        <f t="shared" si="16"/>
        <v>9450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v>2969</v>
      </c>
      <c r="B15" s="2964"/>
      <c r="C15" s="3178" t="s">
        <v>3176</v>
      </c>
      <c r="D15" s="2965" t="s">
        <v>1678</v>
      </c>
      <c r="E15" s="27">
        <f t="shared" si="6"/>
        <v>31330.27</v>
      </c>
      <c r="F15" s="81"/>
      <c r="G15" s="82">
        <f t="shared" si="7"/>
        <v>103915</v>
      </c>
      <c r="H15" s="33">
        <f t="shared" si="8"/>
        <v>103915</v>
      </c>
      <c r="I15" s="2966"/>
      <c r="J15" s="2966"/>
      <c r="K15" s="2966"/>
      <c r="L15" s="2966"/>
      <c r="M15" s="2966"/>
      <c r="N15" s="83"/>
      <c r="O15" s="83">
        <f>A15*35</f>
        <v>103915</v>
      </c>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2969</v>
      </c>
      <c r="AW15" s="17">
        <f t="shared" si="10"/>
        <v>0</v>
      </c>
      <c r="AX15" s="17" t="str">
        <f t="shared" si="10"/>
        <v>车位</v>
      </c>
      <c r="AY15" s="995">
        <f t="shared" si="11"/>
        <v>31330.27</v>
      </c>
      <c r="AZ15" s="27">
        <f t="shared" si="12"/>
        <v>103915</v>
      </c>
      <c r="BA15" s="27">
        <f t="shared" si="13"/>
        <v>103915</v>
      </c>
      <c r="BB15" s="27">
        <f t="shared" si="14"/>
        <v>0</v>
      </c>
      <c r="BC15" s="27">
        <f t="shared" si="15"/>
        <v>0</v>
      </c>
      <c r="BD15" s="27">
        <f t="shared" si="16"/>
        <v>0</v>
      </c>
      <c r="BE15" s="27">
        <f t="shared" si="17"/>
        <v>103915</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4.25" customHeight="1">
      <c r="A16" s="2964"/>
      <c r="B16" s="2964"/>
      <c r="C16" s="3178" t="s">
        <v>3177</v>
      </c>
      <c r="D16" s="2965" t="s">
        <v>1678</v>
      </c>
      <c r="E16" s="27">
        <f t="shared" si="6"/>
        <v>814.05</v>
      </c>
      <c r="F16" s="81"/>
      <c r="G16" s="82">
        <f t="shared" si="7"/>
        <v>2700</v>
      </c>
      <c r="H16" s="33">
        <f t="shared" si="8"/>
        <v>0</v>
      </c>
      <c r="I16" s="2966"/>
      <c r="J16" s="2966"/>
      <c r="K16" s="2966"/>
      <c r="L16" s="2966"/>
      <c r="M16" s="2966"/>
      <c r="N16" s="83"/>
      <c r="O16" s="2966"/>
      <c r="P16" s="83"/>
      <c r="Q16" s="83"/>
      <c r="R16" s="83"/>
      <c r="S16" s="83"/>
      <c r="T16" s="83"/>
      <c r="U16" s="83"/>
      <c r="V16" s="83"/>
      <c r="W16" s="83"/>
      <c r="X16" s="83"/>
      <c r="Y16" s="83"/>
      <c r="Z16" s="83"/>
      <c r="AA16" s="83"/>
      <c r="AB16" s="83"/>
      <c r="AC16" s="27">
        <f t="shared" si="9"/>
        <v>2700</v>
      </c>
      <c r="AD16" s="2970"/>
      <c r="AE16" s="2970"/>
      <c r="AF16" s="2970"/>
      <c r="AG16" s="2970"/>
      <c r="AH16" s="2970"/>
      <c r="AI16" s="2970"/>
      <c r="AJ16" s="2970"/>
      <c r="AK16" s="2970"/>
      <c r="AL16" s="2970">
        <f>A13-I13-M14</f>
        <v>2700</v>
      </c>
      <c r="AM16" s="2970"/>
      <c r="AN16" s="2970"/>
      <c r="AO16" s="2970"/>
      <c r="AP16" s="2970"/>
      <c r="AQ16" s="2970"/>
      <c r="AR16" s="2970"/>
      <c r="AS16" s="2970"/>
      <c r="AT16" s="2971"/>
      <c r="AU16" s="2972"/>
      <c r="AV16" s="17">
        <f t="shared" si="10"/>
        <v>0</v>
      </c>
      <c r="AW16" s="17">
        <f t="shared" si="10"/>
        <v>0</v>
      </c>
      <c r="AX16" s="17" t="str">
        <f t="shared" si="10"/>
        <v>其他</v>
      </c>
      <c r="AY16" s="995">
        <f t="shared" si="11"/>
        <v>814.05</v>
      </c>
      <c r="AZ16" s="27">
        <f t="shared" si="12"/>
        <v>2700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2700</v>
      </c>
      <c r="BM16" s="27">
        <f t="shared" si="25"/>
        <v>0</v>
      </c>
      <c r="BN16" s="27">
        <f t="shared" si="26"/>
        <v>0</v>
      </c>
      <c r="BO16" s="27">
        <f t="shared" si="27"/>
        <v>0</v>
      </c>
      <c r="BP16" s="27">
        <f t="shared" si="28"/>
        <v>0</v>
      </c>
      <c r="BQ16" s="27">
        <f t="shared" si="29"/>
        <v>2700</v>
      </c>
      <c r="BR16" s="27">
        <f t="shared" si="30"/>
        <v>0</v>
      </c>
      <c r="BS16" s="27">
        <f t="shared" si="31"/>
        <v>0</v>
      </c>
      <c r="BT16" s="36">
        <f t="shared" si="32"/>
        <v>0</v>
      </c>
    </row>
    <row r="17" spans="1:72" s="18" customFormat="1" ht="12.75">
      <c r="A17" s="2964"/>
      <c r="B17" s="2964"/>
      <c r="C17" s="3178"/>
      <c r="D17" s="2965"/>
      <c r="E17" s="27">
        <f t="shared" si="6"/>
        <v>0</v>
      </c>
      <c r="F17" s="81"/>
      <c r="G17" s="82">
        <f t="shared" si="7"/>
        <v>0</v>
      </c>
      <c r="H17" s="33">
        <f t="shared" si="8"/>
        <v>0</v>
      </c>
      <c r="I17" s="2966"/>
      <c r="J17" s="2966"/>
      <c r="K17" s="2966"/>
      <c r="L17" s="2966"/>
      <c r="M17" s="2966"/>
      <c r="N17" s="83"/>
      <c r="O17" s="2966"/>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78"/>
      <c r="D18" s="2965"/>
      <c r="E18" s="87">
        <f t="shared" si="6"/>
        <v>0</v>
      </c>
      <c r="F18" s="88"/>
      <c r="G18" s="89">
        <f t="shared" si="7"/>
        <v>0</v>
      </c>
      <c r="H18" s="90">
        <f t="shared" si="8"/>
        <v>0</v>
      </c>
      <c r="I18" s="1389"/>
      <c r="J18" s="91"/>
      <c r="K18" s="1389"/>
      <c r="L18" s="91"/>
      <c r="M18" s="91"/>
      <c r="N18" s="91"/>
      <c r="O18" s="2966"/>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3178"/>
      <c r="D19" s="2965"/>
      <c r="E19" s="87">
        <f t="shared" si="6"/>
        <v>0</v>
      </c>
      <c r="F19" s="88"/>
      <c r="G19" s="89">
        <f t="shared" si="7"/>
        <v>0</v>
      </c>
      <c r="H19" s="90">
        <f t="shared" si="8"/>
        <v>0</v>
      </c>
      <c r="I19" s="1389"/>
      <c r="J19" s="91"/>
      <c r="K19" s="1389"/>
      <c r="L19" s="91"/>
      <c r="M19" s="91"/>
      <c r="N19" s="91"/>
      <c r="O19" s="2966"/>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3178"/>
      <c r="D20" s="80"/>
      <c r="E20" s="87">
        <f t="shared" si="6"/>
        <v>0</v>
      </c>
      <c r="F20" s="88"/>
      <c r="G20" s="89">
        <f t="shared" si="7"/>
        <v>0</v>
      </c>
      <c r="H20" s="90">
        <f t="shared" si="8"/>
        <v>0</v>
      </c>
      <c r="I20" s="1389"/>
      <c r="J20" s="91"/>
      <c r="K20" s="1389"/>
      <c r="L20" s="91"/>
      <c r="M20" s="91"/>
      <c r="N20" s="91"/>
      <c r="O20" s="2966"/>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2.75" customHeight="1">
      <c r="A21" s="84"/>
      <c r="B21" s="1388"/>
      <c r="C21" s="3178"/>
      <c r="D21" s="2965"/>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2966"/>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2.75" customHeight="1">
      <c r="A22" s="84"/>
      <c r="B22" s="1388"/>
      <c r="C22" s="3178"/>
      <c r="D22" s="2965"/>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2.75" customHeight="1">
      <c r="A23" s="84"/>
      <c r="B23" s="1388"/>
      <c r="C23" s="3178"/>
      <c r="D23" s="2965"/>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2.75" customHeight="1">
      <c r="A24" s="84"/>
      <c r="B24" s="1388"/>
      <c r="C24" s="3178"/>
      <c r="D24" s="2965"/>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3178"/>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6" t="s">
        <v>0</v>
      </c>
      <c r="B1" s="3306" t="s">
        <v>4</v>
      </c>
      <c r="C1" s="3306" t="s">
        <v>5</v>
      </c>
      <c r="D1" s="3307" t="s">
        <v>40</v>
      </c>
      <c r="E1" s="3307" t="s">
        <v>41</v>
      </c>
      <c r="F1" s="3307"/>
      <c r="G1" s="3307"/>
      <c r="H1" s="3307"/>
      <c r="I1" s="3307"/>
      <c r="J1" s="3307"/>
      <c r="K1" s="3307"/>
      <c r="L1" s="3307"/>
      <c r="M1" s="3307"/>
    </row>
    <row r="2" spans="1:13" ht="27" customHeight="1">
      <c r="A2" s="3306"/>
      <c r="B2" s="3306"/>
      <c r="C2" s="3306"/>
      <c r="D2" s="3307"/>
      <c r="E2" s="3307" t="s">
        <v>24</v>
      </c>
      <c r="F2" s="3307" t="s">
        <v>25</v>
      </c>
      <c r="G2" s="3307"/>
      <c r="H2" s="3307"/>
      <c r="I2" s="3307"/>
      <c r="J2" s="3307" t="s">
        <v>26</v>
      </c>
      <c r="K2" s="3307"/>
      <c r="L2" s="3307"/>
      <c r="M2" s="3307"/>
    </row>
    <row r="3" spans="1:13" ht="28.5">
      <c r="A3" s="3306"/>
      <c r="B3" s="3306"/>
      <c r="C3" s="3306"/>
      <c r="D3" s="3307"/>
      <c r="E3" s="330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7" t="s">
        <v>42</v>
      </c>
      <c r="B9" s="3307"/>
      <c r="C9" s="330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zoomScale="115" zoomScaleNormal="115" workbookViewId="0">
      <selection activeCell="G28" sqref="G28"/>
    </sheetView>
  </sheetViews>
  <sheetFormatPr defaultRowHeight="15"/>
  <cols>
    <col min="1" max="1" width="9.5" style="3193" bestFit="1" customWidth="1"/>
    <col min="2" max="2" width="12.5" style="3193" customWidth="1"/>
    <col min="3" max="3" width="10.375" style="3193" customWidth="1"/>
    <col min="4" max="4" width="9" style="3193"/>
    <col min="5" max="5" width="6.125" style="3197" customWidth="1"/>
    <col min="6" max="6" width="19.5" style="3197" bestFit="1" customWidth="1"/>
    <col min="7" max="8" width="9" style="3197"/>
    <col min="9" max="9" width="19" style="3197" customWidth="1"/>
    <col min="10" max="10" width="9.875" style="3200" bestFit="1" customWidth="1"/>
    <col min="11" max="16384" width="9" style="3193"/>
  </cols>
  <sheetData>
    <row r="1" spans="1:10">
      <c r="A1" s="3192" t="s">
        <v>3056</v>
      </c>
      <c r="B1" s="3192" t="s">
        <v>3055</v>
      </c>
      <c r="C1" s="3199"/>
      <c r="E1" s="3192" t="s">
        <v>3061</v>
      </c>
      <c r="F1" s="3192" t="s">
        <v>3057</v>
      </c>
      <c r="G1" s="3194" t="s">
        <v>3058</v>
      </c>
      <c r="H1" s="3194" t="s">
        <v>3059</v>
      </c>
      <c r="I1" s="3192" t="s">
        <v>3060</v>
      </c>
    </row>
    <row r="2" spans="1:10">
      <c r="A2" s="3192">
        <v>6005</v>
      </c>
      <c r="B2" s="3192">
        <v>13438.018</v>
      </c>
      <c r="C2" s="3199"/>
      <c r="E2" s="3192">
        <v>1</v>
      </c>
      <c r="F2" s="3192" t="s">
        <v>3082</v>
      </c>
      <c r="G2" s="3192">
        <v>5983.64</v>
      </c>
      <c r="H2" s="3192">
        <v>12</v>
      </c>
      <c r="I2" s="3192" t="s">
        <v>3109</v>
      </c>
      <c r="J2" s="3200">
        <f>G2/H2</f>
        <v>498.63666666666671</v>
      </c>
    </row>
    <row r="3" spans="1:10">
      <c r="A3" s="3192">
        <v>6008</v>
      </c>
      <c r="B3" s="3192">
        <v>7654.0810000000001</v>
      </c>
      <c r="C3" s="3199"/>
      <c r="E3" s="3192">
        <v>2</v>
      </c>
      <c r="F3" s="3192" t="s">
        <v>3076</v>
      </c>
      <c r="G3" s="3192">
        <v>2967.29</v>
      </c>
      <c r="H3" s="3192">
        <v>6</v>
      </c>
      <c r="I3" s="3192" t="s">
        <v>3109</v>
      </c>
      <c r="J3" s="3200">
        <f t="shared" ref="J3:J8" si="0">G3/H3</f>
        <v>494.54833333333335</v>
      </c>
    </row>
    <row r="4" spans="1:10">
      <c r="A4" s="3192">
        <v>6017</v>
      </c>
      <c r="B4" s="3192">
        <v>8939.973</v>
      </c>
      <c r="C4" s="3199"/>
      <c r="E4" s="3192">
        <v>3</v>
      </c>
      <c r="F4" s="3192" t="s">
        <v>3077</v>
      </c>
      <c r="G4" s="3192">
        <v>1602.41</v>
      </c>
      <c r="H4" s="3192">
        <v>5</v>
      </c>
      <c r="I4" s="3192" t="s">
        <v>3109</v>
      </c>
      <c r="J4" s="3200">
        <f t="shared" si="0"/>
        <v>320.48200000000003</v>
      </c>
    </row>
    <row r="5" spans="1:10">
      <c r="A5" s="3192">
        <v>6025</v>
      </c>
      <c r="B5" s="3192">
        <v>14926.53</v>
      </c>
      <c r="C5" s="3199"/>
      <c r="E5" s="3192">
        <v>4</v>
      </c>
      <c r="F5" s="3192" t="s">
        <v>3078</v>
      </c>
      <c r="G5" s="3192">
        <v>3118.94</v>
      </c>
      <c r="H5" s="3192">
        <v>6</v>
      </c>
      <c r="I5" s="3192" t="s">
        <v>3109</v>
      </c>
      <c r="J5" s="3200">
        <f t="shared" si="0"/>
        <v>519.82333333333338</v>
      </c>
    </row>
    <row r="6" spans="1:10">
      <c r="A6" s="3195">
        <v>6004</v>
      </c>
      <c r="B6" s="3195">
        <v>1751.7159999999999</v>
      </c>
      <c r="C6" s="3199"/>
      <c r="E6" s="3192">
        <v>5</v>
      </c>
      <c r="F6" s="3192" t="s">
        <v>3079</v>
      </c>
      <c r="G6" s="3192">
        <v>5989.25</v>
      </c>
      <c r="H6" s="3192">
        <v>12</v>
      </c>
      <c r="I6" s="3192" t="s">
        <v>3109</v>
      </c>
      <c r="J6" s="3200">
        <f t="shared" si="0"/>
        <v>499.10416666666669</v>
      </c>
    </row>
    <row r="7" spans="1:10">
      <c r="A7" s="3195">
        <v>6011</v>
      </c>
      <c r="B7" s="3195">
        <v>12886.254999999999</v>
      </c>
      <c r="C7" s="3199"/>
      <c r="E7" s="3192">
        <v>6</v>
      </c>
      <c r="F7" s="3192" t="s">
        <v>3080</v>
      </c>
      <c r="G7" s="3192">
        <v>5989.25</v>
      </c>
      <c r="H7" s="3192">
        <v>12</v>
      </c>
      <c r="I7" s="3192" t="s">
        <v>3109</v>
      </c>
      <c r="J7" s="3200">
        <f t="shared" si="0"/>
        <v>499.10416666666669</v>
      </c>
    </row>
    <row r="8" spans="1:10" ht="30">
      <c r="A8" s="3195">
        <v>6024</v>
      </c>
      <c r="B8" s="3195">
        <v>16859.785</v>
      </c>
      <c r="C8" s="3199"/>
      <c r="E8" s="3192">
        <v>7</v>
      </c>
      <c r="F8" s="3192" t="s">
        <v>3081</v>
      </c>
      <c r="G8" s="3192">
        <v>5531.95</v>
      </c>
      <c r="H8" s="3192">
        <v>11</v>
      </c>
      <c r="I8" s="3198" t="s">
        <v>3110</v>
      </c>
      <c r="J8" s="3200">
        <f t="shared" si="0"/>
        <v>502.90454545454543</v>
      </c>
    </row>
    <row r="9" spans="1:10">
      <c r="A9" s="3195">
        <v>6026</v>
      </c>
      <c r="B9" s="3195">
        <v>5108.6819999999998</v>
      </c>
      <c r="C9" s="3199"/>
      <c r="E9" s="3192">
        <v>8</v>
      </c>
      <c r="F9" s="3192" t="s">
        <v>3062</v>
      </c>
      <c r="G9" s="3192">
        <v>14</v>
      </c>
      <c r="H9" s="3192">
        <v>1</v>
      </c>
      <c r="I9" s="3192" t="s">
        <v>3111</v>
      </c>
    </row>
    <row r="10" spans="1:10">
      <c r="A10" s="3196"/>
      <c r="B10" s="3196">
        <f>SUM(B2:B9)</f>
        <v>81565.039999999994</v>
      </c>
      <c r="C10" s="3199"/>
      <c r="E10" s="3192">
        <v>9</v>
      </c>
      <c r="F10" s="3192" t="s">
        <v>3063</v>
      </c>
      <c r="G10" s="3192">
        <v>10986.86</v>
      </c>
      <c r="H10" s="3192">
        <v>1</v>
      </c>
      <c r="I10" s="3192" t="s">
        <v>3109</v>
      </c>
    </row>
    <row r="11" spans="1:10">
      <c r="E11" s="3192">
        <v>10</v>
      </c>
      <c r="F11" s="3192" t="s">
        <v>3064</v>
      </c>
      <c r="G11" s="3192">
        <v>2013.55</v>
      </c>
      <c r="H11" s="3192">
        <v>8</v>
      </c>
      <c r="I11" s="3192" t="s">
        <v>3109</v>
      </c>
      <c r="J11" s="3200">
        <f t="shared" ref="J11:J14" si="1">G11/H11</f>
        <v>251.69374999999999</v>
      </c>
    </row>
    <row r="12" spans="1:10">
      <c r="E12" s="3192">
        <v>11</v>
      </c>
      <c r="F12" s="3192" t="s">
        <v>3065</v>
      </c>
      <c r="G12" s="3192">
        <v>5985.03</v>
      </c>
      <c r="H12" s="3192">
        <v>12</v>
      </c>
      <c r="I12" s="3192" t="s">
        <v>3109</v>
      </c>
      <c r="J12" s="3200">
        <f t="shared" si="1"/>
        <v>498.7525</v>
      </c>
    </row>
    <row r="13" spans="1:10">
      <c r="A13" s="3193" t="s">
        <v>3112</v>
      </c>
      <c r="B13" s="3202">
        <f>(G2+G3+G4+G5+G6+G7+G8+G11+G12+G13+G14+G16+G17+G18+G19+G31+G32+G33+G34+G35+G39+G40+G41+G42+G43+G44+G45)-J46</f>
        <v>124224.77240295811</v>
      </c>
      <c r="C13" s="3203">
        <f>J46</f>
        <v>13033.087597041846</v>
      </c>
      <c r="E13" s="3192">
        <v>12</v>
      </c>
      <c r="F13" s="3192" t="s">
        <v>3066</v>
      </c>
      <c r="G13" s="3192">
        <v>2718.55</v>
      </c>
      <c r="H13" s="3192">
        <v>9</v>
      </c>
      <c r="I13" s="3192" t="s">
        <v>3109</v>
      </c>
      <c r="J13" s="3200">
        <f t="shared" si="1"/>
        <v>302.06111111111113</v>
      </c>
    </row>
    <row r="14" spans="1:10">
      <c r="A14" s="3193" t="s">
        <v>3113</v>
      </c>
      <c r="B14" s="3196">
        <f>G20+G21+G27</f>
        <v>19173</v>
      </c>
      <c r="C14" s="3196"/>
      <c r="E14" s="3192">
        <v>13</v>
      </c>
      <c r="F14" s="3192" t="s">
        <v>3067</v>
      </c>
      <c r="G14" s="3192">
        <v>5994.83</v>
      </c>
      <c r="H14" s="3192">
        <v>12</v>
      </c>
      <c r="I14" s="3192" t="s">
        <v>3109</v>
      </c>
      <c r="J14" s="3200">
        <f t="shared" si="1"/>
        <v>499.56916666666666</v>
      </c>
    </row>
    <row r="15" spans="1:10">
      <c r="A15" s="3193" t="s">
        <v>3114</v>
      </c>
      <c r="B15" s="3196">
        <f>G28</f>
        <v>15993</v>
      </c>
      <c r="C15" s="3196"/>
      <c r="E15" s="3192">
        <v>14</v>
      </c>
      <c r="F15" s="3192" t="s">
        <v>3068</v>
      </c>
      <c r="G15" s="3192">
        <v>5947.86</v>
      </c>
      <c r="H15" s="3192">
        <v>1</v>
      </c>
      <c r="I15" s="3192" t="s">
        <v>3111</v>
      </c>
    </row>
    <row r="16" spans="1:10">
      <c r="A16" s="3193" t="s">
        <v>3115</v>
      </c>
      <c r="B16" s="3196">
        <f>G10+G15+G26+G30+G38+G46</f>
        <v>73367.3</v>
      </c>
      <c r="C16" s="3196"/>
      <c r="E16" s="3192">
        <v>15</v>
      </c>
      <c r="F16" s="3192" t="s">
        <v>3069</v>
      </c>
      <c r="G16" s="3192">
        <v>5940.95</v>
      </c>
      <c r="H16" s="3192">
        <v>12</v>
      </c>
      <c r="I16" s="3192" t="s">
        <v>3109</v>
      </c>
      <c r="J16" s="3200">
        <f t="shared" ref="J16:J19" si="2">G16/H16</f>
        <v>495.07916666666665</v>
      </c>
    </row>
    <row r="17" spans="1:10">
      <c r="A17" s="3193" t="s">
        <v>3116</v>
      </c>
      <c r="B17" s="3196">
        <f>G22+G23+G36+G47+G48</f>
        <v>8867</v>
      </c>
      <c r="C17" s="3196"/>
      <c r="E17" s="3192">
        <v>16</v>
      </c>
      <c r="F17" s="3192" t="s">
        <v>3070</v>
      </c>
      <c r="G17" s="3192">
        <v>5938.03</v>
      </c>
      <c r="H17" s="3192">
        <v>12</v>
      </c>
      <c r="I17" s="3192" t="s">
        <v>3109</v>
      </c>
      <c r="J17" s="3200">
        <f t="shared" si="2"/>
        <v>494.83583333333331</v>
      </c>
    </row>
    <row r="18" spans="1:10">
      <c r="A18" s="3193" t="s">
        <v>3117</v>
      </c>
      <c r="B18" s="3196">
        <f>G9+G24+G25+G29+G37</f>
        <v>79</v>
      </c>
      <c r="C18" s="3196"/>
      <c r="E18" s="3192">
        <v>17</v>
      </c>
      <c r="F18" s="3192" t="s">
        <v>3071</v>
      </c>
      <c r="G18" s="3192">
        <v>3564.56</v>
      </c>
      <c r="H18" s="3192">
        <v>7</v>
      </c>
      <c r="I18" s="3192" t="s">
        <v>3109</v>
      </c>
      <c r="J18" s="3200">
        <f t="shared" si="2"/>
        <v>509.22285714285715</v>
      </c>
    </row>
    <row r="19" spans="1:10">
      <c r="B19" s="3201">
        <f>SUM(B13:C18)</f>
        <v>254737.15999999997</v>
      </c>
      <c r="E19" s="3192">
        <v>18</v>
      </c>
      <c r="F19" s="3192" t="s">
        <v>3072</v>
      </c>
      <c r="G19" s="3192">
        <v>5947.82</v>
      </c>
      <c r="H19" s="3192">
        <v>12</v>
      </c>
      <c r="I19" s="3192" t="s">
        <v>3109</v>
      </c>
      <c r="J19" s="3200">
        <f t="shared" si="2"/>
        <v>495.65166666666664</v>
      </c>
    </row>
    <row r="20" spans="1:10">
      <c r="E20" s="3192">
        <v>19</v>
      </c>
      <c r="F20" s="3192" t="s">
        <v>3073</v>
      </c>
      <c r="G20" s="3192">
        <v>2622</v>
      </c>
      <c r="H20" s="3192">
        <v>4</v>
      </c>
      <c r="I20" s="3192" t="s">
        <v>3109</v>
      </c>
    </row>
    <row r="21" spans="1:10">
      <c r="E21" s="3192">
        <v>20</v>
      </c>
      <c r="F21" s="3192" t="s">
        <v>3074</v>
      </c>
      <c r="G21" s="3192">
        <v>7061</v>
      </c>
      <c r="H21" s="3192">
        <v>9</v>
      </c>
      <c r="I21" s="3192" t="s">
        <v>3109</v>
      </c>
    </row>
    <row r="22" spans="1:10">
      <c r="E22" s="3192">
        <v>21</v>
      </c>
      <c r="F22" s="3192" t="s">
        <v>3075</v>
      </c>
      <c r="G22" s="3192">
        <v>250</v>
      </c>
      <c r="H22" s="3192">
        <v>2</v>
      </c>
      <c r="I22" s="3192"/>
    </row>
    <row r="23" spans="1:10">
      <c r="E23" s="3192">
        <v>22</v>
      </c>
      <c r="F23" s="3192" t="s">
        <v>3083</v>
      </c>
      <c r="G23" s="3192">
        <v>30</v>
      </c>
      <c r="H23" s="3192">
        <v>1</v>
      </c>
      <c r="I23" s="3192"/>
    </row>
    <row r="24" spans="1:10">
      <c r="E24" s="3192">
        <v>23</v>
      </c>
      <c r="F24" s="3192" t="s">
        <v>3084</v>
      </c>
      <c r="G24" s="3192">
        <v>14</v>
      </c>
      <c r="H24" s="3192">
        <v>1</v>
      </c>
      <c r="I24" s="3192"/>
    </row>
    <row r="25" spans="1:10">
      <c r="E25" s="3192">
        <v>24</v>
      </c>
      <c r="F25" s="3192" t="s">
        <v>3085</v>
      </c>
      <c r="G25" s="3192">
        <v>14</v>
      </c>
      <c r="H25" s="3192">
        <v>1</v>
      </c>
      <c r="I25" s="3192"/>
    </row>
    <row r="26" spans="1:10">
      <c r="E26" s="3192">
        <v>25</v>
      </c>
      <c r="F26" s="3192" t="s">
        <v>3086</v>
      </c>
      <c r="G26" s="3192">
        <v>14276.86</v>
      </c>
      <c r="H26" s="3192"/>
      <c r="I26" s="3192" t="s">
        <v>3111</v>
      </c>
    </row>
    <row r="27" spans="1:10">
      <c r="E27" s="3192">
        <v>26</v>
      </c>
      <c r="F27" s="3192" t="s">
        <v>3087</v>
      </c>
      <c r="G27" s="3192">
        <v>9490</v>
      </c>
      <c r="H27" s="3192">
        <v>9</v>
      </c>
      <c r="I27" s="3192" t="s">
        <v>3109</v>
      </c>
    </row>
    <row r="28" spans="1:10">
      <c r="E28" s="3192">
        <v>27</v>
      </c>
      <c r="F28" s="3192" t="s">
        <v>3088</v>
      </c>
      <c r="G28" s="3192">
        <v>15993</v>
      </c>
      <c r="H28" s="3192">
        <v>9</v>
      </c>
      <c r="I28" s="3192" t="s">
        <v>3109</v>
      </c>
    </row>
    <row r="29" spans="1:10">
      <c r="E29" s="3192">
        <v>28</v>
      </c>
      <c r="F29" s="3192" t="s">
        <v>3089</v>
      </c>
      <c r="G29" s="3192">
        <v>23</v>
      </c>
      <c r="H29" s="3192">
        <v>1</v>
      </c>
      <c r="I29" s="3192"/>
    </row>
    <row r="30" spans="1:10">
      <c r="E30" s="3192">
        <v>29</v>
      </c>
      <c r="F30" s="3192" t="s">
        <v>3090</v>
      </c>
      <c r="G30" s="3192">
        <v>11870</v>
      </c>
      <c r="H30" s="3192">
        <v>-2</v>
      </c>
      <c r="I30" s="3192"/>
    </row>
    <row r="31" spans="1:10">
      <c r="E31" s="3192">
        <v>30</v>
      </c>
      <c r="F31" s="3192" t="s">
        <v>3091</v>
      </c>
      <c r="G31" s="3192">
        <v>7551.31</v>
      </c>
      <c r="H31" s="3192">
        <v>12</v>
      </c>
      <c r="I31" s="3192" t="s">
        <v>3109</v>
      </c>
      <c r="J31" s="3200">
        <f t="shared" ref="J31:J35" si="3">G31/H31</f>
        <v>629.27583333333337</v>
      </c>
    </row>
    <row r="32" spans="1:10">
      <c r="E32" s="3192">
        <v>31</v>
      </c>
      <c r="F32" s="3192" t="s">
        <v>3092</v>
      </c>
      <c r="G32" s="3192">
        <v>7551.31</v>
      </c>
      <c r="H32" s="3192">
        <v>12</v>
      </c>
      <c r="I32" s="3192" t="s">
        <v>3109</v>
      </c>
      <c r="J32" s="3200">
        <f t="shared" si="3"/>
        <v>629.27583333333337</v>
      </c>
    </row>
    <row r="33" spans="5:10">
      <c r="E33" s="3192">
        <v>32</v>
      </c>
      <c r="F33" s="3192" t="s">
        <v>3093</v>
      </c>
      <c r="G33" s="3192">
        <v>3296.73</v>
      </c>
      <c r="H33" s="3192">
        <v>9</v>
      </c>
      <c r="I33" s="3192" t="s">
        <v>3109</v>
      </c>
      <c r="J33" s="3200">
        <f t="shared" si="3"/>
        <v>366.30333333333334</v>
      </c>
    </row>
    <row r="34" spans="5:10">
      <c r="E34" s="3192">
        <v>33</v>
      </c>
      <c r="F34" s="3192" t="s">
        <v>3094</v>
      </c>
      <c r="G34" s="3192">
        <v>7600.91</v>
      </c>
      <c r="H34" s="3192">
        <v>12</v>
      </c>
      <c r="I34" s="3192" t="s">
        <v>3109</v>
      </c>
      <c r="J34" s="3200">
        <f t="shared" si="3"/>
        <v>633.40916666666669</v>
      </c>
    </row>
    <row r="35" spans="5:10">
      <c r="E35" s="3192">
        <v>34</v>
      </c>
      <c r="F35" s="3192" t="s">
        <v>3095</v>
      </c>
      <c r="G35" s="3192">
        <v>7600.91</v>
      </c>
      <c r="H35" s="3192">
        <v>12</v>
      </c>
      <c r="I35" s="3192" t="s">
        <v>3109</v>
      </c>
      <c r="J35" s="3200">
        <f t="shared" si="3"/>
        <v>633.40916666666669</v>
      </c>
    </row>
    <row r="36" spans="5:10">
      <c r="E36" s="3192">
        <v>35</v>
      </c>
      <c r="F36" s="3192" t="s">
        <v>3096</v>
      </c>
      <c r="G36" s="3192">
        <v>4500</v>
      </c>
      <c r="H36" s="3192">
        <v>7</v>
      </c>
      <c r="I36" s="3192"/>
    </row>
    <row r="37" spans="5:10">
      <c r="E37" s="3192">
        <v>36</v>
      </c>
      <c r="F37" s="3192" t="s">
        <v>3108</v>
      </c>
      <c r="G37" s="3192">
        <v>14</v>
      </c>
      <c r="H37" s="3192">
        <v>1</v>
      </c>
      <c r="I37" s="3192"/>
    </row>
    <row r="38" spans="5:10">
      <c r="E38" s="3192">
        <v>37</v>
      </c>
      <c r="F38" s="3192" t="s">
        <v>3097</v>
      </c>
      <c r="G38" s="3192">
        <v>14859.86</v>
      </c>
      <c r="H38" s="3192">
        <v>1</v>
      </c>
      <c r="I38" s="3192"/>
    </row>
    <row r="39" spans="5:10">
      <c r="E39" s="3192">
        <v>38</v>
      </c>
      <c r="F39" s="3192" t="s">
        <v>3098</v>
      </c>
      <c r="G39" s="3192">
        <v>6710.07</v>
      </c>
      <c r="H39" s="3192">
        <v>12</v>
      </c>
      <c r="I39" s="3192" t="s">
        <v>3109</v>
      </c>
      <c r="J39" s="3200">
        <f t="shared" ref="J39:J45" si="4">G39/H39</f>
        <v>559.17250000000001</v>
      </c>
    </row>
    <row r="40" spans="5:10">
      <c r="E40" s="3192">
        <v>39</v>
      </c>
      <c r="F40" s="3192" t="s">
        <v>3099</v>
      </c>
      <c r="G40" s="3192">
        <v>7089.74</v>
      </c>
      <c r="H40" s="3192">
        <v>12</v>
      </c>
      <c r="I40" s="3192" t="s">
        <v>3109</v>
      </c>
      <c r="J40" s="3200">
        <f t="shared" si="4"/>
        <v>590.81166666666661</v>
      </c>
    </row>
    <row r="41" spans="5:10">
      <c r="E41" s="3192">
        <v>40</v>
      </c>
      <c r="F41" s="3192" t="s">
        <v>3100</v>
      </c>
      <c r="G41" s="3192">
        <v>3296.73</v>
      </c>
      <c r="H41" s="3192">
        <v>9</v>
      </c>
      <c r="I41" s="3192" t="s">
        <v>3109</v>
      </c>
      <c r="J41" s="3200">
        <f t="shared" si="4"/>
        <v>366.30333333333334</v>
      </c>
    </row>
    <row r="42" spans="5:10">
      <c r="E42" s="3192">
        <v>41</v>
      </c>
      <c r="F42" s="3192" t="s">
        <v>3101</v>
      </c>
      <c r="G42" s="3192">
        <v>3296.73</v>
      </c>
      <c r="H42" s="3192">
        <v>9</v>
      </c>
      <c r="I42" s="3192" t="s">
        <v>3109</v>
      </c>
      <c r="J42" s="3200">
        <f t="shared" si="4"/>
        <v>366.30333333333334</v>
      </c>
    </row>
    <row r="43" spans="5:10">
      <c r="E43" s="3192">
        <v>42</v>
      </c>
      <c r="F43" s="3192" t="s">
        <v>3102</v>
      </c>
      <c r="G43" s="3192">
        <v>3296.43</v>
      </c>
      <c r="H43" s="3192">
        <v>9</v>
      </c>
      <c r="I43" s="3192" t="s">
        <v>3109</v>
      </c>
      <c r="J43" s="3200">
        <f t="shared" si="4"/>
        <v>366.27</v>
      </c>
    </row>
    <row r="44" spans="5:10">
      <c r="E44" s="3192">
        <v>43</v>
      </c>
      <c r="F44" s="3192" t="s">
        <v>3103</v>
      </c>
      <c r="G44" s="3192">
        <v>6324.73</v>
      </c>
      <c r="H44" s="3192">
        <v>12</v>
      </c>
      <c r="I44" s="3192" t="s">
        <v>3109</v>
      </c>
      <c r="J44" s="3200">
        <f t="shared" si="4"/>
        <v>527.06083333333333</v>
      </c>
    </row>
    <row r="45" spans="5:10">
      <c r="E45" s="3192">
        <v>44</v>
      </c>
      <c r="F45" s="3192" t="s">
        <v>3104</v>
      </c>
      <c r="G45" s="3192">
        <v>4356.21</v>
      </c>
      <c r="H45" s="3192">
        <v>9</v>
      </c>
      <c r="I45" s="3192" t="s">
        <v>3109</v>
      </c>
      <c r="J45" s="3200">
        <f t="shared" si="4"/>
        <v>484.02333333333331</v>
      </c>
    </row>
    <row r="46" spans="5:10">
      <c r="E46" s="3192">
        <v>45</v>
      </c>
      <c r="F46" s="3192" t="s">
        <v>3105</v>
      </c>
      <c r="G46" s="3192">
        <v>15425.86</v>
      </c>
      <c r="H46" s="3192">
        <v>1</v>
      </c>
      <c r="I46" s="3192" t="s">
        <v>3111</v>
      </c>
      <c r="J46" s="3200">
        <f>SUM(J1:J45)</f>
        <v>13033.087597041846</v>
      </c>
    </row>
    <row r="47" spans="5:10">
      <c r="E47" s="3192">
        <v>46</v>
      </c>
      <c r="F47" s="3192" t="s">
        <v>3106</v>
      </c>
      <c r="G47" s="3192">
        <v>4076.77</v>
      </c>
      <c r="H47" s="3192">
        <v>3</v>
      </c>
      <c r="I47" s="3192"/>
    </row>
    <row r="48" spans="5:10">
      <c r="E48" s="3192">
        <v>47</v>
      </c>
      <c r="F48" s="3192" t="s">
        <v>3107</v>
      </c>
      <c r="G48" s="3192">
        <v>10.23</v>
      </c>
      <c r="H48" s="3192">
        <v>1</v>
      </c>
      <c r="I48" s="3192"/>
    </row>
    <row r="49" spans="5:9">
      <c r="E49" s="3192"/>
      <c r="F49" s="3192"/>
      <c r="G49" s="3192">
        <f>SUM(G2:G48)</f>
        <v>254737.16000000003</v>
      </c>
      <c r="H49" s="3192"/>
      <c r="I49" s="3192"/>
    </row>
    <row r="50" spans="5:9">
      <c r="E50" s="3192"/>
      <c r="F50" s="3192"/>
      <c r="G50" s="3192"/>
      <c r="H50" s="3192"/>
      <c r="I50" s="3192"/>
    </row>
    <row r="51" spans="5:9">
      <c r="E51" s="3192"/>
      <c r="F51" s="3192"/>
      <c r="G51" s="3192"/>
      <c r="H51" s="3192"/>
      <c r="I51" s="3192"/>
    </row>
    <row r="52" spans="5:9">
      <c r="E52" s="3192"/>
      <c r="F52" s="3192"/>
      <c r="G52" s="3192"/>
      <c r="H52" s="3192"/>
      <c r="I52" s="3192"/>
    </row>
    <row r="53" spans="5:9">
      <c r="E53" s="3192"/>
      <c r="F53" s="3192"/>
      <c r="G53" s="3192"/>
      <c r="H53" s="3192"/>
      <c r="I53" s="3192"/>
    </row>
    <row r="54" spans="5:9">
      <c r="F54" s="3192"/>
      <c r="G54" s="3192"/>
      <c r="H54" s="3192"/>
    </row>
  </sheetData>
  <phoneticPr fontId="22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6" sqref="L6"/>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17" t="s">
        <v>203</v>
      </c>
      <c r="B2" s="3317"/>
      <c r="C2" s="3317"/>
      <c r="D2" s="1958" t="s">
        <v>204</v>
      </c>
      <c r="E2" s="106" t="s">
        <v>205</v>
      </c>
      <c r="F2" s="1967"/>
      <c r="G2" s="1193"/>
      <c r="H2" s="1194"/>
      <c r="I2" s="1195" t="s">
        <v>857</v>
      </c>
      <c r="J2" s="1967"/>
      <c r="K2" s="1967"/>
      <c r="L2" s="1967"/>
    </row>
    <row r="3" spans="1:16" ht="15.75" thickBot="1">
      <c r="A3" s="3318" t="s">
        <v>206</v>
      </c>
      <c r="B3" s="3318"/>
      <c r="C3" s="3318"/>
      <c r="D3" s="107">
        <f>'数据-基础表'!AY6</f>
        <v>153365</v>
      </c>
      <c r="E3" s="107">
        <f>'数据-基础表'!AZ5</f>
        <v>508675</v>
      </c>
      <c r="F3" s="1967"/>
      <c r="G3" s="279" t="s">
        <v>858</v>
      </c>
      <c r="H3" s="274" t="s">
        <v>859</v>
      </c>
      <c r="I3" s="1959">
        <f>ROUND('数据-基础表'!B3/'数据-基础表'!A3,2)</f>
        <v>3.32</v>
      </c>
      <c r="J3" s="1967"/>
      <c r="K3" s="1967"/>
      <c r="L3" s="1967"/>
    </row>
    <row r="4" spans="1:16" ht="15">
      <c r="A4" s="3319"/>
      <c r="B4" s="3320"/>
      <c r="C4" s="3321"/>
      <c r="D4" s="108" t="s">
        <v>204</v>
      </c>
      <c r="E4" s="109" t="s">
        <v>205</v>
      </c>
      <c r="F4" s="1967"/>
      <c r="G4" s="1196"/>
      <c r="H4" s="274" t="s">
        <v>860</v>
      </c>
      <c r="I4" s="1959">
        <f>ROUND(SUMIF('数据-基础表'!I9:AS9,"地上",'数据-基础表'!I5:AS5)/'数据-基础表'!A3,2)</f>
        <v>2.64</v>
      </c>
      <c r="J4" s="1967"/>
      <c r="K4" s="1967"/>
      <c r="L4" s="1967"/>
    </row>
    <row r="5" spans="1:16">
      <c r="A5" s="110" t="s">
        <v>207</v>
      </c>
      <c r="B5" s="3322" t="s">
        <v>230</v>
      </c>
      <c r="C5" s="3322"/>
      <c r="D5" s="111">
        <f>ROUND($D$3*E5/$E$3,2)</f>
        <v>118371.52</v>
      </c>
      <c r="E5" s="112">
        <f>SUMIF('数据-基础表'!$11:$11,"住宅",'数据-基础表'!$5:$5)</f>
        <v>392610</v>
      </c>
      <c r="F5" s="1967"/>
      <c r="G5" s="279" t="s">
        <v>861</v>
      </c>
      <c r="H5" s="274" t="s">
        <v>859</v>
      </c>
      <c r="I5" s="1959">
        <f>ROUND(E31/D31,2)</f>
        <v>3.32</v>
      </c>
      <c r="J5" s="1967"/>
      <c r="K5" s="1967"/>
      <c r="L5" s="1967"/>
    </row>
    <row r="6" spans="1:16" ht="15" thickBot="1">
      <c r="A6" s="113"/>
      <c r="B6" s="3322" t="s">
        <v>208</v>
      </c>
      <c r="C6" s="3322"/>
      <c r="D6" s="111">
        <f>ROUND($D$3*E6/$E$3,2)</f>
        <v>34993.480000000003</v>
      </c>
      <c r="E6" s="112">
        <f>E3-E5</f>
        <v>116065</v>
      </c>
      <c r="F6" s="1967"/>
      <c r="G6" s="1196"/>
      <c r="H6" s="274" t="s">
        <v>860</v>
      </c>
      <c r="I6" s="1959">
        <f>ROUND(F31/D31,2)</f>
        <v>2.64</v>
      </c>
      <c r="J6" s="1967"/>
      <c r="K6" s="1967"/>
      <c r="L6" s="1967"/>
    </row>
    <row r="7" spans="1:16" ht="15">
      <c r="A7" s="3314"/>
      <c r="B7" s="3315"/>
      <c r="C7" s="3316"/>
      <c r="D7" s="108" t="s">
        <v>204</v>
      </c>
      <c r="E7" s="114" t="s">
        <v>231</v>
      </c>
      <c r="F7" s="1967"/>
      <c r="G7" s="1151" t="s">
        <v>1645</v>
      </c>
      <c r="H7" s="1152"/>
      <c r="I7" s="1829">
        <f>I6</f>
        <v>2.64</v>
      </c>
      <c r="J7" s="1967"/>
      <c r="K7" s="1967"/>
      <c r="L7" s="1967"/>
    </row>
    <row r="8" spans="1:16">
      <c r="A8" s="110" t="s">
        <v>209</v>
      </c>
      <c r="B8" s="115" t="s">
        <v>210</v>
      </c>
      <c r="C8" s="111" t="s">
        <v>211</v>
      </c>
      <c r="D8" s="111">
        <f t="shared" ref="D8:D15" si="0">ROUND($D$3*E8/$E$3,2)</f>
        <v>121220.68</v>
      </c>
      <c r="E8" s="116">
        <f>SUMIF('数据-基础表'!BB10:BK10,"地上",'数据-基础表'!BB5:BK5)</f>
        <v>402060</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31330.27</v>
      </c>
      <c r="E13" s="116">
        <f>SUMPRODUCT(('数据-基础表'!BB10:BK10="地下")*('数据-基础表'!BB11:BK11="车库")*('数据-基础表'!BB5:BK5))</f>
        <v>103915</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152550.94999999998</v>
      </c>
      <c r="E16" s="120">
        <f>SUM(E8:E15)</f>
        <v>505975</v>
      </c>
      <c r="F16" s="1967"/>
      <c r="G16" s="1969"/>
      <c r="H16" s="967" t="s">
        <v>219</v>
      </c>
      <c r="I16" s="968"/>
      <c r="J16" s="1967"/>
      <c r="K16" s="3308" t="s">
        <v>2566</v>
      </c>
      <c r="L16" s="3309"/>
      <c r="M16" s="3309"/>
      <c r="N16" s="3309"/>
      <c r="O16" s="3309"/>
      <c r="P16" s="3310"/>
    </row>
    <row r="17" spans="1:19" ht="15">
      <c r="A17" s="121" t="s">
        <v>216</v>
      </c>
      <c r="B17" s="122" t="s">
        <v>217</v>
      </c>
      <c r="C17" s="2281" t="s">
        <v>2313</v>
      </c>
      <c r="D17" s="108" t="s">
        <v>204</v>
      </c>
      <c r="E17" s="124" t="s">
        <v>205</v>
      </c>
      <c r="F17" s="125"/>
      <c r="G17" s="1360"/>
      <c r="H17" s="969" t="s">
        <v>218</v>
      </c>
      <c r="I17" s="970" t="s">
        <v>2312</v>
      </c>
      <c r="J17" s="1967"/>
      <c r="K17" s="3311" t="s">
        <v>2567</v>
      </c>
      <c r="L17" s="3312"/>
      <c r="M17" s="3313"/>
      <c r="N17" s="3311" t="s">
        <v>2568</v>
      </c>
      <c r="O17" s="3312"/>
      <c r="P17" s="3313"/>
      <c r="R17" s="2282" t="s">
        <v>2311</v>
      </c>
      <c r="S17" s="144"/>
    </row>
    <row r="18" spans="1:19" ht="15">
      <c r="A18" s="117"/>
      <c r="B18" s="128"/>
      <c r="C18" s="129"/>
      <c r="D18" s="2604"/>
      <c r="E18" s="130" t="s">
        <v>220</v>
      </c>
      <c r="F18" s="131" t="s">
        <v>221</v>
      </c>
      <c r="G18" s="1361" t="s">
        <v>222</v>
      </c>
      <c r="H18" s="971" t="s">
        <v>223</v>
      </c>
      <c r="I18" s="972" t="s">
        <v>224</v>
      </c>
      <c r="J18" s="1967"/>
      <c r="K18" s="2567" t="s">
        <v>2569</v>
      </c>
      <c r="L18" s="2568" t="s">
        <v>2570</v>
      </c>
      <c r="M18" s="2569" t="s">
        <v>2571</v>
      </c>
      <c r="N18" s="2567" t="s">
        <v>2569</v>
      </c>
      <c r="O18" s="2568" t="s">
        <v>2570</v>
      </c>
      <c r="P18" s="2569" t="s">
        <v>2571</v>
      </c>
      <c r="R18" s="2283" t="s">
        <v>2309</v>
      </c>
      <c r="S18" s="2283" t="s">
        <v>2310</v>
      </c>
    </row>
    <row r="19" spans="1:19">
      <c r="A19" s="133"/>
      <c r="B19" s="115" t="s">
        <v>225</v>
      </c>
      <c r="C19" s="2973" t="s">
        <v>3011</v>
      </c>
      <c r="D19" s="111">
        <f t="shared" ref="D19:D26" si="1">ROUND($D$3*E19/$E$3,2)</f>
        <v>118371.52</v>
      </c>
      <c r="E19" s="134">
        <f t="shared" ref="E19:E26" si="2">SUM(F19:G19)</f>
        <v>392610</v>
      </c>
      <c r="F19" s="135">
        <f>'数据-基础表'!I13</f>
        <v>392610</v>
      </c>
      <c r="G19" s="3204"/>
      <c r="H19" s="973">
        <f>ROUND($D$3*I19/$E$3,2)</f>
        <v>631.66</v>
      </c>
      <c r="I19" s="116">
        <f>IF($I$17="自定义",P19,M19)</f>
        <v>2095.06</v>
      </c>
      <c r="J19" s="1967"/>
      <c r="K19" s="2570">
        <f t="shared" ref="K19:K26" si="3">ROUND(E$28*E19/E$27,2)</f>
        <v>2095.06</v>
      </c>
      <c r="L19" s="274">
        <f t="shared" ref="L19:L26" si="4">ROUND(IF(COUNTIF(C19,"*住宅*")&gt;0,E$29*E19/E$32,0),2)</f>
        <v>0</v>
      </c>
      <c r="M19" s="2571">
        <f>K19+L19</f>
        <v>2095.06</v>
      </c>
      <c r="N19" s="2572"/>
      <c r="O19" s="2573"/>
      <c r="P19" s="2574">
        <f>N19+O19</f>
        <v>0</v>
      </c>
      <c r="R19" s="274">
        <f t="shared" ref="R19:S26" si="5">D19+H19</f>
        <v>119003.18000000001</v>
      </c>
      <c r="S19" s="2284">
        <f t="shared" si="5"/>
        <v>394705.06</v>
      </c>
    </row>
    <row r="20" spans="1:19">
      <c r="A20" s="138"/>
      <c r="B20" s="115" t="s">
        <v>226</v>
      </c>
      <c r="C20" s="2973"/>
      <c r="D20" s="111">
        <f t="shared" si="1"/>
        <v>0</v>
      </c>
      <c r="E20" s="134">
        <f t="shared" si="2"/>
        <v>0</v>
      </c>
      <c r="F20" s="135"/>
      <c r="G20" s="1362"/>
      <c r="H20" s="973">
        <f t="shared" ref="H20:H26" si="6">ROUND($D$3*I20/$E$3,2)</f>
        <v>0</v>
      </c>
      <c r="I20" s="116">
        <f t="shared" ref="I20:I26" si="7">IF($I$17="自定义",P20,M20)</f>
        <v>0</v>
      </c>
      <c r="J20" s="1967"/>
      <c r="K20" s="2570">
        <f t="shared" si="3"/>
        <v>0</v>
      </c>
      <c r="L20" s="274">
        <f t="shared" si="4"/>
        <v>0</v>
      </c>
      <c r="M20" s="2571">
        <f t="shared" ref="M20:M26" si="8">K20+L20</f>
        <v>0</v>
      </c>
      <c r="N20" s="2572"/>
      <c r="O20" s="2573"/>
      <c r="P20" s="2574">
        <f t="shared" ref="P20:P26" si="9">N20+O20</f>
        <v>0</v>
      </c>
      <c r="R20" s="274">
        <f t="shared" si="5"/>
        <v>0</v>
      </c>
      <c r="S20" s="2284">
        <f t="shared" si="5"/>
        <v>0</v>
      </c>
    </row>
    <row r="21" spans="1:19">
      <c r="A21" s="138"/>
      <c r="B21" s="115" t="s">
        <v>226</v>
      </c>
      <c r="C21" s="2973" t="s">
        <v>3012</v>
      </c>
      <c r="D21" s="111">
        <f t="shared" si="1"/>
        <v>2849.17</v>
      </c>
      <c r="E21" s="134">
        <f t="shared" si="2"/>
        <v>9450</v>
      </c>
      <c r="F21" s="135">
        <f>'数据-基础表'!M14</f>
        <v>9450</v>
      </c>
      <c r="G21" s="1362"/>
      <c r="H21" s="973">
        <f t="shared" si="6"/>
        <v>15.2</v>
      </c>
      <c r="I21" s="116">
        <f t="shared" si="7"/>
        <v>50.43</v>
      </c>
      <c r="J21" s="1967"/>
      <c r="K21" s="2570">
        <f t="shared" si="3"/>
        <v>50.43</v>
      </c>
      <c r="L21" s="274">
        <f t="shared" si="4"/>
        <v>0</v>
      </c>
      <c r="M21" s="2571">
        <f t="shared" si="8"/>
        <v>50.43</v>
      </c>
      <c r="N21" s="2572"/>
      <c r="O21" s="2573"/>
      <c r="P21" s="2574">
        <f t="shared" si="9"/>
        <v>0</v>
      </c>
      <c r="R21" s="274">
        <f t="shared" si="5"/>
        <v>2864.37</v>
      </c>
      <c r="S21" s="2284">
        <f t="shared" si="5"/>
        <v>9500.43</v>
      </c>
    </row>
    <row r="22" spans="1:19">
      <c r="A22" s="138"/>
      <c r="B22" s="115" t="s">
        <v>226</v>
      </c>
      <c r="C22" s="2973" t="s">
        <v>3013</v>
      </c>
      <c r="D22" s="111">
        <f t="shared" si="1"/>
        <v>31330.27</v>
      </c>
      <c r="E22" s="134">
        <f t="shared" si="2"/>
        <v>103915</v>
      </c>
      <c r="F22" s="140"/>
      <c r="G22" s="1363">
        <f>'数据-基础表'!O15</f>
        <v>103915</v>
      </c>
      <c r="H22" s="973">
        <f t="shared" si="6"/>
        <v>167.18</v>
      </c>
      <c r="I22" s="116">
        <f t="shared" si="7"/>
        <v>554.51</v>
      </c>
      <c r="J22" s="1967"/>
      <c r="K22" s="2570">
        <f t="shared" si="3"/>
        <v>554.51</v>
      </c>
      <c r="L22" s="274">
        <f t="shared" si="4"/>
        <v>0</v>
      </c>
      <c r="M22" s="2571">
        <f t="shared" si="8"/>
        <v>554.51</v>
      </c>
      <c r="N22" s="2572"/>
      <c r="O22" s="2573"/>
      <c r="P22" s="2574">
        <f t="shared" si="9"/>
        <v>0</v>
      </c>
      <c r="R22" s="274">
        <f t="shared" si="5"/>
        <v>31497.45</v>
      </c>
      <c r="S22" s="2284">
        <f t="shared" si="5"/>
        <v>104469.51</v>
      </c>
    </row>
    <row r="23" spans="1:19">
      <c r="A23" s="138"/>
      <c r="B23" s="115" t="s">
        <v>226</v>
      </c>
      <c r="C23" s="2973"/>
      <c r="D23" s="111">
        <f>ROUND($D$3*E23/$E$3,2)</f>
        <v>0</v>
      </c>
      <c r="E23" s="134">
        <f>SUM(F23:G23)</f>
        <v>0</v>
      </c>
      <c r="F23" s="140"/>
      <c r="G23" s="1363"/>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3"/>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75" thickBot="1">
      <c r="A27" s="138"/>
      <c r="B27" s="111"/>
      <c r="C27" s="127" t="s">
        <v>215</v>
      </c>
      <c r="D27" s="134">
        <f>SUM(D19:D26)</f>
        <v>152550.96</v>
      </c>
      <c r="E27" s="143">
        <f>IF(SUM(E19:E26)='数据-基础表'!BA5,SUM(E19:E26),IF(F27="地上面积有误","面积有误","地下面积有误"))</f>
        <v>505975</v>
      </c>
      <c r="F27" s="134">
        <f>IF(SUM(F19:F26)=E8,SUM(F19:F26),"地上面积有误")</f>
        <v>402060</v>
      </c>
      <c r="G27" s="112">
        <f>SUM(G19:G26)</f>
        <v>103915</v>
      </c>
      <c r="H27" s="974">
        <f>SUM(H19:H26)</f>
        <v>814.04</v>
      </c>
      <c r="I27" s="975">
        <f>SUM(I19:I26)</f>
        <v>2700</v>
      </c>
      <c r="J27" s="1967"/>
      <c r="K27" s="2579">
        <f>SUM(K19:K26)</f>
        <v>2700</v>
      </c>
      <c r="L27" s="2580">
        <f>SUM(L19:L26)</f>
        <v>0</v>
      </c>
      <c r="M27" s="2581">
        <f>SUM(M19:M26)</f>
        <v>2700</v>
      </c>
      <c r="N27" s="2579">
        <f t="shared" ref="N27:O27" si="10">SUM(N19:N26)</f>
        <v>0</v>
      </c>
      <c r="O27" s="2580">
        <f t="shared" si="10"/>
        <v>0</v>
      </c>
      <c r="P27" s="2582">
        <f>SUM(P19:P26)</f>
        <v>0</v>
      </c>
      <c r="R27" s="2288">
        <f>IF(SUM(R19:R26)=$D$3,SUM(R19:R26),SUM(R19:R26)&amp;"误差"&amp;ROUND(SUM(R19:R26)-$D$3,2))</f>
        <v>153365</v>
      </c>
      <c r="S27" s="274">
        <f>IF(SUM(S19:S26)=$E$3,SUM(S19:S26),SUM(S19:S26)&amp;"误差"&amp;ROUND(SUM(S19:S26)-E3,2))</f>
        <v>508675</v>
      </c>
    </row>
    <row r="28" spans="1:19">
      <c r="A28" s="138"/>
      <c r="B28" s="115" t="s">
        <v>227</v>
      </c>
      <c r="C28" s="136" t="s">
        <v>228</v>
      </c>
      <c r="D28" s="111">
        <f>ROUND($D$3*E28/$E$3,2)</f>
        <v>814.05</v>
      </c>
      <c r="E28" s="134">
        <f>SUM(F28:G28)</f>
        <v>2700</v>
      </c>
      <c r="F28" s="144">
        <f>'数据-基础表'!BQ5+'数据-基础表'!BS5</f>
        <v>2700</v>
      </c>
      <c r="G28" s="145">
        <f>'数据-基础表'!BR5+'数据-基础表'!BT5</f>
        <v>0</v>
      </c>
      <c r="H28" s="1967"/>
      <c r="I28" s="1967"/>
      <c r="J28" s="1967"/>
      <c r="K28" s="1967"/>
      <c r="L28" s="1967"/>
    </row>
    <row r="29" spans="1:19">
      <c r="A29" s="138"/>
      <c r="B29" s="115" t="s">
        <v>227</v>
      </c>
      <c r="C29" s="2296" t="s">
        <v>2320</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814.05</v>
      </c>
      <c r="E30" s="134">
        <f>SUM(E28:E29)</f>
        <v>2700</v>
      </c>
      <c r="F30" s="134">
        <f>SUM(F28:F29)</f>
        <v>2700</v>
      </c>
      <c r="G30" s="112">
        <f>SUM(G28:G29)</f>
        <v>0</v>
      </c>
      <c r="H30" s="1967"/>
      <c r="I30" s="1967"/>
      <c r="J30" s="1967"/>
      <c r="K30" s="1967"/>
      <c r="L30" s="1967"/>
    </row>
    <row r="31" spans="1:19" ht="32.25" customHeight="1" thickBot="1">
      <c r="A31" s="1364"/>
      <c r="B31" s="1365" t="s">
        <v>229</v>
      </c>
      <c r="C31" s="2313" t="s">
        <v>2322</v>
      </c>
      <c r="D31" s="1366">
        <f>D27+D30</f>
        <v>153365.00999999998</v>
      </c>
      <c r="E31" s="1366">
        <f>E27+E30</f>
        <v>508675</v>
      </c>
      <c r="F31" s="1367">
        <f>F27+F30</f>
        <v>404760</v>
      </c>
      <c r="G31" s="1368">
        <f>G27+G30</f>
        <v>103915</v>
      </c>
      <c r="H31" s="1967"/>
      <c r="I31" s="1967"/>
      <c r="J31" s="1967"/>
      <c r="K31" s="1967"/>
      <c r="L31" s="1967"/>
    </row>
    <row r="32" spans="1:19">
      <c r="A32" s="1967"/>
      <c r="B32" s="2325" t="s">
        <v>2321</v>
      </c>
      <c r="C32" s="2609"/>
      <c r="D32" s="1196"/>
      <c r="E32" s="1196">
        <f>SUMIF(C19:C26,"*住宅*",E19:E26)</f>
        <v>392610</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8.625" style="1198" bestFit="1"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43833</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40.5">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2828</v>
      </c>
      <c r="O5" s="163" t="s">
        <v>246</v>
      </c>
      <c r="P5" s="165" t="s">
        <v>247</v>
      </c>
      <c r="Q5" s="166" t="s">
        <v>248</v>
      </c>
      <c r="R5" s="167" t="s">
        <v>249</v>
      </c>
      <c r="S5" s="2583" t="s">
        <v>2572</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68144</v>
      </c>
      <c r="F6" s="174">
        <f>SUMIF(项目基本情况!D$15:I$15,C6,项目基本情况!D$19:I$19)</f>
        <v>66.599999999999994</v>
      </c>
      <c r="G6" s="175">
        <f>IF(ISERROR(ROUND(POWER(1+H6,D6-F6)*(POWER(1+H6,F6)-1)/(POWER(1+H6,D6)-1),3)),0,ROUND(POWER(1+H6,D6-F6)*(POWER(1+H6,F6)-1)/(POWER(1+H6,D6)-1),3))</f>
        <v>0.99</v>
      </c>
      <c r="H6" s="3181">
        <v>0.04</v>
      </c>
      <c r="I6" s="3181">
        <v>4.4999999999999998E-2</v>
      </c>
      <c r="J6" s="176"/>
      <c r="K6" s="179">
        <f>SUMIF('数据-汇总表'!C$19:C$33,'数据-取费表'!A6,'数据-汇总表'!E$19:E$33)</f>
        <v>392610</v>
      </c>
      <c r="L6" s="2974">
        <v>2200</v>
      </c>
      <c r="M6" s="177">
        <f t="shared" ref="M6:M14" si="0">ROUND(K6*L6/10000,0)</f>
        <v>86374</v>
      </c>
      <c r="N6" s="2975">
        <v>0</v>
      </c>
      <c r="O6" s="177">
        <f>IF($N$5="成新度","——",ROUND(M6*N6,0))</f>
        <v>0</v>
      </c>
      <c r="P6" s="178">
        <f>IF($N$5="成新度","——",M6-O6)</f>
        <v>86374</v>
      </c>
      <c r="Q6" s="2976">
        <v>0.1</v>
      </c>
      <c r="R6" s="179">
        <f>SUMIF('数据-汇总表'!C$19:C$33,A6,'数据-汇总表'!R$19:R$33)</f>
        <v>119003.18000000001</v>
      </c>
      <c r="S6" s="132">
        <f>IF('数据-汇总表'!$I$17="按面积比例",SUMIF('数据-汇总表'!C$19:C$33,A6,'数据-汇总表'!K$19:K$33),SUMIF('数据-汇总表'!C$19:C$33,A6,'数据-汇总表'!N$19:N$33))</f>
        <v>2095.06</v>
      </c>
      <c r="T6" s="2217">
        <f>IF($T$4="按面积比例",IF(ISERROR(ROUND($M$14*S6/S$16,0)),"0",ROUND($M$14*S6/S$16,0)),"需自行计算录入")</f>
        <v>461</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87"/>
      <c r="AN6" s="2354"/>
      <c r="AO6" s="1983"/>
      <c r="AP6" s="1199">
        <f>ROUND(1-1/(1+H6)^F6,3)</f>
        <v>0.92700000000000005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f>'数据-汇总表'!C20</f>
        <v>0</v>
      </c>
      <c r="B7" s="2320" t="str">
        <f t="shared" ref="B7:B13" si="1">IF(A7=0,"","经营性")</f>
        <v/>
      </c>
      <c r="C7" s="173" t="s">
        <v>1677</v>
      </c>
      <c r="D7" s="2291">
        <f>SUMIF(项目基本情况!D$15:I$15,C7,项目基本情况!D$18:I$18)</f>
        <v>50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181">
        <v>4.4999999999999998E-2</v>
      </c>
      <c r="I7" s="3181">
        <v>5.5E-2</v>
      </c>
      <c r="J7" s="176"/>
      <c r="K7" s="179">
        <f>SUMIF('数据-汇总表'!C$19:C$33,'数据-取费表'!A7,'数据-汇总表'!E$19:E$33)</f>
        <v>0</v>
      </c>
      <c r="L7" s="2974">
        <f>L6</f>
        <v>2200</v>
      </c>
      <c r="M7" s="177">
        <f t="shared" si="0"/>
        <v>0</v>
      </c>
      <c r="N7" s="2975">
        <v>0</v>
      </c>
      <c r="O7" s="177">
        <f t="shared" ref="O7:O14" si="3">IF($N$5="成新度","——",ROUND(M7*N7,0))</f>
        <v>0</v>
      </c>
      <c r="P7" s="178">
        <f t="shared" ref="P7:P14" si="4">IF($N$5="成新度","——",M7-O7)</f>
        <v>0</v>
      </c>
      <c r="Q7" s="2976"/>
      <c r="R7" s="179">
        <f>SUMIF('数据-汇总表'!C$19:C$33,A7,'数据-汇总表'!R$19:R$33)</f>
        <v>0</v>
      </c>
      <c r="S7" s="132">
        <f>IF('数据-汇总表'!$I$17="按面积比例",SUMIF('数据-汇总表'!C$19:C$33,A7,'数据-汇总表'!K$19:K$33),SUMIF('数据-汇总表'!C$19:C$33,A7,'数据-汇总表'!N$19:N$33))</f>
        <v>0</v>
      </c>
      <c r="T7" s="2217">
        <f t="shared" ref="T7:T13" si="5">IF($T$4="按面积比例",IF(ISERROR(ROUND($M$14*S7/S$16,0)),"0",ROUND($M$14*S7/S$16,0)),"需自行计算录入")</f>
        <v>0</v>
      </c>
      <c r="U7" s="3182"/>
      <c r="V7" s="3183"/>
      <c r="W7" s="3184"/>
      <c r="X7" s="2304"/>
      <c r="Y7" s="182"/>
      <c r="Z7" s="183"/>
      <c r="AA7" s="176"/>
      <c r="AB7" s="176"/>
      <c r="AC7" s="2307"/>
      <c r="AD7" s="184"/>
      <c r="AE7" s="971">
        <f t="shared" ref="AE7:AE13" ca="1" si="6">IF(AN7="",0,SUMIF(INDIRECT("'"&amp;AN7&amp;"'"&amp;"!E:E"),$AE$5,INDIRECT("'"&amp;AN7&amp;"'"&amp;"!F:F")))</f>
        <v>0</v>
      </c>
      <c r="AF7" s="141"/>
      <c r="AG7" s="1208">
        <f t="shared" ref="AG7:AG13" si="7">IF(AF7="",0,AE7-AF7)</f>
        <v>0</v>
      </c>
      <c r="AH7" s="3185"/>
      <c r="AI7" s="187"/>
      <c r="AJ7" s="188"/>
      <c r="AK7" s="189"/>
      <c r="AL7" s="190"/>
      <c r="AM7" s="2352"/>
      <c r="AN7" s="2354"/>
      <c r="AO7" s="1983"/>
      <c r="AP7" s="1199">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商业</v>
      </c>
      <c r="B8" s="2320" t="str">
        <f t="shared" si="1"/>
        <v>经营性</v>
      </c>
      <c r="C8" s="173" t="s">
        <v>3004</v>
      </c>
      <c r="D8" s="2291">
        <f>SUMIF(项目基本情况!D$15:I$15,C8,项目基本情况!D$18:I$18)</f>
        <v>40</v>
      </c>
      <c r="E8" s="2292">
        <f>IF(B8="","",SUMIF(项目基本情况!D$15:I$15,C8,项目基本情况!D$17:I$17))</f>
        <v>57187</v>
      </c>
      <c r="F8" s="174">
        <f>SUMIF(项目基本情况!D$15:I$15,C8,项目基本情况!D$19:I$19)</f>
        <v>36.58</v>
      </c>
      <c r="G8" s="175">
        <f t="shared" si="2"/>
        <v>0.96599999999999997</v>
      </c>
      <c r="H8" s="3181">
        <v>4.4999999999999998E-2</v>
      </c>
      <c r="I8" s="3181">
        <v>0.06</v>
      </c>
      <c r="J8" s="176"/>
      <c r="K8" s="179">
        <f>SUMIF('数据-汇总表'!C$19:C$33,'数据-取费表'!A8,'数据-汇总表'!E$19:E$33)</f>
        <v>9450</v>
      </c>
      <c r="L8" s="2974">
        <f>L6</f>
        <v>2200</v>
      </c>
      <c r="M8" s="177">
        <f>ROUND(K8*L8/10000,0)</f>
        <v>2079</v>
      </c>
      <c r="N8" s="2975">
        <v>0</v>
      </c>
      <c r="O8" s="177">
        <f t="shared" si="3"/>
        <v>0</v>
      </c>
      <c r="P8" s="178">
        <f t="shared" si="4"/>
        <v>2079</v>
      </c>
      <c r="Q8" s="2976">
        <v>0.15</v>
      </c>
      <c r="R8" s="179">
        <f>SUMIF('数据-汇总表'!C$19:C$33,A8,'数据-汇总表'!R$19:R$33)</f>
        <v>2864.37</v>
      </c>
      <c r="S8" s="132">
        <f>IF('数据-汇总表'!$I$17="按面积比例",SUMIF('数据-汇总表'!C$19:C$33,A8,'数据-汇总表'!K$19:K$33),SUMIF('数据-汇总表'!C$19:C$33,A8,'数据-汇总表'!N$19:N$33))</f>
        <v>50.43</v>
      </c>
      <c r="T8" s="2217">
        <f t="shared" si="5"/>
        <v>11</v>
      </c>
      <c r="U8" s="3182">
        <v>3</v>
      </c>
      <c r="V8" s="3183">
        <v>0.03</v>
      </c>
      <c r="W8" s="3184">
        <v>0.1</v>
      </c>
      <c r="X8" s="2304"/>
      <c r="Y8" s="182"/>
      <c r="Z8" s="183"/>
      <c r="AA8" s="176"/>
      <c r="AB8" s="176"/>
      <c r="AC8" s="2307"/>
      <c r="AD8" s="184"/>
      <c r="AE8" s="971">
        <f t="shared" ca="1" si="6"/>
        <v>36.58</v>
      </c>
      <c r="AF8" s="141"/>
      <c r="AG8" s="1208">
        <f t="shared" si="7"/>
        <v>0</v>
      </c>
      <c r="AH8" s="3185">
        <f t="shared" ref="AH8" si="9">K8</f>
        <v>9450</v>
      </c>
      <c r="AI8" s="187">
        <v>365</v>
      </c>
      <c r="AJ8" s="188"/>
      <c r="AK8" s="189">
        <v>1.4999999999999999E-2</v>
      </c>
      <c r="AL8" s="190">
        <v>1.5E-3</v>
      </c>
      <c r="AM8" s="2352">
        <v>0.01</v>
      </c>
      <c r="AN8" s="2354" t="s">
        <v>3050</v>
      </c>
      <c r="AO8" s="1983"/>
      <c r="AP8" s="1199">
        <f t="shared" si="8"/>
        <v>0.8</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t="str">
        <f>'数据-汇总表'!C22</f>
        <v>地下车库</v>
      </c>
      <c r="B9" s="2320" t="str">
        <f t="shared" si="1"/>
        <v>经营性</v>
      </c>
      <c r="C9" s="173" t="s">
        <v>3010</v>
      </c>
      <c r="D9" s="2291">
        <f>SUMIF(项目基本情况!D$15:I$15,C9,项目基本情况!D$18:I$18)</f>
        <v>50</v>
      </c>
      <c r="E9" s="2292">
        <f>IF(B9="","",SUMIF(项目基本情况!D$15:I$15,C9,项目基本情况!D$17:I$17))</f>
        <v>57187</v>
      </c>
      <c r="F9" s="174">
        <f>SUMIF(项目基本情况!D$15:I$15,C9,项目基本情况!D$19:I$19)</f>
        <v>36.58</v>
      </c>
      <c r="G9" s="175">
        <f t="shared" si="2"/>
        <v>0.9</v>
      </c>
      <c r="H9" s="3181">
        <v>4.4999999999999998E-2</v>
      </c>
      <c r="I9" s="3181">
        <v>0.05</v>
      </c>
      <c r="J9" s="176"/>
      <c r="K9" s="179">
        <f>SUMIF('数据-汇总表'!C$19:C$33,'数据-取费表'!A9,'数据-汇总表'!E$19:E$33)</f>
        <v>103915</v>
      </c>
      <c r="L9" s="193">
        <f>L8</f>
        <v>2200</v>
      </c>
      <c r="M9" s="177">
        <f t="shared" si="0"/>
        <v>22861</v>
      </c>
      <c r="N9" s="194">
        <v>0</v>
      </c>
      <c r="O9" s="177">
        <f t="shared" si="3"/>
        <v>0</v>
      </c>
      <c r="P9" s="178">
        <f t="shared" si="4"/>
        <v>22861</v>
      </c>
      <c r="Q9" s="192">
        <v>0.03</v>
      </c>
      <c r="R9" s="179">
        <f>SUMIF('数据-汇总表'!C$19:C$33,A9,'数据-汇总表'!R$19:R$33)</f>
        <v>31497.45</v>
      </c>
      <c r="S9" s="132">
        <f>IF('数据-汇总表'!$I$17="按面积比例",SUMIF('数据-汇总表'!C$19:C$33,A9,'数据-汇总表'!K$19:K$33),SUMIF('数据-汇总表'!C$19:C$33,A9,'数据-汇总表'!N$19:N$33))</f>
        <v>554.51</v>
      </c>
      <c r="T9" s="2217">
        <f t="shared" si="5"/>
        <v>122</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0.8</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2700</v>
      </c>
      <c r="L14" s="193">
        <f>L9</f>
        <v>2200</v>
      </c>
      <c r="M14" s="177">
        <f t="shared" si="0"/>
        <v>594</v>
      </c>
      <c r="N14" s="194">
        <v>0</v>
      </c>
      <c r="O14" s="177">
        <f t="shared" si="3"/>
        <v>0</v>
      </c>
      <c r="P14" s="178">
        <f t="shared" si="4"/>
        <v>594</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0.97099999999999997</v>
      </c>
      <c r="H16" s="203">
        <f>ROUND(SUMPRODUCT(H6:H13,K6:K13)/SUMPRODUCT((H6:H13&gt;0)*(K6:K13)),3)</f>
        <v>4.1000000000000002E-2</v>
      </c>
      <c r="I16" s="204"/>
      <c r="J16" s="204"/>
      <c r="K16" s="205">
        <f>SUM(K6:K15)</f>
        <v>508675</v>
      </c>
      <c r="L16" s="206">
        <f>ROUND(M16*10000/SUM(K6:K14),0)</f>
        <v>2200</v>
      </c>
      <c r="M16" s="206">
        <f>SUM(M6:M14)</f>
        <v>111908</v>
      </c>
      <c r="N16" s="207">
        <f>ROUND(SUMPRODUCT(M6:M14,N6:N14)/M16,3)</f>
        <v>0</v>
      </c>
      <c r="O16" s="206">
        <f>SUM(O6:O14)</f>
        <v>0</v>
      </c>
      <c r="P16" s="206">
        <f>SUM(P6:P14)</f>
        <v>111908</v>
      </c>
      <c r="Q16" s="208">
        <f>ROUND(SUMPRODUCT(Q6:Q13,K6:K13)/SUMPRODUCT((Q6:Q13&gt;0)*(K6:K13)),2)</f>
        <v>0.09</v>
      </c>
      <c r="R16" s="2294">
        <f>SUM(R6:R13)</f>
        <v>153365</v>
      </c>
      <c r="S16" s="209">
        <f>SUM(S6:S13)</f>
        <v>2700</v>
      </c>
      <c r="T16" s="210">
        <f>IF(SUMIF(T6:T13,"&lt;9E307")=M14,SUMIF(T6:T13,"&lt;9E307"),"有误，请检查")</f>
        <v>594</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0.89900000000000002</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3</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3</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3</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227">
        <v>65</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2339</v>
      </c>
      <c r="B28" s="229">
        <v>65</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2337</v>
      </c>
      <c r="B29" s="232"/>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977">
        <v>150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7" t="s">
        <v>275</v>
      </c>
      <c r="B32" s="1372">
        <v>150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2894</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v>
      </c>
      <c r="C34" s="2327" t="s">
        <v>2895</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2896</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2897</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2898</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2898</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2456</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40">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0.05</v>
      </c>
      <c r="C44" s="2327" t="s">
        <v>2899</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2900</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2901</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1" t="s">
        <v>2902</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2" t="s">
        <v>2903</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2" t="s">
        <v>2904</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3180" t="s">
        <v>925</v>
      </c>
      <c r="C53" s="3023" t="s">
        <v>2905</v>
      </c>
      <c r="D53" s="3024" t="s">
        <v>2906</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6" t="s">
        <v>2907</v>
      </c>
      <c r="B54" s="3179">
        <v>18</v>
      </c>
      <c r="C54" s="1977">
        <v>30</v>
      </c>
      <c r="D54" s="3025"/>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6" t="s">
        <v>2908</v>
      </c>
      <c r="B55" s="3179">
        <v>15</v>
      </c>
      <c r="C55" s="1977">
        <v>24</v>
      </c>
      <c r="D55" s="3025"/>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6" t="s">
        <v>2909</v>
      </c>
      <c r="B56" s="3179">
        <v>8</v>
      </c>
      <c r="C56" s="1977">
        <v>18</v>
      </c>
      <c r="D56" s="3025"/>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6" t="s">
        <v>2910</v>
      </c>
      <c r="B57" s="3179">
        <v>5</v>
      </c>
      <c r="C57" s="1977">
        <v>12</v>
      </c>
      <c r="D57" s="3025"/>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6" t="s">
        <v>2911</v>
      </c>
      <c r="B58" s="186"/>
      <c r="C58" s="1977">
        <v>3</v>
      </c>
      <c r="D58" s="3025"/>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6" t="s">
        <v>2912</v>
      </c>
      <c r="B59" s="186"/>
      <c r="C59" s="1977">
        <v>1.5</v>
      </c>
      <c r="D59" s="3025"/>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6" t="s">
        <v>2913</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6" t="s">
        <v>2914</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6" t="s">
        <v>2915</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7" t="s">
        <v>2916</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4"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6" sqref="I1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23" t="s">
        <v>1663</v>
      </c>
      <c r="B1" s="3324"/>
      <c r="C1" s="3324"/>
      <c r="D1" s="3324"/>
      <c r="E1" s="3324"/>
      <c r="F1" s="3324"/>
      <c r="G1" s="3324"/>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54">
      <c r="A3" s="1222" t="s">
        <v>1666</v>
      </c>
      <c r="B3" s="1223" t="s">
        <v>1653</v>
      </c>
      <c r="C3" s="3028" t="s">
        <v>2923</v>
      </c>
      <c r="D3" s="1992"/>
      <c r="E3" s="1224" t="s">
        <v>1666</v>
      </c>
      <c r="F3" s="1225" t="s">
        <v>1654</v>
      </c>
      <c r="G3" s="3032" t="s">
        <v>2922</v>
      </c>
      <c r="H3" s="1991"/>
      <c r="I3" s="1991"/>
      <c r="J3" s="1991"/>
      <c r="K3" s="1991"/>
      <c r="L3" s="1991"/>
      <c r="M3" s="1991"/>
      <c r="N3" s="1991"/>
      <c r="O3" s="1991"/>
      <c r="P3" s="1991"/>
      <c r="Q3" s="1991"/>
      <c r="R3" s="1991"/>
    </row>
    <row r="4" spans="1:18" ht="41.25">
      <c r="A4" s="1224"/>
      <c r="B4" s="1226" t="s">
        <v>1667</v>
      </c>
      <c r="C4" s="3029" t="s">
        <v>2924</v>
      </c>
      <c r="D4" s="1992"/>
      <c r="E4" s="1227"/>
      <c r="F4" s="1228" t="s">
        <v>1668</v>
      </c>
      <c r="G4" s="3030" t="s">
        <v>2919</v>
      </c>
      <c r="H4" s="1991"/>
      <c r="I4" s="1991"/>
      <c r="J4" s="1991"/>
      <c r="K4" s="1991"/>
      <c r="L4" s="1991"/>
      <c r="M4" s="1991"/>
      <c r="N4" s="1991"/>
      <c r="O4" s="1991"/>
      <c r="P4" s="1991"/>
      <c r="Q4" s="1991"/>
      <c r="R4" s="1991"/>
    </row>
    <row r="5" spans="1:18" ht="41.25">
      <c r="A5" s="1224"/>
      <c r="B5" s="1226" t="s">
        <v>1669</v>
      </c>
      <c r="C5" s="3029" t="s">
        <v>2925</v>
      </c>
      <c r="D5" s="1992"/>
      <c r="E5" s="1227"/>
      <c r="F5" s="1226" t="s">
        <v>2546</v>
      </c>
      <c r="G5" s="3030" t="s">
        <v>2920</v>
      </c>
      <c r="H5" s="1991"/>
      <c r="I5" s="1991"/>
      <c r="J5" s="1991"/>
      <c r="K5" s="1991"/>
      <c r="L5" s="1991"/>
      <c r="M5" s="1991"/>
      <c r="N5" s="1991"/>
      <c r="O5" s="1991"/>
      <c r="P5" s="1991"/>
      <c r="Q5" s="1991"/>
      <c r="R5" s="1991"/>
    </row>
    <row r="6" spans="1:18" ht="54">
      <c r="A6" s="1224"/>
      <c r="B6" s="1226" t="s">
        <v>1655</v>
      </c>
      <c r="C6" s="3030" t="s">
        <v>2919</v>
      </c>
      <c r="D6" s="1992"/>
      <c r="E6" s="1227"/>
      <c r="F6" s="1226" t="s">
        <v>2547</v>
      </c>
      <c r="G6" s="3030" t="s">
        <v>2917</v>
      </c>
      <c r="H6" s="1991"/>
      <c r="I6" s="1991"/>
      <c r="J6" s="1991"/>
      <c r="K6" s="1991"/>
      <c r="L6" s="1991"/>
      <c r="M6" s="1991"/>
      <c r="N6" s="1991"/>
      <c r="O6" s="1991"/>
      <c r="P6" s="1991"/>
      <c r="Q6" s="1991"/>
      <c r="R6" s="1991"/>
    </row>
    <row r="7" spans="1:18" ht="41.25" thickBot="1">
      <c r="A7" s="1224"/>
      <c r="B7" s="1226" t="s">
        <v>2546</v>
      </c>
      <c r="C7" s="3030" t="s">
        <v>2920</v>
      </c>
      <c r="D7" s="1993"/>
      <c r="E7" s="1229"/>
      <c r="F7" s="1230" t="s">
        <v>1670</v>
      </c>
      <c r="G7" s="3033" t="s">
        <v>2921</v>
      </c>
      <c r="H7" s="1991"/>
      <c r="I7" s="1991"/>
      <c r="J7" s="1991"/>
      <c r="K7" s="1991"/>
      <c r="L7" s="1991"/>
      <c r="M7" s="1991"/>
      <c r="N7" s="1991"/>
      <c r="O7" s="1991"/>
      <c r="P7" s="1991"/>
      <c r="Q7" s="1991"/>
      <c r="R7" s="1991"/>
    </row>
    <row r="8" spans="1:18" ht="27">
      <c r="A8" s="1224"/>
      <c r="B8" s="1226" t="s">
        <v>2547</v>
      </c>
      <c r="C8" s="3030" t="s">
        <v>2917</v>
      </c>
      <c r="D8" s="1993"/>
      <c r="E8" s="1993"/>
      <c r="F8" s="1538"/>
      <c r="G8" s="1538"/>
      <c r="H8" s="1991"/>
      <c r="I8" s="1991"/>
      <c r="J8" s="1991"/>
      <c r="K8" s="1991"/>
      <c r="L8" s="1991"/>
      <c r="M8" s="1991"/>
      <c r="N8" s="1991"/>
      <c r="O8" s="1991"/>
      <c r="P8" s="1991"/>
      <c r="Q8" s="1991"/>
      <c r="R8" s="1991"/>
    </row>
    <row r="9" spans="1:18" ht="40.5">
      <c r="A9" s="1224"/>
      <c r="B9" s="1226" t="s">
        <v>1656</v>
      </c>
      <c r="C9" s="3029" t="s">
        <v>2918</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1"/>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54">
      <c r="A15" s="2550" t="s">
        <v>1657</v>
      </c>
      <c r="B15" s="1237" t="s">
        <v>1653</v>
      </c>
      <c r="C15" s="1238" t="str">
        <f>C3</f>
        <v>估价对象周边居住用地比例、居住小区规模和社区发展完善程度，综合评价居住社区成熟度一般</v>
      </c>
      <c r="D15" s="1992"/>
      <c r="E15" s="2547" t="s">
        <v>1658</v>
      </c>
      <c r="F15" s="1237" t="s">
        <v>1673</v>
      </c>
      <c r="G15" s="1239" t="str">
        <f>G3</f>
        <v>估价对象位于XX开发区，园区建设成熟度XX，产业集聚程度XX</v>
      </c>
    </row>
    <row r="16" spans="1:18" ht="40.5">
      <c r="A16" s="2551"/>
      <c r="B16" s="1240" t="s">
        <v>1667</v>
      </c>
      <c r="C16" s="1241" t="str">
        <f>C4</f>
        <v>估价对象位于XX商圈，周边商业氛围成熟，人流量大，商业繁华度好</v>
      </c>
      <c r="D16" s="1992"/>
      <c r="E16" s="2548"/>
      <c r="F16" s="1242" t="s">
        <v>1668</v>
      </c>
      <c r="G16" s="1004" t="str">
        <f>G4</f>
        <v>估价对象周边道路状况、公共交通通达情况、停车便捷程度，综合评价交通便捷度较好</v>
      </c>
    </row>
    <row r="17" spans="1:7" ht="40.5">
      <c r="A17" s="2551"/>
      <c r="B17" s="1240" t="s">
        <v>1669</v>
      </c>
      <c r="C17" s="1241" t="str">
        <f>C5</f>
        <v>估价对象位于XX商圈，周边办公楼项目较多，入驻率高，办公集聚程度较好</v>
      </c>
      <c r="D17" s="1993"/>
      <c r="E17" s="2548"/>
      <c r="F17" s="1242" t="s">
        <v>1674</v>
      </c>
      <c r="G17" s="2748"/>
    </row>
    <row r="18" spans="1:7" ht="54">
      <c r="A18" s="2551"/>
      <c r="B18" s="1242" t="s">
        <v>1655</v>
      </c>
      <c r="C18" s="1004" t="str">
        <f>C6</f>
        <v>估价对象周边道路状况、公共交通通达情况、停车便捷程度，综合评价交通便捷度较好</v>
      </c>
      <c r="D18" s="1993"/>
      <c r="E18" s="2548"/>
      <c r="F18" s="1242" t="s">
        <v>1670</v>
      </c>
      <c r="G18" s="1004" t="str">
        <f>G7</f>
        <v>该园区内是否有污染型企业，绿化情况，卫生条件，整体环境状况判断</v>
      </c>
    </row>
    <row r="19" spans="1:7" ht="27">
      <c r="A19" s="2551"/>
      <c r="B19" s="1242" t="s">
        <v>1659</v>
      </c>
      <c r="C19" s="2748"/>
      <c r="D19" s="1992"/>
      <c r="E19" s="2548"/>
      <c r="F19" s="1226" t="s">
        <v>2546</v>
      </c>
      <c r="G19" s="1004" t="str">
        <f>G5</f>
        <v>估价对象所在区域公共配套设施齐备情况</v>
      </c>
    </row>
    <row r="20" spans="1:7" ht="40.5">
      <c r="A20" s="2551"/>
      <c r="B20" s="1242" t="s">
        <v>1660</v>
      </c>
      <c r="C20" s="1241" t="str">
        <f>C9</f>
        <v>区域自然环境：；人文环境；综合评价环境状况一般</v>
      </c>
      <c r="D20" s="1993"/>
      <c r="E20" s="2548"/>
      <c r="F20" s="1226" t="s">
        <v>2547</v>
      </c>
      <c r="G20" s="1004" t="str">
        <f>G6</f>
        <v>估价对象所在区域基础设施水平</v>
      </c>
    </row>
    <row r="21" spans="1:7" ht="27">
      <c r="A21" s="2551"/>
      <c r="B21" s="1226" t="s">
        <v>2546</v>
      </c>
      <c r="C21" s="1004" t="str">
        <f>C7</f>
        <v>估价对象所在区域公共配套设施齐备情况</v>
      </c>
      <c r="D21" s="1992"/>
      <c r="E21" s="2548"/>
      <c r="F21" s="1242" t="s">
        <v>1661</v>
      </c>
      <c r="G21" s="3034"/>
    </row>
    <row r="22" spans="1:7" ht="27">
      <c r="A22" s="2551"/>
      <c r="B22" s="1226" t="s">
        <v>2547</v>
      </c>
      <c r="C22" s="1004" t="str">
        <f>C8</f>
        <v>估价对象所在区域基础设施水平</v>
      </c>
      <c r="D22" s="1992"/>
      <c r="E22" s="2548"/>
      <c r="F22" s="1242" t="s">
        <v>1671</v>
      </c>
      <c r="G22" s="2748"/>
    </row>
    <row r="23" spans="1:7" ht="15" thickBot="1">
      <c r="A23" s="2551"/>
      <c r="B23" s="1242" t="s">
        <v>1661</v>
      </c>
      <c r="C23" s="3034"/>
      <c r="E23" s="2549"/>
      <c r="F23" s="1243" t="s">
        <v>1675</v>
      </c>
      <c r="G23" s="3035"/>
    </row>
    <row r="24" spans="1:7" ht="14.2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2" sqref="G22"/>
    </sheetView>
  </sheetViews>
  <sheetFormatPr defaultColWidth="14.625" defaultRowHeight="13.5"/>
  <cols>
    <col min="1" max="1" width="24.375" customWidth="1"/>
  </cols>
  <sheetData>
    <row r="1" spans="1:9" ht="16.5">
      <c r="A1" s="2992" t="s">
        <v>2844</v>
      </c>
      <c r="B1" s="2992">
        <f>SUM(B14:B23)</f>
        <v>508675</v>
      </c>
      <c r="C1" s="2993"/>
      <c r="D1" s="2993"/>
      <c r="E1" s="2993"/>
      <c r="F1" s="2993"/>
    </row>
    <row r="2" spans="1:9" ht="16.5">
      <c r="A2" s="2992" t="s">
        <v>2845</v>
      </c>
      <c r="B2" s="2992">
        <f>SUM(C14:C23)</f>
        <v>153365</v>
      </c>
      <c r="C2" s="2993"/>
      <c r="D2" s="2993"/>
      <c r="E2" s="2993"/>
      <c r="F2" s="2993"/>
    </row>
    <row r="3" spans="1:9" ht="16.5">
      <c r="A3" s="2992" t="s">
        <v>2846</v>
      </c>
      <c r="B3" s="2994">
        <f>项目基本情况!D3</f>
        <v>43833</v>
      </c>
      <c r="C3" s="2993"/>
      <c r="D3" s="2993"/>
      <c r="E3" s="2993"/>
      <c r="F3" s="2993"/>
    </row>
    <row r="4" spans="1:9" ht="33">
      <c r="A4" s="2992" t="s">
        <v>2847</v>
      </c>
      <c r="B4" s="2992" t="s">
        <v>2848</v>
      </c>
      <c r="C4" s="2992" t="s">
        <v>2849</v>
      </c>
      <c r="D4" s="2992" t="s">
        <v>2850</v>
      </c>
      <c r="E4" s="2993"/>
      <c r="F4" s="2993"/>
    </row>
    <row r="5" spans="1:9" ht="16.5">
      <c r="A5" s="2992" t="s">
        <v>2851</v>
      </c>
      <c r="B5" s="2992">
        <f ca="1">SUM(D14:D23)</f>
        <v>39298</v>
      </c>
      <c r="C5" s="2992">
        <f ca="1">ROUND(B5*10000/$B$1,0)</f>
        <v>773</v>
      </c>
      <c r="D5" s="2992">
        <f ca="1">ROUND(B5*10000/$B$2,0)</f>
        <v>2562</v>
      </c>
      <c r="E5" s="2993"/>
      <c r="F5" s="2993"/>
    </row>
    <row r="6" spans="1:9" ht="16.5">
      <c r="A6" s="2992" t="s">
        <v>2852</v>
      </c>
      <c r="B6" s="2992">
        <f ca="1">SUM(G14:G23)</f>
        <v>39298</v>
      </c>
      <c r="C6" s="2992">
        <f t="shared" ref="C6:C8" ca="1" si="0">ROUND(B6*10000/$B$1,0)</f>
        <v>773</v>
      </c>
      <c r="D6" s="2992">
        <f t="shared" ref="D6:D8" ca="1" si="1">ROUND(B6*10000/$B$2,0)</f>
        <v>2562</v>
      </c>
      <c r="E6" s="2993"/>
      <c r="F6" s="2993"/>
    </row>
    <row r="7" spans="1:9" ht="16.5">
      <c r="A7" s="2992" t="s">
        <v>2853</v>
      </c>
      <c r="B7" s="2992">
        <f>SUM(H14:H23)</f>
        <v>0</v>
      </c>
      <c r="C7" s="2992">
        <f t="shared" si="0"/>
        <v>0</v>
      </c>
      <c r="D7" s="2992">
        <f t="shared" si="1"/>
        <v>0</v>
      </c>
      <c r="E7" s="2993"/>
      <c r="F7" s="2993"/>
    </row>
    <row r="8" spans="1:9" ht="16.5">
      <c r="A8" s="2992" t="s">
        <v>2854</v>
      </c>
      <c r="B8" s="2992">
        <f>SUM(I14:I23)</f>
        <v>0</v>
      </c>
      <c r="C8" s="2992">
        <f t="shared" si="0"/>
        <v>0</v>
      </c>
      <c r="D8" s="2992">
        <f t="shared" si="1"/>
        <v>0</v>
      </c>
      <c r="E8" s="2993"/>
      <c r="F8" s="2993"/>
    </row>
    <row r="9" spans="1:9" ht="16.5">
      <c r="A9" s="2992" t="s">
        <v>2855</v>
      </c>
      <c r="B9" s="2995"/>
      <c r="C9" s="2993"/>
      <c r="D9" s="2993"/>
      <c r="E9" s="2993"/>
      <c r="F9" s="2993"/>
    </row>
    <row r="10" spans="1:9" ht="16.5">
      <c r="A10" s="2992" t="s">
        <v>2856</v>
      </c>
      <c r="B10" s="2995"/>
      <c r="C10" s="2993"/>
      <c r="D10" s="2993"/>
      <c r="E10" s="2993"/>
      <c r="F10" s="2993"/>
    </row>
    <row r="11" spans="1:9" ht="16.5">
      <c r="A11" s="2992" t="s">
        <v>2873</v>
      </c>
      <c r="B11" s="2995"/>
      <c r="C11" s="2993"/>
      <c r="D11" s="2993"/>
      <c r="E11" s="2993"/>
      <c r="F11" s="2993"/>
    </row>
    <row r="12" spans="1:9" ht="16.5">
      <c r="A12" s="2993"/>
      <c r="B12" s="2993"/>
      <c r="C12" s="2993"/>
      <c r="D12" s="2993"/>
      <c r="E12" s="2993"/>
      <c r="F12" s="2993"/>
    </row>
    <row r="13" spans="1:9" ht="33">
      <c r="A13" s="2998" t="s">
        <v>2872</v>
      </c>
      <c r="B13" s="2996" t="s">
        <v>2844</v>
      </c>
      <c r="C13" s="2996" t="s">
        <v>2845</v>
      </c>
      <c r="D13" s="2996" t="s">
        <v>2857</v>
      </c>
      <c r="E13" s="2992" t="s">
        <v>2871</v>
      </c>
      <c r="F13" s="2992" t="s">
        <v>2850</v>
      </c>
      <c r="G13" s="2996" t="s">
        <v>2858</v>
      </c>
      <c r="H13" s="2996" t="s">
        <v>2859</v>
      </c>
      <c r="I13" s="2996" t="s">
        <v>2860</v>
      </c>
    </row>
    <row r="14" spans="1:9" ht="16.5">
      <c r="A14" s="2999" t="s">
        <v>2870</v>
      </c>
      <c r="B14" s="2996">
        <f>结果表!L38</f>
        <v>508675</v>
      </c>
      <c r="C14" s="2996">
        <f>结果表!K38</f>
        <v>153365</v>
      </c>
      <c r="D14" s="2996">
        <f ca="1">结果表!C42</f>
        <v>39298</v>
      </c>
      <c r="E14" s="2996">
        <f ca="1">ROUND(D14*10000/B14,0)</f>
        <v>773</v>
      </c>
      <c r="F14" s="2996">
        <f ca="1">ROUND(D14*10000/C14,0)</f>
        <v>2562</v>
      </c>
      <c r="G14" s="2996">
        <f ca="1">结果表!C44</f>
        <v>39298</v>
      </c>
      <c r="H14" s="2996" t="str">
        <f>结果表!C45</f>
        <v>——</v>
      </c>
      <c r="I14" s="2996" t="str">
        <f>结果表!C46</f>
        <v>——</v>
      </c>
    </row>
    <row r="15" spans="1:9" ht="16.5">
      <c r="A15" s="2999" t="s">
        <v>2861</v>
      </c>
      <c r="B15" s="3000"/>
      <c r="C15" s="3000"/>
      <c r="D15" s="3000"/>
      <c r="E15" s="2996" t="e">
        <f t="shared" ref="E15:E23" si="2">ROUND(D15*10000/B15,0)</f>
        <v>#DIV/0!</v>
      </c>
      <c r="F15" s="2996" t="e">
        <f t="shared" ref="F15:F23" si="3">ROUND(D15*10000/C15,0)</f>
        <v>#DIV/0!</v>
      </c>
      <c r="G15" s="2997"/>
      <c r="H15" s="2997"/>
      <c r="I15" s="3000"/>
    </row>
    <row r="16" spans="1:9" ht="16.5">
      <c r="A16" s="2999" t="s">
        <v>2862</v>
      </c>
      <c r="B16" s="3000"/>
      <c r="C16" s="3000"/>
      <c r="D16" s="3000"/>
      <c r="E16" s="2996" t="e">
        <f t="shared" si="2"/>
        <v>#DIV/0!</v>
      </c>
      <c r="F16" s="2996" t="e">
        <f t="shared" si="3"/>
        <v>#DIV/0!</v>
      </c>
      <c r="G16" s="2997"/>
      <c r="H16" s="2997"/>
      <c r="I16" s="3000"/>
    </row>
    <row r="17" spans="1:9" ht="16.5">
      <c r="A17" s="2999" t="s">
        <v>2863</v>
      </c>
      <c r="B17" s="3000"/>
      <c r="C17" s="3000"/>
      <c r="D17" s="3000"/>
      <c r="E17" s="2996" t="e">
        <f t="shared" si="2"/>
        <v>#DIV/0!</v>
      </c>
      <c r="F17" s="2996" t="e">
        <f t="shared" si="3"/>
        <v>#DIV/0!</v>
      </c>
      <c r="G17" s="2997"/>
      <c r="H17" s="2997"/>
      <c r="I17" s="3000"/>
    </row>
    <row r="18" spans="1:9" ht="16.5">
      <c r="A18" s="2999" t="s">
        <v>2864</v>
      </c>
      <c r="B18" s="3000"/>
      <c r="C18" s="3000"/>
      <c r="D18" s="3000"/>
      <c r="E18" s="2996" t="e">
        <f t="shared" si="2"/>
        <v>#DIV/0!</v>
      </c>
      <c r="F18" s="2996" t="e">
        <f t="shared" si="3"/>
        <v>#DIV/0!</v>
      </c>
      <c r="G18" s="3000"/>
      <c r="H18" s="3000"/>
      <c r="I18" s="3000"/>
    </row>
    <row r="19" spans="1:9" ht="16.5">
      <c r="A19" s="2999" t="s">
        <v>2865</v>
      </c>
      <c r="B19" s="3000"/>
      <c r="C19" s="3000"/>
      <c r="D19" s="3000"/>
      <c r="E19" s="2996" t="e">
        <f t="shared" si="2"/>
        <v>#DIV/0!</v>
      </c>
      <c r="F19" s="2996" t="e">
        <f t="shared" si="3"/>
        <v>#DIV/0!</v>
      </c>
      <c r="G19" s="3000"/>
      <c r="H19" s="3000"/>
      <c r="I19" s="3000"/>
    </row>
    <row r="20" spans="1:9" ht="16.5">
      <c r="A20" s="2999" t="s">
        <v>2866</v>
      </c>
      <c r="B20" s="3000"/>
      <c r="C20" s="3000"/>
      <c r="D20" s="3000"/>
      <c r="E20" s="2996" t="e">
        <f t="shared" si="2"/>
        <v>#DIV/0!</v>
      </c>
      <c r="F20" s="2996" t="e">
        <f t="shared" si="3"/>
        <v>#DIV/0!</v>
      </c>
      <c r="G20" s="3000"/>
      <c r="H20" s="3000"/>
      <c r="I20" s="3000"/>
    </row>
    <row r="21" spans="1:9" ht="16.5">
      <c r="A21" s="2999" t="s">
        <v>2867</v>
      </c>
      <c r="B21" s="3000"/>
      <c r="C21" s="3000"/>
      <c r="D21" s="3000"/>
      <c r="E21" s="2996" t="e">
        <f t="shared" si="2"/>
        <v>#DIV/0!</v>
      </c>
      <c r="F21" s="2996" t="e">
        <f t="shared" si="3"/>
        <v>#DIV/0!</v>
      </c>
      <c r="G21" s="3000"/>
      <c r="H21" s="3000"/>
      <c r="I21" s="3000"/>
    </row>
    <row r="22" spans="1:9" ht="16.5">
      <c r="A22" s="2999" t="s">
        <v>2868</v>
      </c>
      <c r="B22" s="3000"/>
      <c r="C22" s="3000"/>
      <c r="D22" s="3000"/>
      <c r="E22" s="2996" t="e">
        <f t="shared" si="2"/>
        <v>#DIV/0!</v>
      </c>
      <c r="F22" s="2996" t="e">
        <f t="shared" si="3"/>
        <v>#DIV/0!</v>
      </c>
      <c r="G22" s="3000"/>
      <c r="H22" s="3000"/>
      <c r="I22" s="3000"/>
    </row>
    <row r="23" spans="1:9" ht="16.5">
      <c r="A23" s="2999" t="s">
        <v>2869</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G28" sqref="G28"/>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2055</v>
      </c>
      <c r="B1" s="1760"/>
      <c r="C1" s="1788" t="s">
        <v>2056</v>
      </c>
      <c r="D1" s="1789" t="s">
        <v>3053</v>
      </c>
      <c r="E1" s="1788" t="s">
        <v>2057</v>
      </c>
      <c r="F1" s="1790" t="s">
        <v>3054</v>
      </c>
      <c r="G1" s="310"/>
      <c r="H1" s="310"/>
      <c r="I1" s="310"/>
      <c r="J1" s="2012"/>
      <c r="K1" s="2012"/>
      <c r="L1" s="2012"/>
      <c r="M1" s="2012"/>
      <c r="N1" s="2012"/>
      <c r="O1" s="2012"/>
      <c r="P1" s="2012"/>
      <c r="Q1" s="2012"/>
      <c r="R1" s="2012"/>
      <c r="S1" s="2012"/>
      <c r="T1" s="2012"/>
      <c r="U1" s="2012"/>
      <c r="V1" s="2012"/>
    </row>
    <row r="2" spans="1:22" ht="21.75" customHeight="1" thickBot="1">
      <c r="A2" s="3361" t="str">
        <f>项目基本情况!K2</f>
        <v>湖北省黄石市黄金山开发区大棋路以北卫楼下路以东出让国有建设用地使用权</v>
      </c>
      <c r="B2" s="3362"/>
      <c r="C2" s="3363"/>
      <c r="D2" s="3363"/>
      <c r="E2" s="3363"/>
      <c r="F2" s="3363"/>
      <c r="G2" s="3362"/>
      <c r="H2" s="3362"/>
      <c r="I2" s="3364"/>
      <c r="J2" s="2013"/>
      <c r="K2" s="2012"/>
      <c r="L2" s="2012"/>
      <c r="M2" s="2012"/>
      <c r="N2" s="2012"/>
      <c r="O2" s="2012"/>
      <c r="P2" s="2012"/>
      <c r="Q2" s="2012"/>
      <c r="R2" s="2012"/>
      <c r="S2" s="2012"/>
      <c r="T2" s="2012"/>
      <c r="U2" s="2012"/>
      <c r="V2" s="2012"/>
    </row>
    <row r="3" spans="1:22" ht="14.25">
      <c r="A3" s="3354" t="s">
        <v>298</v>
      </c>
      <c r="B3" s="3355"/>
      <c r="C3" s="3355"/>
      <c r="D3" s="3355"/>
      <c r="E3" s="3355"/>
      <c r="F3" s="3355"/>
      <c r="G3" s="3355"/>
      <c r="H3" s="3355"/>
      <c r="I3" s="3355"/>
      <c r="J3" s="2013"/>
      <c r="K3" s="2012"/>
      <c r="L3" s="2012"/>
      <c r="M3" s="2012"/>
      <c r="N3" s="2012"/>
      <c r="O3" s="2012"/>
      <c r="P3" s="2012"/>
      <c r="Q3" s="2012"/>
      <c r="R3" s="2012"/>
      <c r="S3" s="2012"/>
      <c r="T3" s="2012"/>
      <c r="U3" s="2012"/>
      <c r="V3" s="2012"/>
    </row>
    <row r="4" spans="1:22" ht="14.25">
      <c r="A4" s="257" t="s">
        <v>299</v>
      </c>
      <c r="B4" s="258" t="s">
        <v>300</v>
      </c>
      <c r="C4" s="259" t="s">
        <v>3046</v>
      </c>
      <c r="D4" s="259" t="s">
        <v>3049</v>
      </c>
      <c r="E4" s="3326" t="s">
        <v>301</v>
      </c>
      <c r="F4" s="3327"/>
      <c r="G4" s="3327"/>
      <c r="H4" s="3327"/>
      <c r="I4" s="3356"/>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25" t="s">
        <v>302</v>
      </c>
      <c r="B5" s="3351">
        <v>25</v>
      </c>
      <c r="C5" s="3349"/>
      <c r="D5" s="3353"/>
      <c r="E5" s="260" t="s">
        <v>303</v>
      </c>
      <c r="F5" s="261"/>
      <c r="G5" s="261"/>
      <c r="H5" s="261"/>
      <c r="I5" s="262"/>
      <c r="J5" s="2013"/>
      <c r="K5" s="2012"/>
      <c r="L5" s="2012"/>
      <c r="M5" s="2012"/>
      <c r="N5" s="2012"/>
      <c r="O5" s="2012"/>
      <c r="P5" s="2012"/>
      <c r="Q5" s="2012"/>
      <c r="R5" s="2012"/>
      <c r="S5" s="2012"/>
      <c r="T5" s="2012"/>
      <c r="U5" s="2012"/>
      <c r="V5" s="2012"/>
    </row>
    <row r="6" spans="1:22" ht="14.25">
      <c r="A6" s="3325"/>
      <c r="B6" s="3351"/>
      <c r="C6" s="3352"/>
      <c r="D6" s="3353"/>
      <c r="E6" s="260" t="s">
        <v>304</v>
      </c>
      <c r="F6" s="261"/>
      <c r="G6" s="261"/>
      <c r="H6" s="261"/>
      <c r="I6" s="262"/>
      <c r="J6" s="2013"/>
      <c r="K6" s="2012"/>
      <c r="L6" s="2012"/>
      <c r="M6" s="2012"/>
      <c r="N6" s="2012"/>
      <c r="O6" s="2012"/>
      <c r="P6" s="2012"/>
      <c r="Q6" s="2012"/>
      <c r="R6" s="2012"/>
      <c r="S6" s="2012"/>
      <c r="T6" s="2012"/>
      <c r="U6" s="2012"/>
      <c r="V6" s="2012"/>
    </row>
    <row r="7" spans="1:22" ht="14.25">
      <c r="A7" s="3325"/>
      <c r="B7" s="3351"/>
      <c r="C7" s="3350"/>
      <c r="D7" s="3353"/>
      <c r="E7" s="260" t="s">
        <v>305</v>
      </c>
      <c r="F7" s="261"/>
      <c r="G7" s="261"/>
      <c r="H7" s="261"/>
      <c r="I7" s="262"/>
      <c r="J7" s="2013"/>
      <c r="K7" s="2012"/>
      <c r="L7" s="2012"/>
      <c r="M7" s="2012"/>
      <c r="N7" s="2012"/>
      <c r="O7" s="2012"/>
      <c r="P7" s="2012"/>
      <c r="Q7" s="2012"/>
      <c r="R7" s="2012"/>
      <c r="S7" s="2012"/>
      <c r="T7" s="2012"/>
      <c r="U7" s="2012"/>
      <c r="V7" s="2012"/>
    </row>
    <row r="8" spans="1:22" ht="14.25">
      <c r="A8" s="3325" t="s">
        <v>306</v>
      </c>
      <c r="B8" s="3351">
        <v>15</v>
      </c>
      <c r="C8" s="3349"/>
      <c r="D8" s="3353"/>
      <c r="E8" s="260" t="s">
        <v>307</v>
      </c>
      <c r="F8" s="261"/>
      <c r="G8" s="261"/>
      <c r="H8" s="261"/>
      <c r="I8" s="262"/>
      <c r="J8" s="2013"/>
      <c r="K8" s="2012"/>
      <c r="L8" s="2012"/>
      <c r="M8" s="2012"/>
      <c r="N8" s="2012"/>
      <c r="O8" s="2012"/>
      <c r="P8" s="2012"/>
      <c r="Q8" s="2012"/>
      <c r="R8" s="2012"/>
      <c r="S8" s="2012"/>
      <c r="T8" s="2012"/>
      <c r="U8" s="2012"/>
      <c r="V8" s="2012"/>
    </row>
    <row r="9" spans="1:22" ht="14.25">
      <c r="A9" s="3325"/>
      <c r="B9" s="3351"/>
      <c r="C9" s="3350"/>
      <c r="D9" s="3353"/>
      <c r="E9" s="260" t="s">
        <v>308</v>
      </c>
      <c r="F9" s="261"/>
      <c r="G9" s="261"/>
      <c r="H9" s="261"/>
      <c r="I9" s="262"/>
      <c r="J9" s="2013"/>
      <c r="K9" s="2012"/>
      <c r="L9" s="2012"/>
      <c r="M9" s="2012"/>
      <c r="N9" s="2012"/>
      <c r="O9" s="2012"/>
      <c r="P9" s="2012"/>
      <c r="Q9" s="2012"/>
      <c r="R9" s="2012"/>
      <c r="S9" s="2012"/>
      <c r="T9" s="2012"/>
      <c r="U9" s="2012"/>
      <c r="V9" s="2012"/>
    </row>
    <row r="10" spans="1:22" ht="14.25">
      <c r="A10" s="3325" t="s">
        <v>309</v>
      </c>
      <c r="B10" s="3351">
        <v>15</v>
      </c>
      <c r="C10" s="3349"/>
      <c r="D10" s="3353"/>
      <c r="E10" s="260" t="s">
        <v>310</v>
      </c>
      <c r="F10" s="261"/>
      <c r="G10" s="261"/>
      <c r="H10" s="261"/>
      <c r="I10" s="262"/>
      <c r="J10" s="2013"/>
      <c r="K10" s="2012"/>
      <c r="L10" s="2012"/>
      <c r="M10" s="2012"/>
      <c r="N10" s="2012"/>
      <c r="O10" s="2012"/>
      <c r="P10" s="2012"/>
      <c r="Q10" s="2012"/>
      <c r="R10" s="2012"/>
      <c r="S10" s="2012"/>
      <c r="T10" s="2012"/>
      <c r="U10" s="2012"/>
      <c r="V10" s="2012"/>
    </row>
    <row r="11" spans="1:22" ht="14.25">
      <c r="A11" s="3325"/>
      <c r="B11" s="3351"/>
      <c r="C11" s="3350"/>
      <c r="D11" s="3353"/>
      <c r="E11" s="260" t="s">
        <v>311</v>
      </c>
      <c r="F11" s="261"/>
      <c r="G11" s="261"/>
      <c r="H11" s="261"/>
      <c r="I11" s="262"/>
      <c r="J11" s="2013"/>
      <c r="K11" s="2012"/>
      <c r="L11" s="2012"/>
      <c r="M11" s="2012"/>
      <c r="N11" s="2012"/>
      <c r="O11" s="2012"/>
      <c r="P11" s="2012"/>
      <c r="Q11" s="2012"/>
      <c r="R11" s="2012"/>
      <c r="S11" s="2012"/>
      <c r="T11" s="2012"/>
      <c r="U11" s="2012"/>
      <c r="V11" s="2012"/>
    </row>
    <row r="12" spans="1:22" ht="14.25">
      <c r="A12" s="3325" t="s">
        <v>312</v>
      </c>
      <c r="B12" s="3351">
        <v>15</v>
      </c>
      <c r="C12" s="3349"/>
      <c r="D12" s="3353"/>
      <c r="E12" s="260" t="s">
        <v>313</v>
      </c>
      <c r="F12" s="261"/>
      <c r="G12" s="261"/>
      <c r="H12" s="261"/>
      <c r="I12" s="262"/>
      <c r="J12" s="2013"/>
      <c r="K12" s="2012"/>
      <c r="L12" s="2012"/>
      <c r="M12" s="2012"/>
      <c r="N12" s="2012"/>
      <c r="O12" s="2012"/>
      <c r="P12" s="2012"/>
      <c r="Q12" s="2012"/>
      <c r="R12" s="2012"/>
      <c r="S12" s="2012"/>
      <c r="T12" s="2012"/>
      <c r="U12" s="2012"/>
      <c r="V12" s="2012"/>
    </row>
    <row r="13" spans="1:22" ht="14.25">
      <c r="A13" s="3325"/>
      <c r="B13" s="3351"/>
      <c r="C13" s="3350"/>
      <c r="D13" s="3353"/>
      <c r="E13" s="260" t="s">
        <v>314</v>
      </c>
      <c r="F13" s="261"/>
      <c r="G13" s="261"/>
      <c r="H13" s="261"/>
      <c r="I13" s="262"/>
      <c r="J13" s="2013"/>
      <c r="K13" s="2012"/>
      <c r="L13" s="2012"/>
      <c r="M13" s="2012"/>
      <c r="N13" s="2012"/>
      <c r="O13" s="2012"/>
      <c r="P13" s="2012"/>
      <c r="Q13" s="2012"/>
      <c r="R13" s="2012"/>
      <c r="S13" s="2012"/>
      <c r="T13" s="2012"/>
      <c r="U13" s="2012"/>
      <c r="V13" s="2012"/>
    </row>
    <row r="14" spans="1:22" ht="14.25">
      <c r="A14" s="3325" t="s">
        <v>315</v>
      </c>
      <c r="B14" s="3351">
        <v>30</v>
      </c>
      <c r="C14" s="3349">
        <v>5</v>
      </c>
      <c r="D14" s="3353">
        <v>5</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325"/>
      <c r="B15" s="3351"/>
      <c r="C15" s="3352"/>
      <c r="D15" s="3353"/>
      <c r="E15" s="260" t="s">
        <v>317</v>
      </c>
      <c r="F15" s="261"/>
      <c r="G15" s="261"/>
      <c r="H15" s="261"/>
      <c r="I15" s="262"/>
      <c r="J15" s="2013"/>
      <c r="K15" s="2012"/>
      <c r="L15" s="2012"/>
      <c r="M15" s="2012"/>
      <c r="N15" s="2012"/>
      <c r="O15" s="2012"/>
      <c r="P15" s="2012"/>
      <c r="Q15" s="2012"/>
      <c r="R15" s="2012"/>
      <c r="S15" s="2012"/>
      <c r="T15" s="2012"/>
      <c r="U15" s="2012"/>
      <c r="V15" s="2012"/>
    </row>
    <row r="16" spans="1:22" ht="14.25">
      <c r="A16" s="3325"/>
      <c r="B16" s="3351"/>
      <c r="C16" s="3350"/>
      <c r="D16" s="3353"/>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5</v>
      </c>
      <c r="D17" s="264">
        <f>SUM(D5:D16)</f>
        <v>5</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0.5</v>
      </c>
      <c r="D18" s="266">
        <f>1-C18</f>
        <v>0.5</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47046</v>
      </c>
      <c r="D19" s="270">
        <f ca="1">SUMIF(INDIRECT("'"&amp;D4&amp;"'"&amp;"!A:A"),结果表!B19,INDIRECT("'"&amp;D4&amp;"'"&amp;"!B:B"))</f>
        <v>31550</v>
      </c>
      <c r="E19" s="267" t="s">
        <v>323</v>
      </c>
      <c r="F19" s="268" t="s">
        <v>322</v>
      </c>
      <c r="G19" s="271">
        <f ca="1">ROUND(C19*$C$18+D19*$D$18,0)</f>
        <v>39298</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925</v>
      </c>
      <c r="D20" s="276">
        <f ca="1">SUMIF(INDIRECT("'"&amp;D4&amp;"'"&amp;"!A:A"),结果表!B20,INDIRECT("'"&amp;D4&amp;"'"&amp;"!B:B"))</f>
        <v>620</v>
      </c>
      <c r="E20" s="273"/>
      <c r="F20" s="274" t="s">
        <v>325</v>
      </c>
      <c r="G20" s="277">
        <f ca="1">ROUND(C20*$C$18+D20*$D$18,0)</f>
        <v>773</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3068</v>
      </c>
      <c r="D21" s="151">
        <f ca="1">SUMIF(INDIRECT("'"&amp;D4&amp;"'"&amp;"!A:A"),结果表!B21,INDIRECT("'"&amp;D4&amp;"'"&amp;"!B:B"))</f>
        <v>2057</v>
      </c>
      <c r="E21" s="273"/>
      <c r="F21" s="279" t="s">
        <v>327</v>
      </c>
      <c r="G21" s="281">
        <f ca="1">ROUND(C21*$C$18+D21*$D$18,0)</f>
        <v>2563</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0.49115689381933447</v>
      </c>
      <c r="E22" s="283"/>
      <c r="F22" s="284"/>
      <c r="G22" s="285">
        <f ca="1">ROUND(G19/('数据-汇总表'!D3/666.67),0)</f>
        <v>171</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31"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332"/>
      <c r="B25" s="1316" t="s">
        <v>331</v>
      </c>
      <c r="C25" s="289">
        <f>IF(B30=0,0,C30)</f>
        <v>0</v>
      </c>
      <c r="D25" s="290"/>
      <c r="E25" s="310"/>
      <c r="F25" s="310"/>
      <c r="G25" s="310"/>
      <c r="H25" s="310"/>
      <c r="I25" s="310"/>
      <c r="J25" s="2012"/>
      <c r="K25" s="1250" t="str">
        <f ca="1">项目基本情况!B16&amp;"国有建设用地使用权价格："&amp;O38&amp;"万元"</f>
        <v>出让国有建设用地使用权价格：39298万元</v>
      </c>
      <c r="L25" s="1251"/>
      <c r="M25" s="1251"/>
      <c r="N25" s="1251"/>
      <c r="O25" s="1252"/>
      <c r="P25" s="2012"/>
      <c r="Q25" s="2012"/>
      <c r="R25" s="2012"/>
      <c r="S25" s="2012"/>
      <c r="T25" s="2012"/>
      <c r="U25" s="2012"/>
      <c r="V25" s="2012"/>
    </row>
    <row r="26" spans="1:26" s="1249" customFormat="1" ht="18">
      <c r="A26" s="292" t="s">
        <v>332</v>
      </c>
      <c r="B26" s="293" t="s">
        <v>333</v>
      </c>
      <c r="C26" s="293" t="s">
        <v>334</v>
      </c>
      <c r="D26" s="294" t="s">
        <v>335</v>
      </c>
      <c r="E26" s="310"/>
      <c r="F26" s="310"/>
      <c r="G26" s="310"/>
      <c r="H26" s="310"/>
      <c r="I26" s="310"/>
      <c r="J26" s="2012"/>
      <c r="K26" s="1253" t="str">
        <f ca="1">"大写金额：人民币"&amp;NUMBERSTRING(INT(O38*10000),2)&amp;"元整"</f>
        <v>大写金额：人民币叁亿玖仟贰佰玖拾捌万元整</v>
      </c>
      <c r="L26" s="1247"/>
      <c r="M26" s="1247"/>
      <c r="N26" s="1247"/>
      <c r="O26" s="1246"/>
      <c r="P26" s="2012"/>
      <c r="Q26" s="2012"/>
      <c r="R26" s="2012"/>
      <c r="S26" s="2012"/>
      <c r="T26" s="2012"/>
      <c r="U26" s="2012"/>
      <c r="V26" s="2012"/>
      <c r="W26" s="291"/>
      <c r="X26" s="291"/>
      <c r="Y26" s="291"/>
      <c r="Z26" s="291"/>
    </row>
    <row r="27" spans="1:26" ht="18">
      <c r="A27" s="292"/>
      <c r="B27" s="293"/>
      <c r="C27" s="293"/>
      <c r="D27" s="294">
        <f ca="1">G19/'数据-汇总表'!F31</f>
        <v>9.7089633362980529E-2</v>
      </c>
      <c r="E27" s="310"/>
      <c r="F27" s="310"/>
      <c r="G27" s="310"/>
      <c r="H27" s="310"/>
      <c r="I27" s="310"/>
      <c r="J27" s="2012"/>
      <c r="K27" s="1253" t="str">
        <f ca="1">"单位面积地价："&amp;M38&amp;"元/平方米"</f>
        <v>单位面积地价：2562元/平方米</v>
      </c>
      <c r="L27" s="1247"/>
      <c r="M27" s="1247"/>
      <c r="N27" s="1247"/>
      <c r="O27" s="1246"/>
      <c r="P27" s="2012"/>
      <c r="Q27" s="2012"/>
      <c r="R27" s="2012"/>
      <c r="S27" s="2012"/>
      <c r="T27" s="2012"/>
      <c r="U27" s="2012"/>
      <c r="V27" s="2012"/>
    </row>
    <row r="28" spans="1:26" ht="18.75" customHeight="1">
      <c r="A28" s="3233"/>
      <c r="B28" s="293"/>
      <c r="C28" s="293"/>
      <c r="D28" s="294"/>
      <c r="E28" s="310"/>
      <c r="F28" s="310"/>
      <c r="G28" s="310"/>
      <c r="H28" s="310"/>
      <c r="I28" s="310"/>
      <c r="J28" s="2012"/>
      <c r="K28" s="1253" t="str">
        <f ca="1">"楼面地价："&amp;N38&amp;"元/平方米"</f>
        <v>楼面地价：773元/平方米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抵押价格：39298万元</v>
      </c>
      <c r="L29" s="1247"/>
      <c r="M29" s="1247"/>
      <c r="N29" s="1247"/>
      <c r="O29" s="1246"/>
      <c r="P29" s="2012"/>
      <c r="V29" s="2012"/>
    </row>
    <row r="30" spans="1:26" ht="18.75" thickBot="1">
      <c r="A30" s="3077" t="s">
        <v>336</v>
      </c>
      <c r="B30" s="308"/>
      <c r="C30" s="308"/>
      <c r="D30" s="309"/>
      <c r="E30" s="3078" t="s">
        <v>2969</v>
      </c>
      <c r="F30" s="310"/>
      <c r="G30" s="310"/>
      <c r="H30" s="310"/>
      <c r="I30" s="310"/>
      <c r="J30" s="2012"/>
      <c r="K30" s="1253" t="str">
        <f ca="1">IF(K29="——","——","大写金额：人民币"&amp;NUMBERSTRING(INT(O39*10000),2)&amp;"元整")</f>
        <v>大写金额：人民币叁亿玖仟贰佰玖拾捌万元整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1688</v>
      </c>
      <c r="C32" s="1377">
        <f ca="1">G19-C24</f>
        <v>39298</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1690</v>
      </c>
      <c r="C33" s="263">
        <f ca="1">ROUND(C32*10000/'数据-汇总表'!E3,0)</f>
        <v>773</v>
      </c>
      <c r="D33" s="1380" t="s">
        <v>1691</v>
      </c>
      <c r="E33" s="3331" t="s">
        <v>338</v>
      </c>
      <c r="F33" s="295" t="s">
        <v>339</v>
      </c>
      <c r="G33" s="296"/>
      <c r="H33" s="979"/>
      <c r="I33" s="1254"/>
      <c r="J33" s="2012"/>
      <c r="K33" s="1253" t="str">
        <f>IF(项目基本情况!E9="——","——","抵押净值："&amp;C46&amp;"万元")</f>
        <v>抵押净值：——万元</v>
      </c>
      <c r="L33" s="1247"/>
      <c r="M33" s="1247"/>
      <c r="N33" s="1247"/>
      <c r="O33" s="1246"/>
      <c r="P33" s="2012"/>
      <c r="V33" s="2012"/>
    </row>
    <row r="34" spans="1:26" s="1249" customFormat="1" ht="18.75" thickBot="1">
      <c r="A34" s="299"/>
      <c r="B34" s="1381" t="s">
        <v>1692</v>
      </c>
      <c r="C34" s="263">
        <f ca="1">ROUND(C32*10000/'数据-汇总表'!D3,0)</f>
        <v>2562</v>
      </c>
      <c r="D34" s="1382" t="s">
        <v>1691</v>
      </c>
      <c r="E34" s="3372"/>
      <c r="F34" s="127" t="s">
        <v>341</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75" thickBot="1">
      <c r="A35" s="283"/>
      <c r="B35" s="1383"/>
      <c r="C35" s="1384">
        <f ca="1">ROUND(C32/('数据-汇总表'!D3/666.67),0)</f>
        <v>171</v>
      </c>
      <c r="D35" s="1385" t="s">
        <v>1693</v>
      </c>
      <c r="E35" s="3373"/>
      <c r="F35" s="300" t="s">
        <v>342</v>
      </c>
      <c r="G35" s="981"/>
      <c r="H35" s="980" t="s">
        <v>343</v>
      </c>
      <c r="I35" s="310"/>
      <c r="J35" s="2012"/>
      <c r="K35" s="3346" t="s">
        <v>350</v>
      </c>
      <c r="L35" s="3346" t="s">
        <v>351</v>
      </c>
      <c r="M35" s="1259" t="s">
        <v>352</v>
      </c>
      <c r="N35" s="3346" t="s">
        <v>353</v>
      </c>
      <c r="O35" s="3346" t="s">
        <v>354</v>
      </c>
      <c r="P35" s="2012"/>
      <c r="V35" s="2012"/>
    </row>
    <row r="36" spans="1:26" ht="16.5" customHeight="1">
      <c r="A36" s="302" t="s">
        <v>344</v>
      </c>
      <c r="B36" s="303" t="s">
        <v>333</v>
      </c>
      <c r="C36" s="304" t="s">
        <v>345</v>
      </c>
      <c r="D36" s="304" t="s">
        <v>346</v>
      </c>
      <c r="E36" s="305" t="s">
        <v>347</v>
      </c>
      <c r="F36" s="310"/>
      <c r="G36" s="310"/>
      <c r="H36" s="310"/>
      <c r="I36" s="310"/>
      <c r="J36" s="2014"/>
      <c r="K36" s="3347"/>
      <c r="L36" s="3347"/>
      <c r="M36" s="1261" t="s">
        <v>355</v>
      </c>
      <c r="N36" s="3347"/>
      <c r="O36" s="3347"/>
      <c r="P36" s="2012"/>
      <c r="V36" s="2012"/>
    </row>
    <row r="37" spans="1:26" ht="16.5" customHeight="1" thickBot="1">
      <c r="A37" s="1255" t="s">
        <v>348</v>
      </c>
      <c r="B37" s="306"/>
      <c r="C37" s="293"/>
      <c r="D37" s="293"/>
      <c r="E37" s="294"/>
      <c r="F37" s="310"/>
      <c r="G37" s="310"/>
      <c r="H37" s="310"/>
      <c r="I37" s="310"/>
      <c r="J37" s="2014"/>
      <c r="K37" s="3348"/>
      <c r="L37" s="3348"/>
      <c r="M37" s="1262"/>
      <c r="N37" s="3348"/>
      <c r="O37" s="3348"/>
      <c r="P37" s="2012"/>
      <c r="V37" s="2012"/>
    </row>
    <row r="38" spans="1:26" ht="16.5" customHeight="1" thickBot="1">
      <c r="A38" s="1255" t="s">
        <v>349</v>
      </c>
      <c r="B38" s="306"/>
      <c r="C38" s="293"/>
      <c r="D38" s="293"/>
      <c r="E38" s="294"/>
      <c r="F38" s="310"/>
      <c r="G38" s="310"/>
      <c r="H38" s="310"/>
      <c r="I38" s="310"/>
      <c r="J38" s="2014"/>
      <c r="K38" s="1263">
        <f>'数据-汇总表'!D3</f>
        <v>153365</v>
      </c>
      <c r="L38" s="1264">
        <f>'数据-汇总表'!E3</f>
        <v>508675</v>
      </c>
      <c r="M38" s="1264">
        <f ca="1">C34</f>
        <v>2562</v>
      </c>
      <c r="N38" s="1264">
        <f ca="1">C33</f>
        <v>773</v>
      </c>
      <c r="O38" s="1265">
        <f ca="1">C32</f>
        <v>39298</v>
      </c>
      <c r="P38" s="2012"/>
      <c r="V38" s="2012"/>
    </row>
    <row r="39" spans="1:26" ht="16.5" customHeight="1" thickBot="1">
      <c r="A39" s="1260"/>
      <c r="B39" s="307"/>
      <c r="C39" s="308"/>
      <c r="D39" s="308"/>
      <c r="E39" s="309"/>
      <c r="F39" s="310"/>
      <c r="G39" s="310"/>
      <c r="H39" s="310"/>
      <c r="I39" s="310"/>
      <c r="J39" s="2014"/>
      <c r="K39" s="3391" t="str">
        <f>MID(A44,3,LEN(A44)-2)</f>
        <v>抵押价格</v>
      </c>
      <c r="L39" s="3392"/>
      <c r="M39" s="3392"/>
      <c r="N39" s="3393"/>
      <c r="O39" s="1387">
        <f ca="1">C44</f>
        <v>39298</v>
      </c>
      <c r="P39" s="2012"/>
      <c r="V39" s="2012"/>
    </row>
    <row r="40" spans="1:26" ht="19.5" thickBot="1">
      <c r="A40" s="104" t="s">
        <v>873</v>
      </c>
      <c r="B40" s="310"/>
      <c r="C40" s="310"/>
      <c r="D40" s="310"/>
      <c r="E40" s="310"/>
      <c r="F40" s="310"/>
      <c r="G40" s="310"/>
      <c r="H40" s="310"/>
      <c r="I40" s="310"/>
      <c r="J40" s="2014"/>
      <c r="K40" s="3391" t="str">
        <f t="shared" ref="K40:K41" si="0">MID(A45,3,LEN(A45)-2)</f>
        <v/>
      </c>
      <c r="L40" s="3392"/>
      <c r="M40" s="3392"/>
      <c r="N40" s="3393"/>
      <c r="O40" s="1387" t="str">
        <f>C45</f>
        <v>——</v>
      </c>
      <c r="P40" s="2012"/>
      <c r="V40" s="2012"/>
    </row>
    <row r="41" spans="1:26" ht="16.5" thickBot="1">
      <c r="A41" s="311" t="s">
        <v>356</v>
      </c>
      <c r="B41" s="312"/>
      <c r="C41" s="313" t="s">
        <v>357</v>
      </c>
      <c r="D41" s="314" t="s">
        <v>358</v>
      </c>
      <c r="E41" s="314" t="s">
        <v>359</v>
      </c>
      <c r="F41" s="315" t="s">
        <v>360</v>
      </c>
      <c r="G41" s="310"/>
      <c r="H41" s="310"/>
      <c r="I41" s="310"/>
      <c r="J41" s="2014"/>
      <c r="K41" s="3391" t="str">
        <f t="shared" si="0"/>
        <v/>
      </c>
      <c r="L41" s="3392"/>
      <c r="M41" s="3392"/>
      <c r="N41" s="3393"/>
      <c r="O41" s="1387" t="str">
        <f>C46</f>
        <v>——</v>
      </c>
      <c r="P41" s="2012"/>
      <c r="V41" s="2012"/>
    </row>
    <row r="42" spans="1:26" ht="29.25">
      <c r="A42" s="3333" t="s">
        <v>2067</v>
      </c>
      <c r="B42" s="3334"/>
      <c r="C42" s="263">
        <f ca="1">C32</f>
        <v>39298</v>
      </c>
      <c r="D42" s="316">
        <f ca="1">C33</f>
        <v>773</v>
      </c>
      <c r="E42" s="316">
        <f ca="1">C34</f>
        <v>2562</v>
      </c>
      <c r="F42" s="317">
        <f ca="1">C35</f>
        <v>171</v>
      </c>
      <c r="G42" s="310"/>
      <c r="H42" s="310"/>
      <c r="I42" s="318"/>
      <c r="J42" s="2014"/>
      <c r="K42" s="1266" t="s">
        <v>361</v>
      </c>
      <c r="L42" s="2031" t="s">
        <v>362</v>
      </c>
      <c r="M42" s="1267" t="s">
        <v>363</v>
      </c>
      <c r="N42" s="2032" t="s">
        <v>364</v>
      </c>
      <c r="O42" s="2033" t="s">
        <v>365</v>
      </c>
      <c r="P42" s="2012"/>
      <c r="V42" s="2012"/>
    </row>
    <row r="43" spans="1:26" ht="30">
      <c r="A43" s="3344" t="s">
        <v>2730</v>
      </c>
      <c r="B43" s="3345"/>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47046</v>
      </c>
      <c r="M43" s="1270">
        <f>C18</f>
        <v>0.5</v>
      </c>
      <c r="N43" s="1271">
        <f ca="1">IF(N42="测算结果/万元",G19,G20)</f>
        <v>39298</v>
      </c>
      <c r="O43" s="1272">
        <f ca="1">IF(O42="最终结果/万元",C32,C33)</f>
        <v>39298</v>
      </c>
      <c r="P43" s="2012"/>
      <c r="V43" s="2012"/>
    </row>
    <row r="44" spans="1:26" ht="30.75" thickBot="1">
      <c r="A44" s="3333" t="str">
        <f>IF(OR(项目基本情况!E8="抵押价格",项目基本情况!E8="已注销及未注销"),"3.抵押价格","——")</f>
        <v>3.抵押价格</v>
      </c>
      <c r="B44" s="3334"/>
      <c r="C44" s="263">
        <f ca="1">IF(A44="——","——",C42-C43)</f>
        <v>39298</v>
      </c>
      <c r="D44" s="316">
        <f ca="1">ROUND(C44*10000/'数据-汇总表'!E3,0)</f>
        <v>773</v>
      </c>
      <c r="E44" s="316">
        <f ca="1">ROUND(C44*10000/'数据-汇总表'!D3,0)</f>
        <v>2562</v>
      </c>
      <c r="F44" s="317">
        <f ca="1">ROUND(C44/('数据-汇总表'!D3/666.67),0)</f>
        <v>171</v>
      </c>
      <c r="G44" s="310"/>
      <c r="H44" s="310"/>
      <c r="I44" s="318"/>
      <c r="J44" s="2014"/>
      <c r="K44" s="1273" t="str">
        <f>D4</f>
        <v>剩余法-待开发</v>
      </c>
      <c r="L44" s="1274">
        <f ca="1">IF(L42="估价结果/万元",D19,D20)</f>
        <v>31550</v>
      </c>
      <c r="M44" s="1275">
        <f>D18</f>
        <v>0.5</v>
      </c>
      <c r="N44" s="1276"/>
      <c r="O44" s="1277"/>
      <c r="P44" s="2012"/>
      <c r="V44" s="2012"/>
    </row>
    <row r="45" spans="1:26" ht="15">
      <c r="A45" s="3339" t="str">
        <f>IF(项目基本情况!E8="已注销及未注销","4.抵押担保权已注销时的抵押价格",IF(项目基本情况!E8="已注销","3.抵押担保权已注销时的抵押价格","——"))</f>
        <v>——</v>
      </c>
      <c r="B45" s="3340"/>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335" t="str">
        <f>IF(项目基本情况!E9="抵押净值",IF(A45="——","4.抵押净值","5.抵押净值"),"——")</f>
        <v>——</v>
      </c>
      <c r="B46" s="3336"/>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80" t="s">
        <v>374</v>
      </c>
      <c r="B63" s="3381"/>
      <c r="C63" s="3382"/>
      <c r="D63" s="340">
        <f ca="1">ROUND(C42*F63,0)</f>
        <v>23579</v>
      </c>
      <c r="E63" s="301" t="s">
        <v>375</v>
      </c>
      <c r="F63" s="341">
        <v>0.6</v>
      </c>
      <c r="G63" s="342" t="s">
        <v>376</v>
      </c>
      <c r="H63" s="310"/>
      <c r="I63" s="310"/>
      <c r="J63" s="2012"/>
      <c r="K63" s="2012"/>
      <c r="L63" s="2012"/>
      <c r="M63" s="2012"/>
      <c r="N63" s="2012"/>
      <c r="O63" s="2012"/>
      <c r="P63" s="310"/>
      <c r="Q63" s="2012"/>
      <c r="R63" s="2012"/>
      <c r="S63" s="2012"/>
      <c r="T63" s="2012"/>
      <c r="U63" s="2012"/>
      <c r="V63" s="2012"/>
    </row>
    <row r="64" spans="1:22" ht="14.25" customHeight="1">
      <c r="A64" s="3341" t="s">
        <v>378</v>
      </c>
      <c r="B64" s="3342"/>
      <c r="C64" s="3342"/>
      <c r="D64" s="3342"/>
      <c r="E64" s="3342"/>
      <c r="F64" s="3342"/>
      <c r="G64" s="3343"/>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5.5">
      <c r="A66" s="3337" t="s">
        <v>386</v>
      </c>
      <c r="B66" s="3338"/>
      <c r="C66" s="3338"/>
      <c r="D66" s="260">
        <f ca="1">IF(H66="情况1",0,IF(H66="情况2",D70,IF(H66="情况3",D71,IF(H66="情况4",D72))))</f>
        <v>1235</v>
      </c>
      <c r="E66" s="992" t="str">
        <f>IF(H66="情况4","(销售额-原购置价)×税（费）率","销售额×税（费）率")</f>
        <v>销售额×税（费）率</v>
      </c>
      <c r="F66" s="349">
        <f>IF(H66="情况1","免征",'数据-取费表'!B41)</f>
        <v>5.5000000000000007E-2</v>
      </c>
      <c r="G66" s="350" t="s">
        <v>387</v>
      </c>
      <c r="H66" s="191" t="s">
        <v>388</v>
      </c>
      <c r="I66" s="1283"/>
      <c r="J66" s="2018"/>
      <c r="K66" s="1286">
        <v>1</v>
      </c>
      <c r="L66" s="3395" t="s">
        <v>385</v>
      </c>
      <c r="M66" s="3396"/>
      <c r="N66" s="2421"/>
      <c r="O66" s="2422"/>
      <c r="P66" s="2423"/>
      <c r="Q66" s="2012"/>
      <c r="R66" s="2012"/>
      <c r="S66" s="2012"/>
      <c r="T66" s="2012"/>
      <c r="U66" s="2012"/>
      <c r="V66" s="2012"/>
    </row>
    <row r="67" spans="1:22" ht="25.5" customHeight="1">
      <c r="A67" s="351" t="s">
        <v>390</v>
      </c>
      <c r="B67" s="3328" t="s">
        <v>391</v>
      </c>
      <c r="C67" s="3328"/>
      <c r="D67" s="352">
        <v>0</v>
      </c>
      <c r="E67" s="41" t="s">
        <v>392</v>
      </c>
      <c r="F67" s="62" t="s">
        <v>21</v>
      </c>
      <c r="G67" s="3383"/>
      <c r="H67" s="310"/>
      <c r="I67" s="1287"/>
      <c r="J67" s="2019"/>
      <c r="K67" s="1960">
        <v>2</v>
      </c>
      <c r="L67" s="3394" t="s">
        <v>389</v>
      </c>
      <c r="M67" s="3394"/>
      <c r="N67" s="1320">
        <f>'数据-取费表'!B2</f>
        <v>43833</v>
      </c>
      <c r="O67" s="1320"/>
      <c r="P67" s="1320"/>
      <c r="Q67" s="2012"/>
      <c r="R67" s="2012"/>
      <c r="S67" s="2012"/>
      <c r="T67" s="2012"/>
      <c r="U67" s="2012"/>
      <c r="V67" s="2012"/>
    </row>
    <row r="68" spans="1:22" ht="25.5" customHeight="1">
      <c r="A68" s="353"/>
      <c r="B68" s="3328" t="s">
        <v>394</v>
      </c>
      <c r="C68" s="3328"/>
      <c r="D68" s="354"/>
      <c r="E68" s="77"/>
      <c r="F68" s="355"/>
      <c r="G68" s="3384"/>
      <c r="H68" s="310"/>
      <c r="I68" s="1287"/>
      <c r="J68" s="2019"/>
      <c r="K68" s="1960">
        <v>3</v>
      </c>
      <c r="L68" s="3394" t="s">
        <v>393</v>
      </c>
      <c r="M68" s="3394"/>
      <c r="N68" s="1288">
        <f ca="1">C42</f>
        <v>39298</v>
      </c>
      <c r="O68" s="1288"/>
      <c r="P68" s="1288"/>
      <c r="Q68" s="2012"/>
      <c r="R68" s="2012"/>
      <c r="S68" s="2012"/>
      <c r="T68" s="2012"/>
      <c r="U68" s="2012"/>
      <c r="V68" s="2012"/>
    </row>
    <row r="69" spans="1:22" ht="12" customHeight="1">
      <c r="A69" s="356"/>
      <c r="B69" s="3328" t="s">
        <v>395</v>
      </c>
      <c r="C69" s="3328"/>
      <c r="D69" s="357"/>
      <c r="E69" s="73"/>
      <c r="F69" s="355"/>
      <c r="G69" s="3385"/>
      <c r="H69" s="310"/>
      <c r="I69" s="1287"/>
      <c r="J69" s="2019"/>
      <c r="K69" s="1289">
        <v>4</v>
      </c>
      <c r="L69" s="3399" t="s">
        <v>2883</v>
      </c>
      <c r="M69" s="3400"/>
      <c r="N69" s="1290">
        <f ca="1">C44</f>
        <v>39298</v>
      </c>
      <c r="O69" s="1290"/>
      <c r="P69" s="1290"/>
      <c r="Q69" s="2012"/>
      <c r="R69" s="2012"/>
      <c r="S69" s="2012"/>
      <c r="T69" s="2012"/>
      <c r="U69" s="2012"/>
      <c r="V69" s="2012"/>
    </row>
    <row r="70" spans="1:22" ht="24" customHeight="1">
      <c r="A70" s="358" t="s">
        <v>396</v>
      </c>
      <c r="B70" s="3328" t="s">
        <v>397</v>
      </c>
      <c r="C70" s="3328"/>
      <c r="D70" s="357">
        <f ca="1">ROUND(D63*'数据-取费表'!B41/(1+'数据-取费表'!C42),0)</f>
        <v>1235</v>
      </c>
      <c r="E70" s="17" t="s">
        <v>398</v>
      </c>
      <c r="F70" s="359">
        <f>'数据-取费表'!B41</f>
        <v>5.5000000000000007E-2</v>
      </c>
      <c r="G70" s="360"/>
      <c r="H70" s="310"/>
      <c r="I70" s="1287"/>
      <c r="J70" s="2019"/>
      <c r="K70" s="3009"/>
      <c r="L70" s="3010"/>
      <c r="M70" s="3010"/>
      <c r="N70" s="3011" t="s">
        <v>2888</v>
      </c>
      <c r="O70" s="3010"/>
      <c r="P70" s="3012"/>
      <c r="Q70" s="2012"/>
      <c r="R70" s="2012"/>
      <c r="S70" s="2012"/>
      <c r="T70" s="2012"/>
      <c r="U70" s="2012"/>
      <c r="V70" s="2012"/>
    </row>
    <row r="71" spans="1:22" ht="12" customHeight="1">
      <c r="A71" s="358" t="s">
        <v>404</v>
      </c>
      <c r="B71" s="3329" t="s">
        <v>405</v>
      </c>
      <c r="C71" s="3330"/>
      <c r="D71" s="357">
        <f ca="1">ROUND(D63*'数据-取费表'!B41/(1+'数据-取费表'!C42),0)</f>
        <v>1235</v>
      </c>
      <c r="E71" s="17" t="s">
        <v>398</v>
      </c>
      <c r="F71" s="359">
        <f>'数据-取费表'!B41</f>
        <v>5.5000000000000007E-2</v>
      </c>
      <c r="G71" s="360"/>
      <c r="H71" s="310"/>
      <c r="I71" s="1287"/>
      <c r="J71" s="2019"/>
      <c r="K71" s="3008" t="s">
        <v>399</v>
      </c>
      <c r="L71" s="3401" t="s">
        <v>400</v>
      </c>
      <c r="M71" s="3401"/>
      <c r="N71" s="3008" t="s">
        <v>401</v>
      </c>
      <c r="O71" s="3008" t="s">
        <v>402</v>
      </c>
      <c r="P71" s="3008" t="s">
        <v>403</v>
      </c>
      <c r="Q71" s="2012"/>
      <c r="R71" s="2012"/>
      <c r="S71" s="2012"/>
      <c r="T71" s="2012"/>
      <c r="U71" s="2012"/>
      <c r="V71" s="2012"/>
    </row>
    <row r="72" spans="1:22" ht="12" customHeight="1">
      <c r="A72" s="358" t="s">
        <v>407</v>
      </c>
      <c r="B72" s="3329" t="s">
        <v>408</v>
      </c>
      <c r="C72" s="3330"/>
      <c r="D72" s="357">
        <f ca="1">C86</f>
        <v>1125</v>
      </c>
      <c r="E72" s="73" t="s">
        <v>409</v>
      </c>
      <c r="F72" s="359">
        <f>'数据-取费表'!B41</f>
        <v>5.5000000000000007E-2</v>
      </c>
      <c r="G72" s="360"/>
      <c r="H72" s="1293"/>
      <c r="I72" s="1287"/>
      <c r="J72" s="2019"/>
      <c r="K72" s="1960">
        <v>1</v>
      </c>
      <c r="L72" s="3376" t="s">
        <v>406</v>
      </c>
      <c r="M72" s="3376"/>
      <c r="N72" s="1291">
        <f ca="1">D66</f>
        <v>1235</v>
      </c>
      <c r="O72" s="1843" t="str">
        <f>E66</f>
        <v>销售额×税（费）率</v>
      </c>
      <c r="P72" s="1292">
        <f>F66</f>
        <v>5.5000000000000007E-2</v>
      </c>
      <c r="Q72" s="2012"/>
      <c r="R72" s="2012"/>
      <c r="S72" s="2012"/>
      <c r="T72" s="2012"/>
      <c r="U72" s="2012"/>
      <c r="V72" s="2012"/>
    </row>
    <row r="73" spans="1:22" ht="24" customHeight="1">
      <c r="A73" s="3370" t="s">
        <v>411</v>
      </c>
      <c r="B73" s="3338"/>
      <c r="C73" s="3338"/>
      <c r="D73" s="361">
        <f>IF(H73="个人住宅",0,ROUND(D63*I73,0))</f>
        <v>0</v>
      </c>
      <c r="E73" s="17" t="s">
        <v>412</v>
      </c>
      <c r="F73" s="359" t="str">
        <f>IF(H73="正常",I73,"免征")</f>
        <v>免征</v>
      </c>
      <c r="G73" s="360"/>
      <c r="H73" s="191" t="s">
        <v>2455</v>
      </c>
      <c r="I73" s="359">
        <f>'数据-取费表'!B49</f>
        <v>5.0000000000000001E-4</v>
      </c>
      <c r="J73" s="2019"/>
      <c r="K73" s="1960">
        <v>2</v>
      </c>
      <c r="L73" s="3376" t="s">
        <v>410</v>
      </c>
      <c r="M73" s="3376"/>
      <c r="N73" s="1291">
        <f t="shared" ref="N73:P74" si="1">D73</f>
        <v>0</v>
      </c>
      <c r="O73" s="1843" t="str">
        <f t="shared" si="1"/>
        <v>销售额×税（费）率</v>
      </c>
      <c r="P73" s="1292" t="str">
        <f t="shared" si="1"/>
        <v>免征</v>
      </c>
      <c r="Q73" s="2012"/>
      <c r="R73" s="2012"/>
      <c r="S73" s="2012"/>
      <c r="T73" s="2012"/>
      <c r="U73" s="2012"/>
      <c r="V73" s="2012"/>
    </row>
    <row r="74" spans="1:22" ht="24.75">
      <c r="A74" s="3370" t="s">
        <v>415</v>
      </c>
      <c r="B74" s="3338"/>
      <c r="C74" s="3338"/>
      <c r="D74" s="361">
        <f ca="1">IF(H74="个人住宅",D75,D76)</f>
        <v>12712</v>
      </c>
      <c r="E74" s="17" t="s">
        <v>416</v>
      </c>
      <c r="F74" s="359" t="str">
        <f>IF(H74="正常",F76,"免征")</f>
        <v>——</v>
      </c>
      <c r="G74" s="982" t="s">
        <v>417</v>
      </c>
      <c r="H74" s="362" t="s">
        <v>413</v>
      </c>
      <c r="I74" s="42"/>
      <c r="J74" s="2019"/>
      <c r="K74" s="1960">
        <v>3</v>
      </c>
      <c r="L74" s="3376" t="s">
        <v>414</v>
      </c>
      <c r="M74" s="3376"/>
      <c r="N74" s="1291">
        <f t="shared" ca="1" si="1"/>
        <v>12712</v>
      </c>
      <c r="O74" s="1843" t="str">
        <f t="shared" si="1"/>
        <v>增值额×税（费）率</v>
      </c>
      <c r="P74" s="1294" t="str">
        <f t="shared" si="1"/>
        <v>——</v>
      </c>
      <c r="Q74" s="2012"/>
      <c r="R74" s="2012"/>
      <c r="S74" s="2012"/>
      <c r="T74" s="2012"/>
      <c r="U74" s="2012"/>
      <c r="V74" s="2012"/>
    </row>
    <row r="75" spans="1:22" ht="24">
      <c r="A75" s="358" t="s">
        <v>418</v>
      </c>
      <c r="B75" s="3326" t="s">
        <v>419</v>
      </c>
      <c r="C75" s="3356"/>
      <c r="D75" s="363">
        <v>0</v>
      </c>
      <c r="E75" s="41" t="s">
        <v>420</v>
      </c>
      <c r="F75" s="364"/>
      <c r="G75" s="360"/>
      <c r="H75" s="42"/>
      <c r="I75" s="42"/>
      <c r="J75" s="2019"/>
      <c r="K75" s="3001">
        <f>IF(H77="非个人房产","",4)</f>
        <v>4</v>
      </c>
      <c r="L75" s="3376" t="str">
        <f>IF(H77="非个人房产","——","个人所得税")</f>
        <v>个人所得税</v>
      </c>
      <c r="M75" s="3376"/>
      <c r="N75" s="1295">
        <f ca="1">D77</f>
        <v>236</v>
      </c>
      <c r="O75" s="1856" t="str">
        <f>E77</f>
        <v>销售额×税（费）率</v>
      </c>
      <c r="P75" s="1296">
        <f>F77</f>
        <v>0.01</v>
      </c>
      <c r="Q75" s="2012"/>
      <c r="R75" s="2012"/>
      <c r="S75" s="2012"/>
      <c r="T75" s="2012"/>
      <c r="U75" s="2012"/>
      <c r="V75" s="2012"/>
    </row>
    <row r="76" spans="1:22" ht="24.75">
      <c r="A76" s="358" t="s">
        <v>396</v>
      </c>
      <c r="B76" s="3326" t="s">
        <v>422</v>
      </c>
      <c r="C76" s="3327"/>
      <c r="D76" s="361">
        <f ca="1">IF(H76="转让取得",C99,C115)</f>
        <v>12712</v>
      </c>
      <c r="E76" s="17" t="s">
        <v>423</v>
      </c>
      <c r="F76" s="53" t="s">
        <v>21</v>
      </c>
      <c r="G76" s="360"/>
      <c r="H76" s="362" t="s">
        <v>424</v>
      </c>
      <c r="I76" s="42"/>
      <c r="J76" s="2019"/>
      <c r="K76" s="3001" t="str">
        <f>IF(项目基本情况!K6="上海银行",IF(K75="",4,K75+1),"")</f>
        <v/>
      </c>
      <c r="L76" s="3387" t="str">
        <f>IF(项目基本情况!K6="上海银行","其他处置费用","")</f>
        <v/>
      </c>
      <c r="M76" s="3388"/>
      <c r="N76" s="1291" t="str">
        <f>IF(项目基本情况!K6="上海银行",N89,"")</f>
        <v/>
      </c>
      <c r="O76" s="3389" t="str">
        <f>IF(项目基本情况!K6="上海银行","包含处置中涉及的律师、诉讼、拍卖、评估等费用","")</f>
        <v/>
      </c>
      <c r="P76" s="3390"/>
      <c r="Q76" s="2012"/>
      <c r="R76" s="2012"/>
      <c r="S76" s="2012"/>
      <c r="T76" s="2012"/>
      <c r="U76" s="2012"/>
      <c r="V76" s="2012"/>
    </row>
    <row r="77" spans="1:22" ht="26.25" thickBot="1">
      <c r="A77" s="3378" t="s">
        <v>426</v>
      </c>
      <c r="B77" s="3379"/>
      <c r="C77" s="3379"/>
      <c r="D77" s="365">
        <f ca="1">IF(H77="非个人房产","——",IF(H77="个人住宅",0,ROUND(D63*I77,0)))</f>
        <v>236</v>
      </c>
      <c r="E77" s="366" t="str">
        <f>IF(H77="非个人房产","——","销售额×税（费）率")</f>
        <v>销售额×税（费）率</v>
      </c>
      <c r="F77" s="367">
        <f>IF(H77="非个人房产","——",IF(H77="个人住宅","免征",I77))</f>
        <v>0.01</v>
      </c>
      <c r="G77" s="983" t="s">
        <v>417</v>
      </c>
      <c r="H77" s="362" t="s">
        <v>2884</v>
      </c>
      <c r="I77" s="368">
        <v>0.01</v>
      </c>
      <c r="J77" s="2019"/>
      <c r="K77" s="3377">
        <f>IF(AND(K75="",K76=""),4,IF(项目基本情况!K6="上海银行",K76+1,K75+1))</f>
        <v>5</v>
      </c>
      <c r="L77" s="3376" t="s">
        <v>2885</v>
      </c>
      <c r="M77" s="3007" t="s">
        <v>421</v>
      </c>
      <c r="N77" s="1297"/>
      <c r="O77" s="1298">
        <f ca="1">SUMIF(N72:N76,"&lt;9e307")</f>
        <v>14183</v>
      </c>
      <c r="P77" s="1299"/>
      <c r="Q77" s="3005">
        <f ca="1">O77/N69</f>
        <v>0.36090895210952212</v>
      </c>
      <c r="R77" s="2012"/>
      <c r="S77" s="2012"/>
      <c r="T77" s="2012"/>
      <c r="U77" s="2012"/>
      <c r="V77" s="2012"/>
    </row>
    <row r="78" spans="1:22" ht="12" customHeight="1">
      <c r="A78" s="1300"/>
      <c r="B78" s="310"/>
      <c r="C78" s="310"/>
      <c r="D78" s="310"/>
      <c r="E78" s="42"/>
      <c r="F78" s="42"/>
      <c r="G78" s="42"/>
      <c r="H78" s="1002"/>
      <c r="I78" s="310"/>
      <c r="J78" s="2019"/>
      <c r="K78" s="3377"/>
      <c r="L78" s="3376"/>
      <c r="M78" s="3007" t="s">
        <v>425</v>
      </c>
      <c r="N78" s="1297"/>
      <c r="O78" s="1298" t="str">
        <f ca="1">NUMBERSTRING(INT(O77*10000),2)&amp;"元整"</f>
        <v>壹亿肆仟壹佰捌拾叁万元整</v>
      </c>
      <c r="P78" s="1299"/>
      <c r="Q78" s="2012"/>
      <c r="R78" s="2012"/>
      <c r="S78" s="2012"/>
      <c r="T78" s="2012"/>
      <c r="U78" s="2012"/>
      <c r="V78" s="2012"/>
    </row>
    <row r="79" spans="1:22" ht="13.5" thickBot="1">
      <c r="A79" s="3371" t="s">
        <v>427</v>
      </c>
      <c r="B79" s="3371"/>
      <c r="C79" s="3371"/>
      <c r="D79" s="3371"/>
      <c r="E79" s="3371"/>
      <c r="F79" s="42"/>
      <c r="G79" s="42"/>
      <c r="H79" s="1002"/>
      <c r="I79" s="310"/>
      <c r="J79" s="2019"/>
      <c r="K79" s="3397">
        <f>K77+1</f>
        <v>6</v>
      </c>
      <c r="L79" s="3376" t="s">
        <v>2886</v>
      </c>
      <c r="M79" s="3007" t="s">
        <v>421</v>
      </c>
      <c r="N79" s="1297"/>
      <c r="O79" s="1298">
        <f ca="1">N69-O77</f>
        <v>25115</v>
      </c>
      <c r="P79" s="1299"/>
      <c r="Q79" s="2012"/>
      <c r="R79" s="2012"/>
      <c r="S79" s="2012"/>
      <c r="T79" s="2012"/>
      <c r="U79" s="2012"/>
      <c r="V79" s="2012"/>
    </row>
    <row r="80" spans="1:22" ht="25.5">
      <c r="A80" s="3366" t="s">
        <v>428</v>
      </c>
      <c r="B80" s="3367"/>
      <c r="C80" s="993"/>
      <c r="D80" s="993" t="s">
        <v>429</v>
      </c>
      <c r="E80" s="369" t="s">
        <v>430</v>
      </c>
      <c r="F80" s="42"/>
      <c r="G80" s="42"/>
      <c r="H80" s="1002"/>
      <c r="I80" s="310"/>
      <c r="J80" s="2012"/>
      <c r="K80" s="3398"/>
      <c r="L80" s="3376"/>
      <c r="M80" s="3007" t="s">
        <v>425</v>
      </c>
      <c r="N80" s="1297"/>
      <c r="O80" s="1298" t="str">
        <f ca="1">NUMBERSTRING(INT(O79*10000),2)&amp;"元整"</f>
        <v>贰亿伍仟壹佰壹拾伍万元整</v>
      </c>
      <c r="P80" s="1299"/>
      <c r="Q80" s="2012"/>
      <c r="R80" s="2012"/>
      <c r="S80" s="2012"/>
      <c r="T80" s="2012"/>
      <c r="U80" s="2012"/>
      <c r="V80" s="2012"/>
    </row>
    <row r="81" spans="1:26" ht="13.5" thickBot="1">
      <c r="A81" s="380" t="s">
        <v>1823</v>
      </c>
      <c r="B81" s="370" t="s">
        <v>431</v>
      </c>
      <c r="C81" s="371">
        <f ca="1">ROUND((C82+C83)/(1+'数据-取费表'!C42),0)</f>
        <v>22456</v>
      </c>
      <c r="D81" s="372"/>
      <c r="E81" s="373"/>
      <c r="F81" s="42"/>
      <c r="G81" s="42"/>
      <c r="H81" s="1002"/>
      <c r="I81" s="310"/>
      <c r="J81" s="2012"/>
      <c r="K81" s="3001">
        <f>K79+1</f>
        <v>7</v>
      </c>
      <c r="L81" s="3374" t="s">
        <v>2887</v>
      </c>
      <c r="M81" s="3375"/>
      <c r="N81" s="1301"/>
      <c r="O81" s="1302">
        <f ca="1">ROUND(O79*10000/'数据-汇总表'!E3,0)</f>
        <v>494</v>
      </c>
      <c r="P81" s="1303"/>
      <c r="Q81" s="2012"/>
      <c r="R81" s="2012"/>
      <c r="S81" s="2012"/>
      <c r="T81" s="2012"/>
      <c r="U81" s="2012"/>
      <c r="V81" s="2012"/>
    </row>
    <row r="82" spans="1:26" ht="13.5" thickTop="1">
      <c r="A82" s="374" t="s">
        <v>1824</v>
      </c>
      <c r="B82" s="375" t="s">
        <v>432</v>
      </c>
      <c r="C82" s="376">
        <f ca="1">D63</f>
        <v>23579</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1825</v>
      </c>
      <c r="B83" s="375" t="s">
        <v>433</v>
      </c>
      <c r="C83" s="379">
        <v>0</v>
      </c>
      <c r="D83" s="377"/>
      <c r="E83" s="378"/>
      <c r="F83" s="42"/>
      <c r="G83" s="42"/>
      <c r="H83" s="1002"/>
      <c r="I83" s="310"/>
      <c r="J83" s="2012"/>
      <c r="K83" s="3386" t="s">
        <v>2874</v>
      </c>
      <c r="L83" s="3013" t="s">
        <v>2875</v>
      </c>
      <c r="M83" s="3003">
        <f ca="1">IF(N69&gt;10000,N69*0.5%,IF(AND(N69&gt;1000,N69&lt;=10000),N69*1%,IF(AND(N69&gt;100,N69&lt;=1000),N69*3%,IF(AND(N69&gt;10,N69&lt;=100),N69*5%,N69*8%))))</f>
        <v>196.49</v>
      </c>
      <c r="N83" s="53">
        <f ca="1">ROUND(M83,1)</f>
        <v>196.5</v>
      </c>
      <c r="O83" s="3006"/>
      <c r="P83" s="2012"/>
      <c r="Q83" s="2012"/>
      <c r="R83" s="2012"/>
      <c r="S83" s="2012"/>
      <c r="T83" s="2012"/>
      <c r="U83" s="2012"/>
      <c r="V83" s="2012"/>
    </row>
    <row r="84" spans="1:26" ht="12.75">
      <c r="A84" s="380" t="s">
        <v>1826</v>
      </c>
      <c r="B84" s="381" t="s">
        <v>434</v>
      </c>
      <c r="C84" s="382">
        <v>2000</v>
      </c>
      <c r="D84" s="383" t="s">
        <v>19</v>
      </c>
      <c r="E84" s="3048" t="s">
        <v>2942</v>
      </c>
      <c r="F84" s="42"/>
      <c r="G84" s="42"/>
      <c r="H84" s="1002"/>
      <c r="I84" s="310"/>
      <c r="J84" s="2012"/>
      <c r="K84" s="3386"/>
      <c r="L84" s="3013" t="s">
        <v>2876</v>
      </c>
      <c r="M84" s="3003">
        <f ca="1">IF(N69&gt;2000,N69*0.5%,IF(AND(N69&gt;1000,N69&lt;=2000),N69*0.6%,IF(AND(N69&gt;500,N69&lt;=1000),N69*0.7%,IF(AND(N69&gt;200,N69&lt;=500),N69*0.8%,IF(AND(N69&gt;100,N69&lt;=200),N69*0.9%,IF(AND(N69&gt;50,N69&lt;=100),N69*1%,IF(AND(N69&gt;20,N69&lt;=50),N69*1.5%,IF(AND(N69&gt;10,N69&lt;=20),N69*2%,IF(AND(N69&gt;1,N69&lt;=10),N69*2.5%)))))))))</f>
        <v>196.49</v>
      </c>
      <c r="N84" s="53">
        <f t="shared" ref="N84:N85" ca="1" si="2">ROUND(M84,1)</f>
        <v>196.5</v>
      </c>
      <c r="O84" s="2012" t="s">
        <v>2877</v>
      </c>
      <c r="P84" s="2012"/>
      <c r="Q84" s="2012"/>
      <c r="R84" s="2012"/>
      <c r="S84" s="2012"/>
      <c r="T84" s="2012"/>
      <c r="U84" s="2012"/>
      <c r="V84" s="2012"/>
    </row>
    <row r="85" spans="1:26" ht="12.75">
      <c r="A85" s="380" t="s">
        <v>1827</v>
      </c>
      <c r="B85" s="381" t="s">
        <v>435</v>
      </c>
      <c r="C85" s="384">
        <f ca="1">C81-C84</f>
        <v>20456</v>
      </c>
      <c r="D85" s="377" t="s">
        <v>19</v>
      </c>
      <c r="E85" s="378"/>
      <c r="F85" s="42"/>
      <c r="G85" s="42"/>
      <c r="H85" s="1002"/>
      <c r="I85" s="310"/>
      <c r="J85" s="2012"/>
      <c r="K85" s="3386"/>
      <c r="L85" s="3013" t="s">
        <v>2878</v>
      </c>
      <c r="M85" s="3003">
        <f ca="1">IF(N69&gt;1000,N69*0.1%,IF(AND(N69&gt;500,N69&lt;=1000),N69*0.5%,IF(AND(N69&gt;50,N69&lt;=500),N69*1%,IF(AND(N69&gt;1,N69&lt;=50),N69*1.5%))))</f>
        <v>39.298000000000002</v>
      </c>
      <c r="N85" s="53">
        <f t="shared" ca="1" si="2"/>
        <v>39.299999999999997</v>
      </c>
      <c r="O85" s="2012" t="s">
        <v>2877</v>
      </c>
      <c r="P85" s="2012"/>
      <c r="Q85" s="2012"/>
      <c r="R85" s="2012"/>
      <c r="S85" s="2012"/>
      <c r="T85" s="2012"/>
      <c r="U85" s="2012"/>
      <c r="V85" s="2012"/>
    </row>
    <row r="86" spans="1:26" ht="13.5" thickBot="1">
      <c r="A86" s="385" t="s">
        <v>1828</v>
      </c>
      <c r="B86" s="386" t="s">
        <v>436</v>
      </c>
      <c r="C86" s="387">
        <f ca="1">IF(C85&lt;=0,0,ROUND(C85*D86,0))</f>
        <v>1125</v>
      </c>
      <c r="D86" s="388">
        <f>'数据-取费表'!B41</f>
        <v>5.5000000000000007E-2</v>
      </c>
      <c r="E86" s="389"/>
      <c r="F86" s="42"/>
      <c r="G86" s="42"/>
      <c r="H86" s="1002"/>
      <c r="I86" s="310"/>
      <c r="J86" s="2012"/>
      <c r="K86" s="3386"/>
      <c r="L86" s="3013" t="s">
        <v>2879</v>
      </c>
      <c r="M86" s="3003">
        <f ca="1">N69*0.5%</f>
        <v>196.49</v>
      </c>
      <c r="N86" s="53">
        <f ca="1">IF(M86&gt;0.5,0.5,ROUND(M86,0))</f>
        <v>0.5</v>
      </c>
      <c r="O86" s="2012" t="s">
        <v>2880</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386"/>
      <c r="L87" s="3013" t="s">
        <v>2881</v>
      </c>
      <c r="M87" s="3003">
        <f ca="1">IF(N69&gt;=10000,(8.25+(N69-10000)*0.01%),IF(AND(N69&gt;=8000,N69&lt;10000),(7.85+(N69-8000)*0.02%),IF(AND(N69&gt;=5000,N69&lt;8000),(6.65+(N69-5000)*0.04%),IF(AND(N69&gt;=2000,N69&lt;5000),(4.25+(PN69-2000)*0.08%),IF(AND(N69&gt;=1000,N69&lt;2000),(2.75+(N69-1000)*0.15%),IF(AND(N69&gt;=100,N69&lt;1000),(0.5+(N69-100)*0.25%),IF(AND(N69&gt;0,N69&lt;100),N69*0.5%)))))))</f>
        <v>11.1798</v>
      </c>
      <c r="N87" s="53">
        <f ca="1">ROUND(M87*0.9,1)</f>
        <v>10.1</v>
      </c>
      <c r="O87" s="3006"/>
      <c r="P87" s="310"/>
      <c r="Q87" s="2012"/>
      <c r="R87" s="2012"/>
      <c r="S87" s="2012"/>
      <c r="T87" s="2012"/>
      <c r="U87" s="2012"/>
      <c r="V87" s="2012"/>
      <c r="W87" s="291"/>
      <c r="X87" s="291"/>
      <c r="Y87" s="291"/>
      <c r="Z87" s="291"/>
    </row>
    <row r="88" spans="1:26" s="1309" customFormat="1" ht="15" thickBot="1">
      <c r="A88" s="3368" t="s">
        <v>437</v>
      </c>
      <c r="B88" s="3369"/>
      <c r="C88" s="3369"/>
      <c r="D88" s="3369"/>
      <c r="E88" s="3369"/>
      <c r="F88" s="3369"/>
      <c r="G88" s="3369"/>
      <c r="H88" s="3369"/>
      <c r="I88" s="1310"/>
      <c r="J88" s="2020"/>
      <c r="K88" s="3386"/>
      <c r="L88" s="3013" t="s">
        <v>2882</v>
      </c>
      <c r="M88" s="3003">
        <f ca="1">IF(N69&gt;10000,N69*0.5%,IF(AND(N69&gt;5000,N69&lt;=10000),N69*1%,IF(AND(N69&gt;1000,N69&lt;=5000),N69*2%,IF(AND(N69&gt;200,N69&lt;=1000),N69*3%,N69*5%))))</f>
        <v>196.49</v>
      </c>
      <c r="N88" s="53">
        <f ca="1">ROUND(M88,1)</f>
        <v>196.5</v>
      </c>
      <c r="O88" s="3006"/>
      <c r="P88" s="11"/>
      <c r="Q88" s="2017"/>
      <c r="R88" s="2017"/>
      <c r="S88" s="2017"/>
      <c r="T88" s="2017"/>
      <c r="U88" s="2017"/>
      <c r="V88" s="2017"/>
      <c r="W88" s="2021"/>
      <c r="X88" s="2021"/>
      <c r="Y88" s="2021"/>
      <c r="Z88" s="2021"/>
    </row>
    <row r="89" spans="1:26" s="1309" customFormat="1" ht="14.25">
      <c r="A89" s="3366" t="s">
        <v>428</v>
      </c>
      <c r="B89" s="3367"/>
      <c r="C89" s="993"/>
      <c r="D89" s="993" t="s">
        <v>429</v>
      </c>
      <c r="E89" s="390" t="s">
        <v>438</v>
      </c>
      <c r="F89" s="391"/>
      <c r="G89" s="391"/>
      <c r="H89" s="392"/>
      <c r="I89" s="1311"/>
      <c r="J89" s="2022"/>
      <c r="K89" s="3386"/>
      <c r="L89" s="3013" t="s">
        <v>27</v>
      </c>
      <c r="M89" s="3004"/>
      <c r="N89" s="53">
        <f ca="1">ROUND(SUM(N83:N88),0)</f>
        <v>639</v>
      </c>
      <c r="O89" s="3014">
        <f ca="1">N89/N69</f>
        <v>1.6260369484452135E-2</v>
      </c>
      <c r="P89" s="2017"/>
      <c r="Q89" s="2017"/>
      <c r="R89" s="2017"/>
      <c r="S89" s="2017"/>
      <c r="T89" s="2017"/>
      <c r="U89" s="2017"/>
      <c r="V89" s="2017"/>
      <c r="W89" s="2021"/>
      <c r="X89" s="2021"/>
      <c r="Y89" s="2021"/>
      <c r="Z89" s="2021"/>
    </row>
    <row r="90" spans="1:26" s="1309" customFormat="1" ht="14.25">
      <c r="A90" s="380" t="s">
        <v>1823</v>
      </c>
      <c r="B90" s="381" t="s">
        <v>439</v>
      </c>
      <c r="C90" s="384">
        <f ca="1">ROUND(D63/(1+'数据-取费表'!C42),0)</f>
        <v>22456</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1829</v>
      </c>
      <c r="B91" s="347" t="s">
        <v>440</v>
      </c>
      <c r="C91" s="384">
        <f ca="1">C92+C96</f>
        <v>2673</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3329" t="s">
        <v>447</v>
      </c>
      <c r="F94" s="3328"/>
      <c r="G94" s="3328"/>
      <c r="H94" s="3365"/>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112</v>
      </c>
      <c r="D96" s="405">
        <f>'数据-取费表'!B43</f>
        <v>5.000000000000001E-3</v>
      </c>
      <c r="E96" s="3357" t="s">
        <v>2428</v>
      </c>
      <c r="F96" s="3358"/>
      <c r="G96" s="3358"/>
      <c r="H96" s="3359"/>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1" t="s">
        <v>451</v>
      </c>
      <c r="C97" s="384">
        <f ca="1">C90-C91</f>
        <v>19783</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7.4010475121586232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6" t="s">
        <v>453</v>
      </c>
      <c r="C99" s="407">
        <f ca="1">ROUND(IF(C97&lt;=0,0,IF(C98&gt;=200%,C97*60%-C91*35%,IF(C98&gt;=100%,C97*50%-C91*15%,IF(C98&gt;=50%,C97*40%-C91*5%,IF(C98&lt;50%,C97*30%,0))))),0)</f>
        <v>10934</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68" t="s">
        <v>454</v>
      </c>
      <c r="B101" s="3369"/>
      <c r="C101" s="3369"/>
      <c r="D101" s="3369"/>
      <c r="E101" s="3369"/>
      <c r="F101" s="3369"/>
      <c r="G101" s="3369"/>
      <c r="H101" s="3369"/>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66" t="s">
        <v>428</v>
      </c>
      <c r="B102" s="3367"/>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1823</v>
      </c>
      <c r="B103" s="381" t="s">
        <v>439</v>
      </c>
      <c r="C103" s="384">
        <f ca="1">ROUND(D63/(1+'数据-取费表'!C42),0)</f>
        <v>22456</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1829</v>
      </c>
      <c r="B104" s="347" t="s">
        <v>440</v>
      </c>
      <c r="C104" s="384">
        <f ca="1">IF(H106="仅含出让金",C105+C108+C109+C110+C111+C112,C105+C109+C110+C111+C112)</f>
        <v>802</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1830</v>
      </c>
      <c r="B105" s="375" t="s">
        <v>455</v>
      </c>
      <c r="C105" s="404">
        <f>C106+C107</f>
        <v>572</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1831</v>
      </c>
      <c r="B106" s="375" t="s">
        <v>456</v>
      </c>
      <c r="C106" s="415">
        <v>555</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1832</v>
      </c>
      <c r="B107" s="375" t="s">
        <v>448</v>
      </c>
      <c r="C107" s="404">
        <f>ROUND(C106*D107,0)</f>
        <v>17</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55</v>
      </c>
      <c r="D109" s="405"/>
      <c r="E109" s="3360" t="s">
        <v>462</v>
      </c>
      <c r="F109" s="3358"/>
      <c r="G109" s="3358"/>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63</v>
      </c>
      <c r="D110" s="405">
        <v>0.1</v>
      </c>
      <c r="E110" s="3360" t="s">
        <v>464</v>
      </c>
      <c r="F110" s="3358"/>
      <c r="G110" s="3358"/>
      <c r="H110" s="3359"/>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112</v>
      </c>
      <c r="D111" s="405">
        <f>'数据-取费表'!B43</f>
        <v>5.000000000000001E-3</v>
      </c>
      <c r="E111" s="3357" t="s">
        <v>2428</v>
      </c>
      <c r="F111" s="3358"/>
      <c r="G111" s="3358"/>
      <c r="H111" s="3359"/>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3360" t="s">
        <v>2453</v>
      </c>
      <c r="F112" s="3358"/>
      <c r="G112" s="3358"/>
      <c r="H112" s="3359"/>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1" t="s">
        <v>451</v>
      </c>
      <c r="C113" s="384">
        <f ca="1">ROUND(C103-C104,0)</f>
        <v>21654</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27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6" t="s">
        <v>453</v>
      </c>
      <c r="C115" s="407">
        <f ca="1">ROUND(IF(C113&lt;=0,0,IF(C114&gt;=200%,C113*60%-C104*35%,IF(C114&gt;=100%,C113*50%-C104*15%,IF(C114&gt;=50%,C113*40%-C104*5%,IF(C114&lt;50%,C113*30%,0))))),0)</f>
        <v>12712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36" t="str">
        <f>项目基本情况!B1</f>
        <v>湖北省黄石市黄金山开发区大棋路以北卫楼下路以东出让国有建设用地使用权抵押价格预评估</v>
      </c>
      <c r="C37" s="3236"/>
      <c r="D37" s="3236"/>
      <c r="E37" s="3236"/>
      <c r="F37" s="3236"/>
      <c r="G37" s="3236"/>
      <c r="H37" s="3236"/>
      <c r="I37" s="3236"/>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0" zoomScaleNormal="95" zoomScaleSheetLayoutView="80" workbookViewId="0">
      <selection activeCell="I48" sqref="I48"/>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47046</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925</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3068</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205</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3411" t="s">
        <v>522</v>
      </c>
      <c r="D6" s="3412"/>
      <c r="E6" s="3411" t="s">
        <v>523</v>
      </c>
      <c r="F6" s="3412"/>
      <c r="G6" s="3411" t="s">
        <v>524</v>
      </c>
      <c r="H6" s="3412"/>
      <c r="I6" s="3411" t="s">
        <v>525</v>
      </c>
      <c r="J6" s="3412"/>
      <c r="K6" s="513" t="s">
        <v>526</v>
      </c>
      <c r="L6" s="2117"/>
      <c r="M6" s="2116"/>
      <c r="N6" s="2116"/>
      <c r="O6" s="2118"/>
      <c r="P6" s="3413" t="s">
        <v>527</v>
      </c>
      <c r="Q6" s="3414"/>
      <c r="R6" s="3419" t="s">
        <v>523</v>
      </c>
      <c r="S6" s="3420"/>
      <c r="T6" s="3419" t="s">
        <v>524</v>
      </c>
      <c r="U6" s="3420"/>
      <c r="V6" s="3406" t="s">
        <v>525</v>
      </c>
      <c r="W6" s="3406"/>
      <c r="X6" s="1552"/>
      <c r="Y6" s="3419" t="s">
        <v>527</v>
      </c>
      <c r="Z6" s="3420"/>
      <c r="AA6" s="3408" t="s">
        <v>523</v>
      </c>
      <c r="AB6" s="3409" t="s">
        <v>524</v>
      </c>
      <c r="AC6" s="3408" t="s">
        <v>525</v>
      </c>
    </row>
    <row r="7" spans="1:30" ht="72.75" customHeight="1">
      <c r="A7" s="514"/>
      <c r="B7" s="515"/>
      <c r="C7" s="3429" t="str">
        <f>项目基本情况!F10</f>
        <v>黄石市黄金山开发区大棋路以北卫楼下路以东</v>
      </c>
      <c r="D7" s="3428"/>
      <c r="E7" s="3427" t="str">
        <f>土地案例!A2</f>
        <v>大棋路以北圣明路以东四棵大道以南A-02</v>
      </c>
      <c r="F7" s="3428"/>
      <c r="G7" s="3427" t="str">
        <f>土地案例!A3</f>
        <v>大棋路以北圣明路以东四棵大道以南A-01</v>
      </c>
      <c r="H7" s="3428"/>
      <c r="I7" s="3427" t="str">
        <f>土地案例!A4</f>
        <v>金湖大道西侧、大棋路还建点东侧</v>
      </c>
      <c r="J7" s="3428"/>
      <c r="K7" s="513"/>
      <c r="L7" s="2117"/>
      <c r="M7" s="2116"/>
      <c r="N7" s="2116"/>
      <c r="O7" s="2118"/>
      <c r="P7" s="3415"/>
      <c r="Q7" s="3416"/>
      <c r="R7" s="3421"/>
      <c r="S7" s="3422"/>
      <c r="T7" s="3421"/>
      <c r="U7" s="3422"/>
      <c r="V7" s="3406"/>
      <c r="W7" s="3406"/>
      <c r="X7" s="1552"/>
      <c r="Y7" s="3421"/>
      <c r="Z7" s="3422"/>
      <c r="AA7" s="3409"/>
      <c r="AB7" s="3409"/>
      <c r="AC7" s="3409"/>
    </row>
    <row r="8" spans="1:30" ht="21" thickBot="1">
      <c r="A8" s="514"/>
      <c r="B8" s="515"/>
      <c r="C8" s="3430" t="s">
        <v>2935</v>
      </c>
      <c r="D8" s="3431"/>
      <c r="E8" s="3430" t="s">
        <v>2935</v>
      </c>
      <c r="F8" s="3431"/>
      <c r="G8" s="3425" t="s">
        <v>2935</v>
      </c>
      <c r="H8" s="3426"/>
      <c r="I8" s="3425" t="s">
        <v>2935</v>
      </c>
      <c r="J8" s="3426"/>
      <c r="K8" s="513" t="s">
        <v>528</v>
      </c>
      <c r="L8" s="2117"/>
      <c r="M8" s="2116"/>
      <c r="N8" s="2116"/>
      <c r="O8" s="2118"/>
      <c r="P8" s="3417"/>
      <c r="Q8" s="3418"/>
      <c r="R8" s="3421"/>
      <c r="S8" s="3422"/>
      <c r="T8" s="3423"/>
      <c r="U8" s="3424"/>
      <c r="V8" s="3406"/>
      <c r="W8" s="3406"/>
      <c r="X8" s="1552"/>
      <c r="Y8" s="3423"/>
      <c r="Z8" s="3424"/>
      <c r="AA8" s="3410"/>
      <c r="AB8" s="3410"/>
      <c r="AC8" s="3410"/>
    </row>
    <row r="9" spans="1:30" s="1215" customFormat="1" ht="21" thickBot="1">
      <c r="A9" s="2866"/>
      <c r="B9" s="2873" t="s">
        <v>529</v>
      </c>
      <c r="C9" s="2865">
        <f>'数据-取费表'!B2</f>
        <v>43833</v>
      </c>
      <c r="D9" s="519">
        <v>100</v>
      </c>
      <c r="E9" s="520" t="str">
        <f>土地案例!AA2</f>
        <v>2019-09-23</v>
      </c>
      <c r="F9" s="521">
        <f>SUMIF(72:72,YEAR(E9)&amp;"-"&amp;INT((MONTH(E9)+2)/3),73:73)</f>
        <v>98</v>
      </c>
      <c r="G9" s="522" t="str">
        <f>土地案例!AA3</f>
        <v>2019-09-23</v>
      </c>
      <c r="H9" s="519">
        <f>SUMIF(72:72,YEAR(G9)&amp;"-"&amp;INT((MONTH(G9)+2)/3),73:73)</f>
        <v>98</v>
      </c>
      <c r="I9" s="522" t="str">
        <f>土地案例!AA4</f>
        <v>2018-02-13</v>
      </c>
      <c r="J9" s="519">
        <f>SUMIF(72:72,YEAR(I9)&amp;"-"&amp;INT((MONTH(I9)+2)/3),73:73)</f>
        <v>92</v>
      </c>
      <c r="K9" s="523"/>
      <c r="L9" s="2119"/>
      <c r="M9" s="2116"/>
      <c r="N9" s="2116"/>
      <c r="O9" s="2120"/>
      <c r="P9" s="3437" t="s">
        <v>530</v>
      </c>
      <c r="Q9" s="3439"/>
      <c r="R9" s="1553" t="s">
        <v>8</v>
      </c>
      <c r="S9" s="1554">
        <f t="shared" ref="S9:S17" si="0">F9</f>
        <v>98</v>
      </c>
      <c r="T9" s="1553" t="s">
        <v>8</v>
      </c>
      <c r="U9" s="1554">
        <f t="shared" ref="U9:U17" si="1">H9</f>
        <v>98</v>
      </c>
      <c r="V9" s="1553" t="s">
        <v>8</v>
      </c>
      <c r="W9" s="1554">
        <f t="shared" ref="W9:W17" si="2">J9</f>
        <v>92</v>
      </c>
      <c r="X9" s="1555"/>
      <c r="Y9" s="3437" t="s">
        <v>530</v>
      </c>
      <c r="Z9" s="3438"/>
      <c r="AA9" s="1556">
        <f>D9/F9</f>
        <v>1.0204081632653061</v>
      </c>
      <c r="AB9" s="1556">
        <f>D9/H9</f>
        <v>1.0204081632653061</v>
      </c>
      <c r="AC9" s="1556">
        <f>D9/J9</f>
        <v>1.0869565217391304</v>
      </c>
    </row>
    <row r="10" spans="1:30" s="1215" customFormat="1" ht="21" thickBot="1">
      <c r="A10" s="2867"/>
      <c r="B10" s="2874" t="s">
        <v>531</v>
      </c>
      <c r="C10" s="855" t="s">
        <v>532</v>
      </c>
      <c r="D10" s="519">
        <v>100</v>
      </c>
      <c r="E10" s="524" t="s">
        <v>3043</v>
      </c>
      <c r="F10" s="521">
        <f>SUMIF(75:75,E10,76:76)-SUMIF(75:75,C10,76:76)+100</f>
        <v>100</v>
      </c>
      <c r="G10" s="524" t="s">
        <v>3043</v>
      </c>
      <c r="H10" s="519">
        <f>SUMIF(75:75,G10,76:76)-SUMIF(75:75,C10,76:76)+100</f>
        <v>100</v>
      </c>
      <c r="I10" s="524" t="s">
        <v>3043</v>
      </c>
      <c r="J10" s="519">
        <f>SUMIF(75:75,I10,76:76)-SUMIF(75:75,C10,76:76)+100</f>
        <v>100</v>
      </c>
      <c r="K10" s="523"/>
      <c r="L10" s="2119"/>
      <c r="M10" s="2116"/>
      <c r="N10" s="2116"/>
      <c r="O10" s="2120"/>
      <c r="P10" s="3437" t="s">
        <v>533</v>
      </c>
      <c r="Q10" s="3438"/>
      <c r="R10" s="1553" t="s">
        <v>8</v>
      </c>
      <c r="S10" s="1554">
        <f t="shared" si="0"/>
        <v>100</v>
      </c>
      <c r="T10" s="1553" t="s">
        <v>8</v>
      </c>
      <c r="U10" s="1554">
        <f t="shared" si="1"/>
        <v>100</v>
      </c>
      <c r="V10" s="1553" t="s">
        <v>8</v>
      </c>
      <c r="W10" s="1554">
        <f t="shared" si="2"/>
        <v>100</v>
      </c>
      <c r="X10" s="1555"/>
      <c r="Y10" s="3437" t="s">
        <v>533</v>
      </c>
      <c r="Z10" s="3438"/>
      <c r="AA10" s="1556">
        <f t="shared" ref="AA10:AA47" si="3">D10/F10</f>
        <v>1</v>
      </c>
      <c r="AB10" s="1556">
        <f t="shared" ref="AB10:AB47" si="4">D10/H10</f>
        <v>1</v>
      </c>
      <c r="AC10" s="1556">
        <f t="shared" ref="AC10:AC47" si="5">D10/J10</f>
        <v>1</v>
      </c>
    </row>
    <row r="11" spans="1:30" s="1215" customFormat="1" ht="20.25">
      <c r="A11" s="2868"/>
      <c r="B11" s="2875" t="s">
        <v>2756</v>
      </c>
      <c r="C11" s="2862"/>
      <c r="D11" s="253">
        <v>100</v>
      </c>
      <c r="E11" s="525"/>
      <c r="F11" s="253">
        <f>SUMIF(77:77,E11,78:78)-SUMIF(77:77,C11,78:78)+100</f>
        <v>100</v>
      </c>
      <c r="G11" s="525"/>
      <c r="H11" s="253">
        <f>SUMIF(77:77,G11,78:78)-SUMIF(77:77,C11,78:78)+100</f>
        <v>100</v>
      </c>
      <c r="I11" s="525"/>
      <c r="J11" s="253">
        <f>SUMIF(77:77,I11,78:78)-SUMIF(77:77,C11,78:78)+100</f>
        <v>100</v>
      </c>
      <c r="K11" s="523"/>
      <c r="L11" s="2119"/>
      <c r="M11" s="2116"/>
      <c r="N11" s="2116"/>
      <c r="O11" s="2121"/>
      <c r="P11" s="3405" t="s">
        <v>535</v>
      </c>
      <c r="Q11" s="1146" t="str">
        <f t="shared" ref="Q11:Q17" si="6">B11</f>
        <v>用途</v>
      </c>
      <c r="R11" s="1553" t="s">
        <v>8</v>
      </c>
      <c r="S11" s="1554">
        <f t="shared" si="0"/>
        <v>100</v>
      </c>
      <c r="T11" s="1553" t="s">
        <v>8</v>
      </c>
      <c r="U11" s="1554">
        <f t="shared" si="1"/>
        <v>100</v>
      </c>
      <c r="V11" s="1553" t="s">
        <v>8</v>
      </c>
      <c r="W11" s="1554">
        <f t="shared" si="2"/>
        <v>100</v>
      </c>
      <c r="X11" s="1555"/>
      <c r="Y11" s="3351" t="s">
        <v>536</v>
      </c>
      <c r="Z11" s="1145" t="str">
        <f t="shared" ref="Z11:Z17" si="7">Q11</f>
        <v>用途</v>
      </c>
      <c r="AA11" s="1556">
        <f t="shared" si="3"/>
        <v>1</v>
      </c>
      <c r="AB11" s="1556">
        <f t="shared" si="4"/>
        <v>1</v>
      </c>
      <c r="AC11" s="1556">
        <f t="shared" si="5"/>
        <v>1</v>
      </c>
    </row>
    <row r="12" spans="1:30" s="1333" customFormat="1" ht="27">
      <c r="A12" s="2869"/>
      <c r="B12" s="2874" t="s">
        <v>2757</v>
      </c>
      <c r="C12" s="909"/>
      <c r="D12" s="254">
        <v>100</v>
      </c>
      <c r="E12" s="528"/>
      <c r="F12" s="254">
        <f>ROUND(100/'数据-取费表'!G16,0)</f>
        <v>103</v>
      </c>
      <c r="G12" s="529"/>
      <c r="H12" s="254">
        <f>ROUND(100/'数据-取费表'!G16,0)</f>
        <v>103</v>
      </c>
      <c r="I12" s="529"/>
      <c r="J12" s="254">
        <f>ROUND(100/'数据-取费表'!G16,0)</f>
        <v>103</v>
      </c>
      <c r="K12" s="530"/>
      <c r="L12" s="2122"/>
      <c r="M12" s="2116"/>
      <c r="N12" s="2116"/>
      <c r="O12" s="2123"/>
      <c r="P12" s="3405"/>
      <c r="Q12" s="1146" t="str">
        <f t="shared" si="6"/>
        <v>土地使用年限（年）</v>
      </c>
      <c r="R12" s="1553" t="s">
        <v>8</v>
      </c>
      <c r="S12" s="1554">
        <f t="shared" si="0"/>
        <v>103</v>
      </c>
      <c r="T12" s="1553" t="s">
        <v>8</v>
      </c>
      <c r="U12" s="1554">
        <f t="shared" si="1"/>
        <v>103</v>
      </c>
      <c r="V12" s="1553" t="s">
        <v>8</v>
      </c>
      <c r="W12" s="1554">
        <f t="shared" si="2"/>
        <v>103</v>
      </c>
      <c r="X12" s="1555"/>
      <c r="Y12" s="3351"/>
      <c r="Z12" s="1145" t="str">
        <f t="shared" si="7"/>
        <v>土地使用年限（年）</v>
      </c>
      <c r="AA12" s="1556">
        <f t="shared" si="3"/>
        <v>0.970873786407767</v>
      </c>
      <c r="AB12" s="1556">
        <f t="shared" si="4"/>
        <v>0.970873786407767</v>
      </c>
      <c r="AC12" s="1556">
        <f t="shared" si="5"/>
        <v>0.970873786407767</v>
      </c>
    </row>
    <row r="13" spans="1:30" ht="20.25">
      <c r="A13" s="2870"/>
      <c r="B13" s="2874" t="s">
        <v>2758</v>
      </c>
      <c r="C13" s="533">
        <f>'数据-汇总表'!I6</f>
        <v>2.64</v>
      </c>
      <c r="D13" s="254">
        <v>100</v>
      </c>
      <c r="E13" s="532">
        <v>3.5</v>
      </c>
      <c r="F13" s="254">
        <f>LOOKUP(E13,82:82,83:83)-LOOKUP(C13,82:82,83:83)+100</f>
        <v>98</v>
      </c>
      <c r="G13" s="532">
        <f>E13</f>
        <v>3.5</v>
      </c>
      <c r="H13" s="254">
        <f>LOOKUP(G13,82:82,83:83)-LOOKUP(C13,82:82,83:83)+100</f>
        <v>98</v>
      </c>
      <c r="I13" s="532">
        <f>G13</f>
        <v>3.5</v>
      </c>
      <c r="J13" s="254">
        <f>LOOKUP(I13,82:82,83:83)-LOOKUP(C13,82:82,83:83)+100</f>
        <v>98</v>
      </c>
      <c r="K13" s="534">
        <v>2</v>
      </c>
      <c r="L13" s="2124"/>
      <c r="M13" s="2116"/>
      <c r="N13" s="2116"/>
      <c r="O13" s="2125"/>
      <c r="P13" s="3405"/>
      <c r="Q13" s="1146" t="str">
        <f t="shared" si="6"/>
        <v>容积率</v>
      </c>
      <c r="R13" s="1553" t="s">
        <v>8</v>
      </c>
      <c r="S13" s="1554">
        <f t="shared" si="0"/>
        <v>98</v>
      </c>
      <c r="T13" s="1553" t="s">
        <v>8</v>
      </c>
      <c r="U13" s="1554">
        <f t="shared" si="1"/>
        <v>98</v>
      </c>
      <c r="V13" s="1553" t="s">
        <v>8</v>
      </c>
      <c r="W13" s="1554">
        <f t="shared" si="2"/>
        <v>98</v>
      </c>
      <c r="X13" s="1555"/>
      <c r="Y13" s="3351"/>
      <c r="Z13" s="1145" t="str">
        <f t="shared" si="7"/>
        <v>容积率</v>
      </c>
      <c r="AA13" s="1556">
        <f t="shared" si="3"/>
        <v>1.0204081632653061</v>
      </c>
      <c r="AB13" s="1556">
        <f t="shared" si="4"/>
        <v>1.0204081632653061</v>
      </c>
      <c r="AC13" s="1556">
        <f t="shared" si="5"/>
        <v>1.0204081632653061</v>
      </c>
    </row>
    <row r="14" spans="1:30" s="1215" customFormat="1" ht="20.25">
      <c r="A14" s="2867"/>
      <c r="B14" s="2876" t="s">
        <v>2759</v>
      </c>
      <c r="C14" s="2863"/>
      <c r="D14" s="537">
        <v>100</v>
      </c>
      <c r="E14" s="1369"/>
      <c r="F14" s="254">
        <f>SUMIF(84:84,E14,85:85)-SUMIF(84:84,C14,85:85)+100</f>
        <v>100</v>
      </c>
      <c r="G14" s="529"/>
      <c r="H14" s="254">
        <f>SUMIF(84:84,G14,85:85)-SUMIF(84:84,C14,85:85)+100</f>
        <v>100</v>
      </c>
      <c r="I14" s="528"/>
      <c r="J14" s="254">
        <f>SUMIF(84:84,I14,85:85)-SUMIF(84:84,C14,85:85)+100</f>
        <v>100</v>
      </c>
      <c r="K14" s="530"/>
      <c r="L14" s="2119"/>
      <c r="M14" s="2116"/>
      <c r="N14" s="2116"/>
      <c r="O14" s="2121"/>
      <c r="P14" s="3405"/>
      <c r="Q14" s="1146" t="str">
        <f t="shared" si="6"/>
        <v>配建</v>
      </c>
      <c r="R14" s="1553" t="s">
        <v>8</v>
      </c>
      <c r="S14" s="1554">
        <f t="shared" si="0"/>
        <v>100</v>
      </c>
      <c r="T14" s="1553" t="s">
        <v>8</v>
      </c>
      <c r="U14" s="1554">
        <f t="shared" si="1"/>
        <v>100</v>
      </c>
      <c r="V14" s="1553" t="s">
        <v>8</v>
      </c>
      <c r="W14" s="1554">
        <f t="shared" si="2"/>
        <v>100</v>
      </c>
      <c r="X14" s="1555"/>
      <c r="Y14" s="3351"/>
      <c r="Z14" s="1145" t="str">
        <f t="shared" si="7"/>
        <v>配建</v>
      </c>
      <c r="AA14" s="1556">
        <f>D14/F14</f>
        <v>1</v>
      </c>
      <c r="AB14" s="1556">
        <f>D14/H14</f>
        <v>1</v>
      </c>
      <c r="AC14" s="1556">
        <f>D14/J14</f>
        <v>1</v>
      </c>
    </row>
    <row r="15" spans="1:30" ht="20.25">
      <c r="A15" s="2871"/>
      <c r="B15" s="2877">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405"/>
      <c r="Q15" s="1146">
        <f t="shared" si="6"/>
        <v>111</v>
      </c>
      <c r="R15" s="1553" t="s">
        <v>8</v>
      </c>
      <c r="S15" s="1554">
        <f t="shared" si="0"/>
        <v>100</v>
      </c>
      <c r="T15" s="1553" t="s">
        <v>8</v>
      </c>
      <c r="U15" s="1554">
        <f t="shared" si="1"/>
        <v>100</v>
      </c>
      <c r="V15" s="1553" t="s">
        <v>8</v>
      </c>
      <c r="W15" s="1554">
        <f t="shared" si="2"/>
        <v>100</v>
      </c>
      <c r="X15" s="1555"/>
      <c r="Y15" s="3351"/>
      <c r="Z15" s="1145">
        <f t="shared" si="7"/>
        <v>111</v>
      </c>
      <c r="AA15" s="1556">
        <f>D15/F15</f>
        <v>1</v>
      </c>
      <c r="AB15" s="1556">
        <f>D15/H15</f>
        <v>1</v>
      </c>
      <c r="AC15" s="1556">
        <f>D15/J15</f>
        <v>1</v>
      </c>
    </row>
    <row r="16" spans="1:30" ht="21" thickBot="1">
      <c r="A16" s="2872"/>
      <c r="B16" s="2878">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405"/>
      <c r="Q16" s="1146">
        <f t="shared" si="6"/>
        <v>111</v>
      </c>
      <c r="R16" s="1553" t="s">
        <v>8</v>
      </c>
      <c r="S16" s="1554">
        <f t="shared" si="0"/>
        <v>100</v>
      </c>
      <c r="T16" s="1553" t="s">
        <v>8</v>
      </c>
      <c r="U16" s="1554">
        <f t="shared" si="1"/>
        <v>100</v>
      </c>
      <c r="V16" s="1553" t="s">
        <v>8</v>
      </c>
      <c r="W16" s="1554">
        <f t="shared" si="2"/>
        <v>100</v>
      </c>
      <c r="X16" s="1555"/>
      <c r="Y16" s="3351"/>
      <c r="Z16" s="1145">
        <f t="shared" si="7"/>
        <v>111</v>
      </c>
      <c r="AA16" s="1556">
        <f>D16/F16</f>
        <v>1</v>
      </c>
      <c r="AB16" s="1556">
        <f>D16/H16</f>
        <v>1</v>
      </c>
      <c r="AC16" s="1556">
        <f>D16/J16</f>
        <v>1</v>
      </c>
    </row>
    <row r="17" spans="1:29" ht="99.75">
      <c r="A17" s="2864" t="s">
        <v>2754</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5</v>
      </c>
      <c r="L17" s="2126"/>
      <c r="M17" s="2116"/>
      <c r="N17" s="2116"/>
      <c r="O17" s="2125"/>
      <c r="P17" s="3440" t="s">
        <v>540</v>
      </c>
      <c r="Q17" s="1557" t="str">
        <f t="shared" si="6"/>
        <v>居住社区成熟度</v>
      </c>
      <c r="R17" s="1558" t="s">
        <v>8</v>
      </c>
      <c r="S17" s="1559">
        <f t="shared" si="0"/>
        <v>100</v>
      </c>
      <c r="T17" s="1558" t="s">
        <v>8</v>
      </c>
      <c r="U17" s="1559">
        <f t="shared" si="1"/>
        <v>100</v>
      </c>
      <c r="V17" s="1558" t="s">
        <v>8</v>
      </c>
      <c r="W17" s="1559">
        <f t="shared" si="2"/>
        <v>100</v>
      </c>
      <c r="X17" s="1552"/>
      <c r="Y17" s="3440" t="s">
        <v>540</v>
      </c>
      <c r="Z17" s="1560" t="str">
        <f t="shared" si="7"/>
        <v>居住社区成熟度</v>
      </c>
      <c r="AA17" s="1561">
        <f t="shared" si="3"/>
        <v>1</v>
      </c>
      <c r="AB17" s="1561">
        <f t="shared" si="4"/>
        <v>1</v>
      </c>
      <c r="AC17" s="1561">
        <f t="shared" si="5"/>
        <v>1</v>
      </c>
    </row>
    <row r="18" spans="1:29" ht="20.25">
      <c r="A18" s="531"/>
      <c r="B18" s="552"/>
      <c r="C18" s="553" t="s">
        <v>3048</v>
      </c>
      <c r="D18" s="556"/>
      <c r="E18" s="553" t="s">
        <v>3048</v>
      </c>
      <c r="F18" s="554"/>
      <c r="G18" s="553" t="s">
        <v>3048</v>
      </c>
      <c r="H18" s="558"/>
      <c r="I18" s="553" t="s">
        <v>3048</v>
      </c>
      <c r="J18" s="554"/>
      <c r="K18" s="530"/>
      <c r="L18" s="2126"/>
      <c r="M18" s="2116"/>
      <c r="N18" s="2116"/>
      <c r="O18" s="2125"/>
      <c r="P18" s="3441"/>
      <c r="Q18" s="1557"/>
      <c r="R18" s="1558"/>
      <c r="S18" s="1559"/>
      <c r="T18" s="1558"/>
      <c r="U18" s="1559"/>
      <c r="V18" s="1558"/>
      <c r="W18" s="1559"/>
      <c r="X18" s="1552"/>
      <c r="Y18" s="3441"/>
      <c r="Z18" s="1560"/>
      <c r="AA18" s="1561">
        <v>1</v>
      </c>
      <c r="AB18" s="1561">
        <v>1</v>
      </c>
      <c r="AC18" s="1561">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6"/>
      <c r="M19" s="2116"/>
      <c r="N19" s="2116"/>
      <c r="O19" s="2125"/>
      <c r="P19" s="3441"/>
      <c r="Q19" s="1557" t="str">
        <f>B19</f>
        <v>商业繁华度</v>
      </c>
      <c r="R19" s="1558" t="s">
        <v>8</v>
      </c>
      <c r="S19" s="1559">
        <f>F19</f>
        <v>100</v>
      </c>
      <c r="T19" s="1558" t="s">
        <v>8</v>
      </c>
      <c r="U19" s="1559">
        <f>H19</f>
        <v>100</v>
      </c>
      <c r="V19" s="1558" t="s">
        <v>8</v>
      </c>
      <c r="W19" s="1559">
        <f>J19</f>
        <v>100</v>
      </c>
      <c r="X19" s="1552"/>
      <c r="Y19" s="3441"/>
      <c r="Z19" s="1560" t="str">
        <f>Q19</f>
        <v>商业繁华度</v>
      </c>
      <c r="AA19" s="1561">
        <f t="shared" si="3"/>
        <v>1</v>
      </c>
      <c r="AB19" s="1561">
        <f t="shared" si="4"/>
        <v>1</v>
      </c>
      <c r="AC19" s="1561">
        <f t="shared" si="5"/>
        <v>1</v>
      </c>
    </row>
    <row r="20" spans="1:29" ht="20.25">
      <c r="A20" s="531"/>
      <c r="B20" s="565"/>
      <c r="C20" s="566"/>
      <c r="D20" s="562"/>
      <c r="E20" s="568"/>
      <c r="F20" s="558"/>
      <c r="G20" s="567"/>
      <c r="H20" s="554"/>
      <c r="I20" s="568"/>
      <c r="J20" s="554"/>
      <c r="K20" s="530"/>
      <c r="L20" s="2126"/>
      <c r="M20" s="2116"/>
      <c r="N20" s="2116"/>
      <c r="O20" s="2125"/>
      <c r="P20" s="3441"/>
      <c r="Q20" s="1557"/>
      <c r="R20" s="1558"/>
      <c r="S20" s="1559"/>
      <c r="T20" s="1558"/>
      <c r="U20" s="1559"/>
      <c r="V20" s="1558"/>
      <c r="W20" s="1559"/>
      <c r="X20" s="1552"/>
      <c r="Y20" s="3441"/>
      <c r="Z20" s="1560"/>
      <c r="AA20" s="1561">
        <v>1</v>
      </c>
      <c r="AB20" s="1561">
        <v>1</v>
      </c>
      <c r="AC20" s="1561">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441"/>
      <c r="Q21" s="1557" t="str">
        <f>B21</f>
        <v>办公集聚程度</v>
      </c>
      <c r="R21" s="1558" t="s">
        <v>8</v>
      </c>
      <c r="S21" s="1559">
        <f>F21</f>
        <v>100</v>
      </c>
      <c r="T21" s="1558" t="s">
        <v>8</v>
      </c>
      <c r="U21" s="1559">
        <f>H21</f>
        <v>100</v>
      </c>
      <c r="V21" s="1558" t="s">
        <v>8</v>
      </c>
      <c r="W21" s="1559">
        <f>J21</f>
        <v>100</v>
      </c>
      <c r="X21" s="1552"/>
      <c r="Y21" s="3441"/>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7"/>
      <c r="J22" s="554"/>
      <c r="K22" s="530"/>
      <c r="L22" s="2126"/>
      <c r="M22" s="2116"/>
      <c r="N22" s="2116"/>
      <c r="O22" s="2125"/>
      <c r="P22" s="3441"/>
      <c r="Q22" s="1557"/>
      <c r="R22" s="1558"/>
      <c r="S22" s="1559"/>
      <c r="T22" s="1558"/>
      <c r="U22" s="1559"/>
      <c r="V22" s="1558"/>
      <c r="W22" s="1559"/>
      <c r="X22" s="1552"/>
      <c r="Y22" s="3441"/>
      <c r="Z22" s="1560"/>
      <c r="AA22" s="1561">
        <v>1</v>
      </c>
      <c r="AB22" s="1561">
        <v>1</v>
      </c>
      <c r="AC22" s="1561">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26"/>
      <c r="M23" s="2116"/>
      <c r="N23" s="2116"/>
      <c r="O23" s="2125"/>
      <c r="P23" s="3441"/>
      <c r="Q23" s="1557" t="str">
        <f>B23</f>
        <v>交通便捷度</v>
      </c>
      <c r="R23" s="1558" t="s">
        <v>8</v>
      </c>
      <c r="S23" s="1559">
        <f>F23</f>
        <v>100</v>
      </c>
      <c r="T23" s="1558" t="s">
        <v>8</v>
      </c>
      <c r="U23" s="1559">
        <f>H23</f>
        <v>100</v>
      </c>
      <c r="V23" s="1558" t="s">
        <v>8</v>
      </c>
      <c r="W23" s="1559">
        <f>J23</f>
        <v>100</v>
      </c>
      <c r="X23" s="1552"/>
      <c r="Y23" s="3441"/>
      <c r="Z23" s="1560" t="str">
        <f>Q23</f>
        <v>交通便捷度</v>
      </c>
      <c r="AA23" s="1561">
        <f t="shared" si="3"/>
        <v>1</v>
      </c>
      <c r="AB23" s="1561">
        <f t="shared" si="4"/>
        <v>1</v>
      </c>
      <c r="AC23" s="1561">
        <f t="shared" si="5"/>
        <v>1</v>
      </c>
    </row>
    <row r="24" spans="1:29" ht="20.25">
      <c r="A24" s="531"/>
      <c r="B24" s="577"/>
      <c r="C24" s="553"/>
      <c r="D24" s="556"/>
      <c r="E24" s="557"/>
      <c r="F24" s="554"/>
      <c r="G24" s="555"/>
      <c r="H24" s="554"/>
      <c r="I24" s="557"/>
      <c r="J24" s="554"/>
      <c r="K24" s="530"/>
      <c r="L24" s="2126"/>
      <c r="M24" s="2116"/>
      <c r="N24" s="2116"/>
      <c r="O24" s="2125"/>
      <c r="P24" s="3441"/>
      <c r="Q24" s="1557"/>
      <c r="R24" s="1558"/>
      <c r="S24" s="1559"/>
      <c r="T24" s="1558"/>
      <c r="U24" s="1559"/>
      <c r="V24" s="1558"/>
      <c r="W24" s="1559"/>
      <c r="X24" s="1552"/>
      <c r="Y24" s="3441"/>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6"/>
      <c r="M25" s="2116"/>
      <c r="N25" s="2116"/>
      <c r="O25" s="2125"/>
      <c r="P25" s="3441"/>
      <c r="Q25" s="1557" t="str">
        <f t="shared" ref="Q25:Q39" si="8">B25</f>
        <v>区域土地利用方向</v>
      </c>
      <c r="R25" s="1558" t="s">
        <v>8</v>
      </c>
      <c r="S25" s="1559">
        <f>F25</f>
        <v>100</v>
      </c>
      <c r="T25" s="1558" t="s">
        <v>8</v>
      </c>
      <c r="U25" s="1559">
        <f>H25</f>
        <v>100</v>
      </c>
      <c r="V25" s="1558" t="s">
        <v>8</v>
      </c>
      <c r="W25" s="1559">
        <f>J25</f>
        <v>100</v>
      </c>
      <c r="X25" s="1552"/>
      <c r="Y25" s="3441"/>
      <c r="Z25" s="1560" t="str">
        <f>Q25</f>
        <v>区域土地利用方向</v>
      </c>
      <c r="AA25" s="1561">
        <f t="shared" si="3"/>
        <v>1</v>
      </c>
      <c r="AB25" s="1561">
        <f t="shared" si="4"/>
        <v>1</v>
      </c>
      <c r="AC25" s="1561">
        <f t="shared" si="5"/>
        <v>1</v>
      </c>
    </row>
    <row r="26" spans="1:29" ht="20.25">
      <c r="A26" s="514"/>
      <c r="B26" s="1006"/>
      <c r="C26" s="553"/>
      <c r="D26" s="556"/>
      <c r="E26" s="557"/>
      <c r="F26" s="554"/>
      <c r="G26" s="555"/>
      <c r="H26" s="554"/>
      <c r="I26" s="557"/>
      <c r="J26" s="554"/>
      <c r="K26" s="530"/>
      <c r="L26" s="2126"/>
      <c r="M26" s="2116"/>
      <c r="N26" s="2116"/>
      <c r="O26" s="2125"/>
      <c r="P26" s="3441"/>
      <c r="Q26" s="1557"/>
      <c r="R26" s="1558"/>
      <c r="S26" s="1559"/>
      <c r="T26" s="1558"/>
      <c r="U26" s="1559"/>
      <c r="V26" s="1558"/>
      <c r="W26" s="1559"/>
      <c r="X26" s="1552"/>
      <c r="Y26" s="3441"/>
      <c r="Z26" s="1560"/>
      <c r="AA26" s="1561"/>
      <c r="AB26" s="1561"/>
      <c r="AC26" s="1561"/>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6"/>
      <c r="M27" s="2116"/>
      <c r="N27" s="2116"/>
      <c r="O27" s="2125"/>
      <c r="P27" s="3441"/>
      <c r="Q27" s="1557" t="str">
        <f t="shared" si="8"/>
        <v>自然及人文环境状况</v>
      </c>
      <c r="R27" s="1558" t="s">
        <v>8</v>
      </c>
      <c r="S27" s="1559">
        <f>F27</f>
        <v>100</v>
      </c>
      <c r="T27" s="1558" t="s">
        <v>8</v>
      </c>
      <c r="U27" s="1559">
        <f>H27</f>
        <v>100</v>
      </c>
      <c r="V27" s="1558" t="s">
        <v>8</v>
      </c>
      <c r="W27" s="1559">
        <f>J27</f>
        <v>100</v>
      </c>
      <c r="X27" s="1552"/>
      <c r="Y27" s="3441"/>
      <c r="Z27" s="1560" t="str">
        <f>Q27</f>
        <v>自然及人文环境状况</v>
      </c>
      <c r="AA27" s="1561">
        <f t="shared" si="3"/>
        <v>1</v>
      </c>
      <c r="AB27" s="1561">
        <f t="shared" si="4"/>
        <v>1</v>
      </c>
      <c r="AC27" s="1561">
        <f t="shared" si="5"/>
        <v>1</v>
      </c>
    </row>
    <row r="28" spans="1:29" ht="20.25">
      <c r="A28" s="514"/>
      <c r="B28" s="565"/>
      <c r="C28" s="553"/>
      <c r="D28" s="556"/>
      <c r="E28" s="575"/>
      <c r="F28" s="554"/>
      <c r="G28" s="553"/>
      <c r="H28" s="554"/>
      <c r="I28" s="575"/>
      <c r="J28" s="554"/>
      <c r="K28" s="530"/>
      <c r="L28" s="2126"/>
      <c r="M28" s="2116"/>
      <c r="N28" s="2116"/>
      <c r="O28" s="2125"/>
      <c r="P28" s="3441"/>
      <c r="Q28" s="1557"/>
      <c r="R28" s="1558"/>
      <c r="S28" s="1559"/>
      <c r="T28" s="1558"/>
      <c r="U28" s="1559"/>
      <c r="V28" s="1558"/>
      <c r="W28" s="1559"/>
      <c r="X28" s="1552"/>
      <c r="Y28" s="3441"/>
      <c r="Z28" s="1560"/>
      <c r="AA28" s="1561">
        <v>1</v>
      </c>
      <c r="AB28" s="1561">
        <v>1</v>
      </c>
      <c r="AC28" s="1561">
        <v>1</v>
      </c>
    </row>
    <row r="29" spans="1:29" s="1215" customFormat="1" ht="42.75">
      <c r="A29" s="576"/>
      <c r="B29" s="2554" t="s">
        <v>2548</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9"/>
      <c r="M29" s="2116"/>
      <c r="N29" s="2116"/>
      <c r="O29" s="2121"/>
      <c r="P29" s="3441"/>
      <c r="Q29" s="1146" t="str">
        <f t="shared" si="8"/>
        <v>公共配套设施</v>
      </c>
      <c r="R29" s="1553" t="s">
        <v>8</v>
      </c>
      <c r="S29" s="1554">
        <f>F29</f>
        <v>100</v>
      </c>
      <c r="T29" s="1553" t="s">
        <v>8</v>
      </c>
      <c r="U29" s="1554">
        <f>H29</f>
        <v>100</v>
      </c>
      <c r="V29" s="1553" t="s">
        <v>8</v>
      </c>
      <c r="W29" s="1554">
        <f>J29</f>
        <v>100</v>
      </c>
      <c r="X29" s="1555"/>
      <c r="Y29" s="3441"/>
      <c r="Z29" s="1145" t="str">
        <f>Q29</f>
        <v>公共配套设施</v>
      </c>
      <c r="AA29" s="1561">
        <f>D29/F29</f>
        <v>1</v>
      </c>
      <c r="AB29" s="1561">
        <f>D29/H29</f>
        <v>1</v>
      </c>
      <c r="AC29" s="1561">
        <f>D29/J29</f>
        <v>1</v>
      </c>
    </row>
    <row r="30" spans="1:29" s="1215" customFormat="1" ht="20.25">
      <c r="A30" s="576"/>
      <c r="B30" s="565"/>
      <c r="C30" s="578"/>
      <c r="D30" s="556"/>
      <c r="E30" s="575"/>
      <c r="F30" s="554"/>
      <c r="G30" s="553"/>
      <c r="H30" s="554"/>
      <c r="I30" s="575"/>
      <c r="J30" s="554"/>
      <c r="K30" s="530"/>
      <c r="L30" s="2119"/>
      <c r="M30" s="2116"/>
      <c r="N30" s="2116"/>
      <c r="O30" s="2121"/>
      <c r="P30" s="3441"/>
      <c r="Q30" s="1146"/>
      <c r="R30" s="1553"/>
      <c r="S30" s="1554"/>
      <c r="T30" s="1553"/>
      <c r="U30" s="1554"/>
      <c r="V30" s="1553"/>
      <c r="W30" s="1554"/>
      <c r="X30" s="1555"/>
      <c r="Y30" s="3441"/>
      <c r="Z30" s="1145"/>
      <c r="AA30" s="1561">
        <v>1</v>
      </c>
      <c r="AB30" s="1561">
        <v>1</v>
      </c>
      <c r="AC30" s="1561">
        <v>1</v>
      </c>
    </row>
    <row r="31" spans="1:29" s="1215" customFormat="1" ht="28.5">
      <c r="A31" s="576"/>
      <c r="B31" s="2554"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9"/>
      <c r="M31" s="2116"/>
      <c r="N31" s="2116"/>
      <c r="O31" s="2121"/>
      <c r="P31" s="3441"/>
      <c r="Q31" s="2541" t="str">
        <f t="shared" ref="Q31" si="9">B31</f>
        <v>基础设施水平</v>
      </c>
      <c r="R31" s="1553" t="s">
        <v>8</v>
      </c>
      <c r="S31" s="1554">
        <f>F31</f>
        <v>100</v>
      </c>
      <c r="T31" s="1553" t="s">
        <v>8</v>
      </c>
      <c r="U31" s="1554">
        <f>H31</f>
        <v>100</v>
      </c>
      <c r="V31" s="1553" t="s">
        <v>8</v>
      </c>
      <c r="W31" s="1554">
        <f>J31</f>
        <v>100</v>
      </c>
      <c r="X31" s="1555"/>
      <c r="Y31" s="3441"/>
      <c r="Z31" s="2538" t="str">
        <f>Q31</f>
        <v>基础设施水平</v>
      </c>
      <c r="AA31" s="1561">
        <f>D31/F31</f>
        <v>1</v>
      </c>
      <c r="AB31" s="1561">
        <f>D31/H31</f>
        <v>1</v>
      </c>
      <c r="AC31" s="1561">
        <f>D31/J31</f>
        <v>1</v>
      </c>
    </row>
    <row r="32" spans="1:29" s="1215" customFormat="1" ht="20.25">
      <c r="A32" s="576"/>
      <c r="B32" s="565"/>
      <c r="C32" s="578"/>
      <c r="D32" s="556"/>
      <c r="E32" s="2555"/>
      <c r="F32" s="554"/>
      <c r="G32" s="578"/>
      <c r="H32" s="554"/>
      <c r="I32" s="578"/>
      <c r="J32" s="554"/>
      <c r="K32" s="530"/>
      <c r="L32" s="2119"/>
      <c r="M32" s="2116"/>
      <c r="N32" s="2116"/>
      <c r="O32" s="2121"/>
      <c r="P32" s="3441"/>
      <c r="Q32" s="2541"/>
      <c r="R32" s="1553"/>
      <c r="S32" s="1554"/>
      <c r="T32" s="1553"/>
      <c r="U32" s="1554"/>
      <c r="V32" s="1553"/>
      <c r="W32" s="1554"/>
      <c r="X32" s="1555"/>
      <c r="Y32" s="3441"/>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441"/>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41"/>
      <c r="Z33" s="1560" t="str">
        <f t="shared" ref="Z33:Z47" si="13">Q33</f>
        <v>临街状况</v>
      </c>
      <c r="AA33" s="1561">
        <f t="shared" si="3"/>
        <v>1</v>
      </c>
      <c r="AB33" s="1561">
        <f t="shared" si="4"/>
        <v>1</v>
      </c>
      <c r="AC33" s="1561">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441"/>
      <c r="Q34" s="1557" t="str">
        <f t="shared" si="8"/>
        <v>毗邻道路的类型与等级</v>
      </c>
      <c r="R34" s="1558" t="s">
        <v>8</v>
      </c>
      <c r="S34" s="1559">
        <f t="shared" si="10"/>
        <v>100</v>
      </c>
      <c r="T34" s="1558" t="s">
        <v>8</v>
      </c>
      <c r="U34" s="1559">
        <f t="shared" si="11"/>
        <v>100</v>
      </c>
      <c r="V34" s="1558" t="s">
        <v>8</v>
      </c>
      <c r="W34" s="1559">
        <f t="shared" si="12"/>
        <v>100</v>
      </c>
      <c r="X34" s="1552"/>
      <c r="Y34" s="3441"/>
      <c r="Z34" s="1560" t="str">
        <f t="shared" si="13"/>
        <v>毗邻道路的类型与等级</v>
      </c>
      <c r="AA34" s="1561">
        <f t="shared" si="3"/>
        <v>1</v>
      </c>
      <c r="AB34" s="1561">
        <f t="shared" si="4"/>
        <v>1</v>
      </c>
      <c r="AC34" s="1561">
        <f t="shared" si="5"/>
        <v>1</v>
      </c>
    </row>
    <row r="35" spans="1:29" ht="20.25">
      <c r="A35" s="531"/>
      <c r="B35" s="565"/>
      <c r="C35" s="553"/>
      <c r="D35" s="556"/>
      <c r="E35" s="575"/>
      <c r="F35" s="554"/>
      <c r="G35" s="553"/>
      <c r="H35" s="554"/>
      <c r="I35" s="575"/>
      <c r="J35" s="554"/>
      <c r="K35" s="580"/>
      <c r="L35" s="2126"/>
      <c r="M35" s="2116"/>
      <c r="N35" s="2116"/>
      <c r="O35" s="2125"/>
      <c r="P35" s="3441"/>
      <c r="Q35" s="1557"/>
      <c r="R35" s="1558"/>
      <c r="S35" s="1559"/>
      <c r="T35" s="1558"/>
      <c r="U35" s="1559"/>
      <c r="V35" s="1558"/>
      <c r="W35" s="1559"/>
      <c r="X35" s="1552"/>
      <c r="Y35" s="3441"/>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441"/>
      <c r="Q36" s="1557" t="str">
        <f t="shared" si="8"/>
        <v>土地级别</v>
      </c>
      <c r="R36" s="1558" t="s">
        <v>8</v>
      </c>
      <c r="S36" s="1559">
        <f t="shared" si="10"/>
        <v>100</v>
      </c>
      <c r="T36" s="1558" t="s">
        <v>8</v>
      </c>
      <c r="U36" s="1559">
        <f t="shared" si="11"/>
        <v>100</v>
      </c>
      <c r="V36" s="1558" t="s">
        <v>8</v>
      </c>
      <c r="W36" s="1559">
        <f t="shared" si="12"/>
        <v>100</v>
      </c>
      <c r="X36" s="1552"/>
      <c r="Y36" s="3441"/>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441"/>
      <c r="Q37" s="1557">
        <f t="shared" si="8"/>
        <v>111</v>
      </c>
      <c r="R37" s="1558" t="s">
        <v>8</v>
      </c>
      <c r="S37" s="1559">
        <f t="shared" si="10"/>
        <v>100</v>
      </c>
      <c r="T37" s="1558" t="s">
        <v>8</v>
      </c>
      <c r="U37" s="1559">
        <f t="shared" si="11"/>
        <v>100</v>
      </c>
      <c r="V37" s="1558" t="s">
        <v>8</v>
      </c>
      <c r="W37" s="1559">
        <f t="shared" si="12"/>
        <v>100</v>
      </c>
      <c r="X37" s="1552"/>
      <c r="Y37" s="3441"/>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442" t="s">
        <v>550</v>
      </c>
      <c r="Q38" s="1557">
        <f t="shared" si="8"/>
        <v>111</v>
      </c>
      <c r="R38" s="1558" t="s">
        <v>8</v>
      </c>
      <c r="S38" s="1559">
        <f t="shared" si="10"/>
        <v>100</v>
      </c>
      <c r="T38" s="1558" t="s">
        <v>8</v>
      </c>
      <c r="U38" s="1559">
        <f t="shared" si="11"/>
        <v>100</v>
      </c>
      <c r="V38" s="1558" t="s">
        <v>8</v>
      </c>
      <c r="W38" s="1559">
        <f t="shared" si="12"/>
        <v>100</v>
      </c>
      <c r="X38" s="1552"/>
      <c r="Y38" s="3443"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443"/>
      <c r="Q39" s="1557">
        <f t="shared" si="8"/>
        <v>111</v>
      </c>
      <c r="R39" s="1562" t="s">
        <v>8</v>
      </c>
      <c r="S39" s="1563">
        <f t="shared" si="10"/>
        <v>100</v>
      </c>
      <c r="T39" s="1562" t="s">
        <v>8</v>
      </c>
      <c r="U39" s="1563">
        <f t="shared" si="11"/>
        <v>100</v>
      </c>
      <c r="V39" s="1562" t="s">
        <v>8</v>
      </c>
      <c r="W39" s="1563">
        <f t="shared" si="12"/>
        <v>100</v>
      </c>
      <c r="X39" s="1564"/>
      <c r="Y39" s="3443"/>
      <c r="Z39" s="1565">
        <f t="shared" si="13"/>
        <v>111</v>
      </c>
      <c r="AA39" s="1561">
        <f t="shared" si="3"/>
        <v>1</v>
      </c>
      <c r="AB39" s="1561">
        <f t="shared" si="4"/>
        <v>1</v>
      </c>
      <c r="AC39" s="1561">
        <f t="shared" si="5"/>
        <v>1</v>
      </c>
    </row>
    <row r="40" spans="1:29" ht="20.25">
      <c r="A40" s="2861" t="s">
        <v>2755</v>
      </c>
      <c r="B40" s="594" t="s">
        <v>552</v>
      </c>
      <c r="C40" s="595">
        <f>'数据-汇总表'!D3</f>
        <v>153365</v>
      </c>
      <c r="D40" s="596">
        <v>100</v>
      </c>
      <c r="E40" s="595">
        <f>土地案例!J2</f>
        <v>28631</v>
      </c>
      <c r="F40" s="596">
        <f>LOOKUP(E40,119:119,120:120)-LOOKUP(C40,119:119,120:120)+100</f>
        <v>100</v>
      </c>
      <c r="G40" s="595">
        <f>土地案例!J3</f>
        <v>42108</v>
      </c>
      <c r="H40" s="596">
        <f>LOOKUP(G40,119:119,120:120)-LOOKUP(C40,119:119,120:120)+100</f>
        <v>100</v>
      </c>
      <c r="I40" s="597">
        <f>土地案例!J4</f>
        <v>20506.09</v>
      </c>
      <c r="J40" s="596">
        <f>LOOKUP(I40,119:119,120:120)-LOOKUP(C40,119:119,120:120)+100</f>
        <v>100</v>
      </c>
      <c r="K40" s="580"/>
      <c r="L40" s="2126"/>
      <c r="M40" s="2116"/>
      <c r="N40" s="2116"/>
      <c r="O40" s="2125"/>
      <c r="P40" s="3443"/>
      <c r="Q40" s="1557" t="str">
        <f>B40</f>
        <v>宗地面积</v>
      </c>
      <c r="R40" s="1558" t="s">
        <v>8</v>
      </c>
      <c r="S40" s="1559">
        <f t="shared" si="10"/>
        <v>100</v>
      </c>
      <c r="T40" s="1558" t="s">
        <v>8</v>
      </c>
      <c r="U40" s="1559">
        <f t="shared" si="11"/>
        <v>100</v>
      </c>
      <c r="V40" s="1558" t="s">
        <v>8</v>
      </c>
      <c r="W40" s="1559">
        <f t="shared" si="12"/>
        <v>100</v>
      </c>
      <c r="X40" s="1552"/>
      <c r="Y40" s="3443"/>
      <c r="Z40" s="1560" t="str">
        <f t="shared" si="13"/>
        <v>宗地面积</v>
      </c>
      <c r="AA40" s="1561">
        <f t="shared" si="3"/>
        <v>1</v>
      </c>
      <c r="AB40" s="1561">
        <f t="shared" si="4"/>
        <v>1</v>
      </c>
      <c r="AC40" s="1561">
        <f t="shared" si="5"/>
        <v>1</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6"/>
      <c r="M41" s="2116"/>
      <c r="N41" s="2116"/>
      <c r="O41" s="2125"/>
      <c r="P41" s="3443"/>
      <c r="Q41" s="1557" t="str">
        <f t="shared" ref="Q41:Q47" si="14">B41</f>
        <v>宗地形状</v>
      </c>
      <c r="R41" s="1558" t="s">
        <v>8</v>
      </c>
      <c r="S41" s="1559">
        <f t="shared" si="10"/>
        <v>100</v>
      </c>
      <c r="T41" s="1558" t="s">
        <v>8</v>
      </c>
      <c r="U41" s="1559">
        <f t="shared" si="11"/>
        <v>100</v>
      </c>
      <c r="V41" s="1558" t="s">
        <v>8</v>
      </c>
      <c r="W41" s="1559">
        <f t="shared" si="12"/>
        <v>100</v>
      </c>
      <c r="X41" s="1552"/>
      <c r="Y41" s="3443"/>
      <c r="Z41" s="1560" t="str">
        <f t="shared" si="13"/>
        <v>宗地形状</v>
      </c>
      <c r="AA41" s="1561">
        <f t="shared" si="3"/>
        <v>1</v>
      </c>
      <c r="AB41" s="1561">
        <f t="shared" si="4"/>
        <v>1</v>
      </c>
      <c r="AC41" s="1561">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443"/>
      <c r="Q42" s="1557" t="str">
        <f t="shared" si="14"/>
        <v>临街宽度及深度</v>
      </c>
      <c r="R42" s="1558" t="s">
        <v>8</v>
      </c>
      <c r="S42" s="1559">
        <f t="shared" si="10"/>
        <v>100</v>
      </c>
      <c r="T42" s="1558" t="s">
        <v>8</v>
      </c>
      <c r="U42" s="1559">
        <f t="shared" si="11"/>
        <v>100</v>
      </c>
      <c r="V42" s="1558" t="s">
        <v>8</v>
      </c>
      <c r="W42" s="1559">
        <f t="shared" si="12"/>
        <v>100</v>
      </c>
      <c r="X42" s="1552"/>
      <c r="Y42" s="3443"/>
      <c r="Z42" s="1560" t="str">
        <f t="shared" si="13"/>
        <v>临街宽度及深度</v>
      </c>
      <c r="AA42" s="1561">
        <f t="shared" si="3"/>
        <v>1</v>
      </c>
      <c r="AB42" s="1561">
        <f t="shared" si="4"/>
        <v>1</v>
      </c>
      <c r="AC42" s="1561">
        <f t="shared" si="5"/>
        <v>1</v>
      </c>
    </row>
    <row r="43" spans="1:29" s="1215" customFormat="1" ht="20.25">
      <c r="A43" s="599"/>
      <c r="B43" s="1879" t="s">
        <v>2424</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19"/>
      <c r="M43" s="2116"/>
      <c r="N43" s="2116"/>
      <c r="O43" s="2121"/>
      <c r="P43" s="3443"/>
      <c r="Q43" s="1557" t="str">
        <f t="shared" si="14"/>
        <v>宗地开发程度</v>
      </c>
      <c r="R43" s="1553" t="s">
        <v>8</v>
      </c>
      <c r="S43" s="1554">
        <f t="shared" si="10"/>
        <v>100</v>
      </c>
      <c r="T43" s="1553" t="s">
        <v>8</v>
      </c>
      <c r="U43" s="1554">
        <f t="shared" si="11"/>
        <v>100</v>
      </c>
      <c r="V43" s="1553" t="s">
        <v>8</v>
      </c>
      <c r="W43" s="1554">
        <f t="shared" si="12"/>
        <v>100</v>
      </c>
      <c r="X43" s="1555"/>
      <c r="Y43" s="3443"/>
      <c r="Z43" s="1145" t="str">
        <f t="shared" si="13"/>
        <v>宗地开发程度</v>
      </c>
      <c r="AA43" s="1556">
        <f t="shared" si="3"/>
        <v>1</v>
      </c>
      <c r="AB43" s="1556">
        <f t="shared" si="4"/>
        <v>1</v>
      </c>
      <c r="AC43" s="1556">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6"/>
      <c r="M44" s="2116"/>
      <c r="N44" s="2116"/>
      <c r="O44" s="2125"/>
      <c r="P44" s="3443" t="s">
        <v>550</v>
      </c>
      <c r="Q44" s="1557" t="str">
        <f t="shared" si="14"/>
        <v>工程地质条件</v>
      </c>
      <c r="R44" s="1558" t="s">
        <v>8</v>
      </c>
      <c r="S44" s="1559">
        <f t="shared" si="10"/>
        <v>100</v>
      </c>
      <c r="T44" s="1558" t="s">
        <v>8</v>
      </c>
      <c r="U44" s="1559">
        <f t="shared" si="11"/>
        <v>100</v>
      </c>
      <c r="V44" s="1558" t="s">
        <v>8</v>
      </c>
      <c r="W44" s="1559">
        <f t="shared" si="12"/>
        <v>100</v>
      </c>
      <c r="X44" s="1552"/>
      <c r="Y44" s="3443" t="s">
        <v>550</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443"/>
      <c r="Q45" s="1557">
        <f t="shared" si="14"/>
        <v>111</v>
      </c>
      <c r="R45" s="1558" t="s">
        <v>8</v>
      </c>
      <c r="S45" s="1559">
        <f t="shared" si="10"/>
        <v>100</v>
      </c>
      <c r="T45" s="1558" t="s">
        <v>8</v>
      </c>
      <c r="U45" s="1559">
        <f t="shared" si="11"/>
        <v>100</v>
      </c>
      <c r="V45" s="1558" t="s">
        <v>8</v>
      </c>
      <c r="W45" s="1559">
        <f t="shared" si="12"/>
        <v>100</v>
      </c>
      <c r="X45" s="1552"/>
      <c r="Y45" s="3443"/>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443"/>
      <c r="Q46" s="1557">
        <f t="shared" si="14"/>
        <v>111</v>
      </c>
      <c r="R46" s="1558" t="s">
        <v>8</v>
      </c>
      <c r="S46" s="1559">
        <f t="shared" si="10"/>
        <v>100</v>
      </c>
      <c r="T46" s="1558" t="s">
        <v>8</v>
      </c>
      <c r="U46" s="1559">
        <f t="shared" si="11"/>
        <v>100</v>
      </c>
      <c r="V46" s="1558" t="s">
        <v>8</v>
      </c>
      <c r="W46" s="1559">
        <f t="shared" si="12"/>
        <v>100</v>
      </c>
      <c r="X46" s="1552"/>
      <c r="Y46" s="3443"/>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443"/>
      <c r="Q47" s="1557">
        <f t="shared" si="14"/>
        <v>111</v>
      </c>
      <c r="R47" s="1562" t="s">
        <v>8</v>
      </c>
      <c r="S47" s="1563">
        <f t="shared" si="10"/>
        <v>100</v>
      </c>
      <c r="T47" s="1562" t="s">
        <v>8</v>
      </c>
      <c r="U47" s="1563">
        <f t="shared" si="11"/>
        <v>100</v>
      </c>
      <c r="V47" s="1562" t="s">
        <v>8</v>
      </c>
      <c r="W47" s="1563">
        <f t="shared" si="12"/>
        <v>100</v>
      </c>
      <c r="X47" s="1564"/>
      <c r="Y47" s="3443"/>
      <c r="Z47" s="1565">
        <f t="shared" si="13"/>
        <v>111</v>
      </c>
      <c r="AA47" s="1561">
        <f t="shared" si="3"/>
        <v>1</v>
      </c>
      <c r="AB47" s="1561">
        <f t="shared" si="4"/>
        <v>1</v>
      </c>
      <c r="AC47" s="1561">
        <f t="shared" si="5"/>
        <v>1</v>
      </c>
    </row>
    <row r="48" spans="1:29" ht="20.25">
      <c r="A48" s="606" t="s">
        <v>556</v>
      </c>
      <c r="B48" s="607" t="s">
        <v>3044</v>
      </c>
      <c r="C48" s="608" t="s">
        <v>1</v>
      </c>
      <c r="D48" s="609"/>
      <c r="E48" s="610">
        <f>土地案例!AK2</f>
        <v>1280.71</v>
      </c>
      <c r="F48" s="611"/>
      <c r="G48" s="612">
        <f>土地案例!AK3</f>
        <v>1274.25</v>
      </c>
      <c r="H48" s="613"/>
      <c r="I48" s="610">
        <f>土地案例!AK4</f>
        <v>830.24</v>
      </c>
      <c r="J48" s="613"/>
      <c r="K48" s="1335"/>
      <c r="L48" s="2128"/>
      <c r="M48" s="2116"/>
      <c r="N48" s="2116"/>
      <c r="O48" s="2129"/>
      <c r="P48" s="3405" t="str">
        <f>A48</f>
        <v>成交单价</v>
      </c>
      <c r="Q48" s="3405"/>
      <c r="R48" s="3406">
        <f>E48</f>
        <v>1280.71</v>
      </c>
      <c r="S48" s="3406"/>
      <c r="T48" s="3406">
        <f>G48</f>
        <v>1274.25</v>
      </c>
      <c r="U48" s="3406"/>
      <c r="V48" s="3406">
        <f>I48</f>
        <v>830.24</v>
      </c>
      <c r="W48" s="3406"/>
      <c r="X48" s="1544"/>
      <c r="Y48" s="1566"/>
      <c r="Z48" s="1544"/>
      <c r="AA48" s="1544"/>
      <c r="AB48" s="1544"/>
      <c r="AC48" s="1544"/>
    </row>
    <row r="49" spans="1:29" ht="21" thickBot="1">
      <c r="A49" s="614" t="s">
        <v>2693</v>
      </c>
      <c r="B49" s="615"/>
      <c r="C49" s="616">
        <f>R50</f>
        <v>1159</v>
      </c>
      <c r="D49" s="617"/>
      <c r="E49" s="616">
        <f>R49</f>
        <v>1295</v>
      </c>
      <c r="F49" s="618"/>
      <c r="G49" s="619">
        <f>T49</f>
        <v>1288</v>
      </c>
      <c r="H49" s="617"/>
      <c r="I49" s="616">
        <f>V49</f>
        <v>894</v>
      </c>
      <c r="J49" s="617"/>
      <c r="K49" s="1336"/>
      <c r="L49" s="2128"/>
      <c r="M49" s="2116"/>
      <c r="N49" s="2116"/>
      <c r="O49" s="2129"/>
      <c r="P49" s="3405" t="str">
        <f>A49</f>
        <v>比较价格（元/平方米）</v>
      </c>
      <c r="Q49" s="3405"/>
      <c r="R49" s="3407">
        <f>ROUND(PRODUCT(R48,AA9:AA47),0)</f>
        <v>1295</v>
      </c>
      <c r="S49" s="3407"/>
      <c r="T49" s="3407">
        <f>ROUND(PRODUCT(T48,AB9:AB47),0)</f>
        <v>1288</v>
      </c>
      <c r="U49" s="3407"/>
      <c r="V49" s="3407">
        <f>ROUND(PRODUCT(V48,AC9:AC47),0)</f>
        <v>894</v>
      </c>
      <c r="W49" s="3407"/>
      <c r="X49" s="1544"/>
      <c r="Y49" s="1544"/>
      <c r="Z49" s="1544"/>
      <c r="AA49" s="1544"/>
      <c r="AB49" s="1544"/>
      <c r="AC49" s="1544"/>
    </row>
    <row r="50" spans="1:29" ht="21" thickBot="1">
      <c r="A50" s="620" t="s">
        <v>2937</v>
      </c>
      <c r="B50" s="621"/>
      <c r="C50" s="622">
        <f>R50</f>
        <v>1159</v>
      </c>
      <c r="D50" s="622"/>
      <c r="E50" s="622"/>
      <c r="F50" s="622"/>
      <c r="G50" s="622"/>
      <c r="H50" s="622"/>
      <c r="I50" s="622"/>
      <c r="J50" s="622"/>
      <c r="K50" s="1337"/>
      <c r="L50" s="2128"/>
      <c r="M50" s="2116"/>
      <c r="N50" s="2116"/>
      <c r="O50" s="2129"/>
      <c r="P50" s="3402" t="str">
        <f>A50</f>
        <v>估价对象XX用房的比较价格（楼面单价，元/平方米）</v>
      </c>
      <c r="Q50" s="3403"/>
      <c r="R50" s="3404">
        <f>ROUND(AVERAGE(R49:V49),0)</f>
        <v>1159</v>
      </c>
      <c r="S50" s="3404"/>
      <c r="T50" s="3404"/>
      <c r="U50" s="3404"/>
      <c r="V50" s="3404"/>
      <c r="W50" s="3404"/>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1.1157873367116711E-2</v>
      </c>
      <c r="F53" s="626" t="str">
        <f>IF(OR(E53&gt;=0.3,E53&lt;=-0.3),"超过30%","")</f>
        <v/>
      </c>
      <c r="G53" s="625">
        <f>IF(G48&lt;G49,G49/G48-1,G48/G49-1)</f>
        <v>1.0790661173239124E-2</v>
      </c>
      <c r="H53" s="626" t="str">
        <f>IF(OR(G53&gt;=0.3,G53&lt;=-0.3),"超过30%","")</f>
        <v/>
      </c>
      <c r="I53" s="625">
        <f>IF(I48&lt;I49,I49/I48-1,I48/I49-1)</f>
        <v>7.6797070726536854E-2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5.4347826086955653E-3</v>
      </c>
      <c r="F54" s="626" t="str">
        <f>IF(OR(E54&gt;=0.2,E54&lt;=-0.2),"超过20%","")</f>
        <v/>
      </c>
      <c r="G54" s="625">
        <f>IF(G49&lt;I49,I49/G49-1,G49/I49-1)</f>
        <v>0.4407158836689038</v>
      </c>
      <c r="H54" s="626" t="str">
        <f>IF(OR(G54&gt;=0.2,G54&lt;=-0.2),"超过20%","")</f>
        <v>超过20%</v>
      </c>
      <c r="I54" s="625">
        <f>IF(I49&lt;E49,E49/I49-1,I49/E49-1)</f>
        <v>0.44854586129753904</v>
      </c>
      <c r="J54" s="626" t="str">
        <f>IF(OR(I54&gt;=0.2,I54&lt;=-0.2),"超过20%","")</f>
        <v>超过20%</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5.0696488130272943E-3</v>
      </c>
      <c r="F55" s="626" t="str">
        <f>IF(OR(E55&gt;=0.3,E55&lt;=-0.3),"超过30%","")</f>
        <v/>
      </c>
      <c r="G55" s="625">
        <f>IF(G48&lt;I48,I48/G48-1,G48/I48-1)</f>
        <v>0.53479716708421665</v>
      </c>
      <c r="H55" s="626" t="str">
        <f>IF(OR(G55&gt;=0.3,G55&lt;=-0.3),"超过30%","")</f>
        <v>超过30%</v>
      </c>
      <c r="I55" s="625">
        <f>IF(I48&lt;E48,E48/I48-1,I48/E48-1)</f>
        <v>0.54257804972056278</v>
      </c>
      <c r="J55" s="626" t="str">
        <f>IF(OR(I55&gt;=0.3,I55&lt;=-0.3),"超过30%","")</f>
        <v>超过30%</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3432" t="s">
        <v>2281</v>
      </c>
      <c r="H57" s="3433"/>
      <c r="I57" s="1540" t="s">
        <v>1722</v>
      </c>
      <c r="J57" s="1540" t="str">
        <f>项目基本情况!F41</f>
        <v>湖北省</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564</v>
      </c>
      <c r="B58" s="633">
        <f>C50</f>
        <v>1159</v>
      </c>
      <c r="C58" s="634">
        <v>1</v>
      </c>
      <c r="D58" s="2212">
        <v>1</v>
      </c>
      <c r="E58" s="634">
        <f>'数据-汇总表'!E8+'数据-汇总表'!E9</f>
        <v>402060</v>
      </c>
      <c r="F58" s="635">
        <f t="shared" ref="F58:F67" si="15">ROUND(B58*E58/10000,0)</f>
        <v>46599</v>
      </c>
      <c r="G58" s="3434"/>
      <c r="H58" s="3435"/>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565</v>
      </c>
      <c r="B59" s="637">
        <f>ROUND($C$50*C59*D59,0)</f>
        <v>174</v>
      </c>
      <c r="C59" s="377">
        <f t="shared" ref="C59:C67" si="16">IF($C$57="北京市系数",I59,J59)</f>
        <v>0.6</v>
      </c>
      <c r="D59" s="2213">
        <v>0.25</v>
      </c>
      <c r="E59" s="638">
        <v>0</v>
      </c>
      <c r="F59" s="635">
        <f t="shared" si="15"/>
        <v>0</v>
      </c>
      <c r="G59" s="3436" t="s">
        <v>2282</v>
      </c>
      <c r="H59" s="1932" t="str">
        <f>项目基本情况!B43</f>
        <v>十级</v>
      </c>
      <c r="I59" s="1541">
        <f>SUMIF(修正!$A$45:$A$56,H59,修正!B45:B56)</f>
        <v>0.6</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566</v>
      </c>
      <c r="B60" s="637">
        <f t="shared" ref="B60:B67" si="17">ROUND($C$50*C60*D60,0)</f>
        <v>87</v>
      </c>
      <c r="C60" s="377">
        <f t="shared" si="16"/>
        <v>0.3</v>
      </c>
      <c r="D60" s="2213">
        <v>0.25</v>
      </c>
      <c r="E60" s="638">
        <v>0</v>
      </c>
      <c r="F60" s="635">
        <f t="shared" si="15"/>
        <v>0</v>
      </c>
      <c r="G60" s="3436"/>
      <c r="H60" s="1932" t="str">
        <f>项目基本情况!B43</f>
        <v>十级</v>
      </c>
      <c r="I60" s="1541">
        <f>SUMIF(修正!$A$45:$A$56,H60,修正!C45:C56)</f>
        <v>0.3</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567</v>
      </c>
      <c r="B61" s="637">
        <f t="shared" si="17"/>
        <v>58</v>
      </c>
      <c r="C61" s="377">
        <f t="shared" si="16"/>
        <v>0.2</v>
      </c>
      <c r="D61" s="2213">
        <v>0.25</v>
      </c>
      <c r="E61" s="638">
        <v>0</v>
      </c>
      <c r="F61" s="635">
        <f t="shared" si="15"/>
        <v>0</v>
      </c>
      <c r="G61" s="3436"/>
      <c r="H61" s="1932" t="str">
        <f>项目基本情况!B43</f>
        <v>十级</v>
      </c>
      <c r="I61" s="1541">
        <f>SUMIF(修正!$A$45:$A$56,H61,修正!D45:D56)</f>
        <v>0.2</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568</v>
      </c>
      <c r="B62" s="637">
        <f t="shared" si="17"/>
        <v>58</v>
      </c>
      <c r="C62" s="377">
        <f t="shared" si="16"/>
        <v>0.2</v>
      </c>
      <c r="D62" s="2213">
        <v>0.25</v>
      </c>
      <c r="E62" s="638">
        <v>0</v>
      </c>
      <c r="F62" s="635">
        <f t="shared" si="15"/>
        <v>0</v>
      </c>
      <c r="G62" s="3436"/>
      <c r="H62" s="1932" t="str">
        <f>项目基本情况!B43</f>
        <v>十级</v>
      </c>
      <c r="I62" s="1541">
        <f>SUMIF(修正!$A$45:$A$56,H62,修正!E45:E56)</f>
        <v>0.2</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570</v>
      </c>
      <c r="B65" s="637">
        <f t="shared" si="17"/>
        <v>43</v>
      </c>
      <c r="C65" s="377">
        <f t="shared" si="16"/>
        <v>0.15</v>
      </c>
      <c r="D65" s="2213">
        <v>0.25</v>
      </c>
      <c r="E65" s="640">
        <f>'数据-汇总表'!E13</f>
        <v>103915</v>
      </c>
      <c r="F65" s="635">
        <f t="shared" si="15"/>
        <v>447</v>
      </c>
      <c r="G65" s="1930" t="s">
        <v>923</v>
      </c>
      <c r="H65" s="1928" t="str">
        <f>IF(G65="商业",项目基本情况!B43,IF(G65="办公",项目基本情况!C43,IF(G65="住宅",项目基本情况!D43,项目基本情况!E43)))</f>
        <v>十级</v>
      </c>
      <c r="I65" s="1541">
        <f>SUMIF(修正!$A$45:$A$56,H65,修正!H45:H56)</f>
        <v>0.15</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571</v>
      </c>
      <c r="B66" s="637">
        <f t="shared" si="17"/>
        <v>43</v>
      </c>
      <c r="C66" s="377">
        <f t="shared" si="16"/>
        <v>0.15</v>
      </c>
      <c r="D66" s="2213">
        <v>0.25</v>
      </c>
      <c r="E66" s="640">
        <f>'数据-汇总表'!E14</f>
        <v>0</v>
      </c>
      <c r="F66" s="635">
        <f t="shared" si="15"/>
        <v>0</v>
      </c>
      <c r="G66" s="1929" t="s">
        <v>2282</v>
      </c>
      <c r="H66" s="1932" t="str">
        <f>项目基本情况!B43</f>
        <v>十级</v>
      </c>
      <c r="I66" s="1541">
        <f>SUMIF(修正!$A$45:$A$56,H66,修正!H45:H56)</f>
        <v>0.15</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573</v>
      </c>
      <c r="B68" s="642" t="s">
        <v>17</v>
      </c>
      <c r="C68" s="642" t="s">
        <v>18</v>
      </c>
      <c r="D68" s="642" t="s">
        <v>2294</v>
      </c>
      <c r="E68" s="642">
        <f>IF(B48="楼面地价",SUM(E58:E67),'数据-汇总表'!D3)</f>
        <v>505975</v>
      </c>
      <c r="F68" s="643">
        <f>IF(B48="楼面地价",SUM(F58:F67),ROUND(C50*E68/10000,0))</f>
        <v>47046</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2020-1-1</v>
      </c>
      <c r="D70" s="2753">
        <f>EDATE(C70,-3)</f>
        <v>43739</v>
      </c>
      <c r="E70" s="2753">
        <f t="shared" ref="E70:N70" si="18">EDATE(D70,-3)</f>
        <v>43647</v>
      </c>
      <c r="F70" s="2753">
        <f t="shared" si="18"/>
        <v>43556</v>
      </c>
      <c r="G70" s="2753">
        <f t="shared" si="18"/>
        <v>43466</v>
      </c>
      <c r="H70" s="2753">
        <f t="shared" si="18"/>
        <v>43374</v>
      </c>
      <c r="I70" s="2753">
        <f t="shared" si="18"/>
        <v>43282</v>
      </c>
      <c r="J70" s="2753">
        <f t="shared" si="18"/>
        <v>43191</v>
      </c>
      <c r="K70" s="2753">
        <f t="shared" si="18"/>
        <v>43101</v>
      </c>
      <c r="L70" s="2753">
        <f t="shared" si="18"/>
        <v>43009</v>
      </c>
      <c r="M70" s="2753">
        <f t="shared" si="18"/>
        <v>42917</v>
      </c>
      <c r="N70" s="2753">
        <f t="shared" si="18"/>
        <v>42826</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2532</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2647</v>
      </c>
      <c r="B73" s="478" t="str">
        <f>"北京市平均增长率"&amp;TEXT(SUMIF(基准地价!N21:N25,A73,基准地价!P21:P25),"0.00%")</f>
        <v>北京市平均增长率0.00%</v>
      </c>
      <c r="C73" s="893">
        <v>100</v>
      </c>
      <c r="D73" s="729">
        <f>C73-1</f>
        <v>99</v>
      </c>
      <c r="E73" s="729">
        <f t="shared" ref="E73:J73" si="20">D73-1</f>
        <v>98</v>
      </c>
      <c r="F73" s="729">
        <f t="shared" si="20"/>
        <v>97</v>
      </c>
      <c r="G73" s="729">
        <f t="shared" si="20"/>
        <v>96</v>
      </c>
      <c r="H73" s="729">
        <f t="shared" si="20"/>
        <v>95</v>
      </c>
      <c r="I73" s="729">
        <f t="shared" si="20"/>
        <v>94</v>
      </c>
      <c r="J73" s="729">
        <f t="shared" si="20"/>
        <v>93</v>
      </c>
      <c r="K73" s="729">
        <f t="shared" ref="K73" si="21">J73-1</f>
        <v>92</v>
      </c>
      <c r="L73" s="729">
        <f t="shared" ref="L73" si="22">K73-1</f>
        <v>91</v>
      </c>
      <c r="M73" s="729">
        <f t="shared" ref="M73" si="23">L73-1</f>
        <v>90</v>
      </c>
      <c r="N73" s="729">
        <f t="shared" ref="N73" si="24">M73-1</f>
        <v>89</v>
      </c>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2646</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597"/>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0（含）-1</v>
      </c>
      <c r="D81" s="681" t="str">
        <f t="shared" ref="D81:L81" si="25">D82&amp;"（含）"&amp;"-"&amp;E82</f>
        <v>1（含）-2</v>
      </c>
      <c r="E81" s="681" t="str">
        <f t="shared" si="25"/>
        <v>2（含）-3</v>
      </c>
      <c r="F81" s="681" t="str">
        <f t="shared" si="25"/>
        <v>3（含）-4</v>
      </c>
      <c r="G81" s="681" t="str">
        <f t="shared" si="25"/>
        <v>4（含）-5</v>
      </c>
      <c r="H81" s="681" t="str">
        <f t="shared" si="25"/>
        <v>5（含）-</v>
      </c>
      <c r="I81" s="681" t="str">
        <f t="shared" si="25"/>
        <v>（含）-</v>
      </c>
      <c r="J81" s="681" t="str">
        <f t="shared" si="25"/>
        <v>（含）-</v>
      </c>
      <c r="K81" s="681" t="str">
        <f t="shared" si="25"/>
        <v>（含）-</v>
      </c>
      <c r="L81" s="681" t="str">
        <f t="shared" si="25"/>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v>5</v>
      </c>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98</v>
      </c>
      <c r="E83" s="678">
        <f t="shared" ref="E83:M83" si="26">IF($B$48="单位面积地价",D83+$K13,D83-$K13)</f>
        <v>96</v>
      </c>
      <c r="F83" s="678">
        <f t="shared" si="26"/>
        <v>94</v>
      </c>
      <c r="G83" s="678">
        <f t="shared" si="26"/>
        <v>92</v>
      </c>
      <c r="H83" s="678">
        <f t="shared" si="26"/>
        <v>90</v>
      </c>
      <c r="I83" s="678">
        <f t="shared" si="26"/>
        <v>88</v>
      </c>
      <c r="J83" s="678">
        <f t="shared" si="26"/>
        <v>86</v>
      </c>
      <c r="K83" s="678">
        <f t="shared" si="26"/>
        <v>84</v>
      </c>
      <c r="L83" s="678">
        <f t="shared" si="26"/>
        <v>82</v>
      </c>
      <c r="M83" s="678">
        <f t="shared" si="26"/>
        <v>80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95</v>
      </c>
      <c r="E91" s="678">
        <f>D91-$K17</f>
        <v>90</v>
      </c>
      <c r="F91" s="678">
        <f>E91-$K17</f>
        <v>85</v>
      </c>
      <c r="G91" s="678">
        <f>F91-$K17</f>
        <v>80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2548</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2550</v>
      </c>
      <c r="C104" s="2561" t="s">
        <v>2551</v>
      </c>
      <c r="D104" s="2561" t="s">
        <v>2552</v>
      </c>
      <c r="E104" s="2561" t="s">
        <v>2553</v>
      </c>
      <c r="F104" s="2561" t="s">
        <v>2554</v>
      </c>
      <c r="G104" s="2561" t="s">
        <v>2555</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7">D107-$K33</f>
        <v>100</v>
      </c>
      <c r="F107" s="678">
        <f t="shared" si="27"/>
        <v>100</v>
      </c>
      <c r="G107" s="678">
        <f t="shared" si="27"/>
        <v>100</v>
      </c>
      <c r="H107" s="678">
        <f t="shared" si="27"/>
        <v>100</v>
      </c>
      <c r="I107" s="678">
        <f t="shared" si="27"/>
        <v>100</v>
      </c>
      <c r="J107" s="678">
        <f t="shared" si="27"/>
        <v>100</v>
      </c>
      <c r="K107" s="678">
        <f t="shared" si="27"/>
        <v>100</v>
      </c>
      <c r="L107" s="678">
        <f t="shared" si="27"/>
        <v>100</v>
      </c>
      <c r="M107" s="678">
        <f t="shared" si="27"/>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687"/>
      <c r="D108" s="687"/>
      <c r="E108" s="687"/>
      <c r="F108" s="687"/>
      <c r="G108" s="687"/>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100</v>
      </c>
      <c r="E109" s="678">
        <f t="shared" ref="E109:M109" si="28">D109-$K34</f>
        <v>100</v>
      </c>
      <c r="F109" s="678">
        <f t="shared" si="28"/>
        <v>100</v>
      </c>
      <c r="G109" s="678">
        <f t="shared" si="28"/>
        <v>100</v>
      </c>
      <c r="H109" s="678">
        <f t="shared" si="28"/>
        <v>100</v>
      </c>
      <c r="I109" s="678">
        <f t="shared" si="28"/>
        <v>100</v>
      </c>
      <c r="J109" s="678">
        <f t="shared" si="28"/>
        <v>100</v>
      </c>
      <c r="K109" s="678">
        <f t="shared" si="28"/>
        <v>100</v>
      </c>
      <c r="L109" s="678">
        <f t="shared" si="28"/>
        <v>100</v>
      </c>
      <c r="M109" s="678">
        <f t="shared" si="28"/>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9">D111-$K36</f>
        <v>100</v>
      </c>
      <c r="F111" s="678">
        <f t="shared" si="29"/>
        <v>100</v>
      </c>
      <c r="G111" s="678">
        <f t="shared" si="29"/>
        <v>100</v>
      </c>
      <c r="H111" s="678">
        <f t="shared" si="29"/>
        <v>100</v>
      </c>
      <c r="I111" s="678">
        <f t="shared" si="29"/>
        <v>100</v>
      </c>
      <c r="J111" s="678">
        <f t="shared" si="29"/>
        <v>100</v>
      </c>
      <c r="K111" s="678">
        <f t="shared" si="29"/>
        <v>100</v>
      </c>
      <c r="L111" s="678">
        <f t="shared" si="29"/>
        <v>100</v>
      </c>
      <c r="M111" s="678">
        <f t="shared" si="29"/>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551</v>
      </c>
      <c r="B118" s="664" t="s">
        <v>593</v>
      </c>
      <c r="C118" s="703" t="str">
        <f t="shared" ref="C118:L118" si="30">C119&amp;"(含)"&amp;"-"&amp;D119</f>
        <v>0(含)-20000</v>
      </c>
      <c r="D118" s="703" t="str">
        <f t="shared" si="30"/>
        <v>20000(含)-40000</v>
      </c>
      <c r="E118" s="703" t="str">
        <f t="shared" si="30"/>
        <v>40000(含)-60000</v>
      </c>
      <c r="F118" s="703" t="str">
        <f t="shared" si="30"/>
        <v>60000(含)-80000</v>
      </c>
      <c r="G118" s="703" t="str">
        <f t="shared" si="30"/>
        <v>80000(含)-</v>
      </c>
      <c r="H118" s="703" t="str">
        <f t="shared" si="30"/>
        <v>(含)-</v>
      </c>
      <c r="I118" s="703" t="str">
        <f t="shared" si="30"/>
        <v>(含)-</v>
      </c>
      <c r="J118" s="3040" t="str">
        <f t="shared" si="30"/>
        <v>(含)-</v>
      </c>
      <c r="K118" s="3040" t="str">
        <f t="shared" si="30"/>
        <v>(含)-</v>
      </c>
      <c r="L118" s="3041" t="str">
        <f t="shared" si="30"/>
        <v>(含)-</v>
      </c>
      <c r="M118" s="304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20000</v>
      </c>
      <c r="E119" s="729">
        <v>40000</v>
      </c>
      <c r="F119" s="729">
        <v>60000</v>
      </c>
      <c r="G119" s="729">
        <v>80000</v>
      </c>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699">
        <v>100</v>
      </c>
      <c r="E120" s="699">
        <v>100</v>
      </c>
      <c r="F120" s="699">
        <v>100</v>
      </c>
      <c r="G120" s="699">
        <v>100</v>
      </c>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717"/>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31">C122-$K41</f>
        <v>100</v>
      </c>
      <c r="E122" s="678">
        <f t="shared" si="31"/>
        <v>100</v>
      </c>
      <c r="F122" s="678">
        <f t="shared" si="31"/>
        <v>100</v>
      </c>
      <c r="G122" s="678">
        <f t="shared" si="31"/>
        <v>100</v>
      </c>
      <c r="H122" s="678">
        <f t="shared" si="31"/>
        <v>100</v>
      </c>
      <c r="I122" s="678">
        <f t="shared" si="31"/>
        <v>100</v>
      </c>
      <c r="J122" s="678">
        <f t="shared" si="31"/>
        <v>100</v>
      </c>
      <c r="K122" s="678">
        <f t="shared" si="31"/>
        <v>100</v>
      </c>
      <c r="L122" s="678">
        <f t="shared" si="31"/>
        <v>100</v>
      </c>
      <c r="M122" s="679">
        <f t="shared" si="31"/>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2">C124-$K42</f>
        <v>100</v>
      </c>
      <c r="E124" s="678">
        <f t="shared" si="32"/>
        <v>100</v>
      </c>
      <c r="F124" s="678">
        <f t="shared" si="32"/>
        <v>100</v>
      </c>
      <c r="G124" s="678">
        <f t="shared" si="32"/>
        <v>100</v>
      </c>
      <c r="H124" s="678">
        <f t="shared" si="32"/>
        <v>100</v>
      </c>
      <c r="I124" s="678">
        <f t="shared" si="32"/>
        <v>100</v>
      </c>
      <c r="J124" s="678">
        <f t="shared" si="32"/>
        <v>100</v>
      </c>
      <c r="K124" s="678">
        <f t="shared" si="32"/>
        <v>100</v>
      </c>
      <c r="L124" s="678">
        <f t="shared" si="32"/>
        <v>100</v>
      </c>
      <c r="M124" s="679">
        <f t="shared" si="32"/>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1370"/>
      <c r="D125" s="1370"/>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100</v>
      </c>
      <c r="E126" s="678">
        <f t="shared" ref="E126:M126" si="33">D126-$K43</f>
        <v>100</v>
      </c>
      <c r="F126" s="678">
        <f t="shared" si="33"/>
        <v>100</v>
      </c>
      <c r="G126" s="678">
        <f t="shared" si="33"/>
        <v>100</v>
      </c>
      <c r="H126" s="678">
        <f t="shared" si="33"/>
        <v>100</v>
      </c>
      <c r="I126" s="678">
        <f t="shared" si="33"/>
        <v>100</v>
      </c>
      <c r="J126" s="678">
        <f t="shared" si="33"/>
        <v>100</v>
      </c>
      <c r="K126" s="678">
        <f t="shared" si="33"/>
        <v>100</v>
      </c>
      <c r="L126" s="678">
        <f t="shared" si="33"/>
        <v>100</v>
      </c>
      <c r="M126" s="679">
        <f t="shared" si="33"/>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687"/>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34">C128-$K44</f>
        <v>100</v>
      </c>
      <c r="E128" s="678">
        <f t="shared" si="34"/>
        <v>100</v>
      </c>
      <c r="F128" s="678">
        <f t="shared" si="34"/>
        <v>100</v>
      </c>
      <c r="G128" s="678">
        <f t="shared" si="34"/>
        <v>100</v>
      </c>
      <c r="H128" s="678">
        <f t="shared" si="34"/>
        <v>100</v>
      </c>
      <c r="I128" s="678">
        <f t="shared" si="34"/>
        <v>100</v>
      </c>
      <c r="J128" s="678">
        <f t="shared" si="34"/>
        <v>100</v>
      </c>
      <c r="K128" s="678">
        <f t="shared" si="34"/>
        <v>100</v>
      </c>
      <c r="L128" s="678">
        <f t="shared" si="34"/>
        <v>100</v>
      </c>
      <c r="M128" s="679">
        <f t="shared" si="34"/>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9" sqref="C9"/>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7</v>
      </c>
    </row>
    <row r="2" spans="1:31" s="2025" customFormat="1" ht="18" customHeight="1">
      <c r="A2" s="2085" t="s">
        <v>467</v>
      </c>
      <c r="B2" s="2089">
        <f ca="1">C36</f>
        <v>31550</v>
      </c>
      <c r="C2" s="2088"/>
      <c r="D2" s="2088"/>
      <c r="E2" s="2088"/>
      <c r="F2" s="2088"/>
      <c r="G2" s="2088"/>
      <c r="H2" s="2088"/>
      <c r="I2" s="2088"/>
      <c r="J2" s="2088"/>
      <c r="K2" s="2088"/>
    </row>
    <row r="3" spans="1:31" s="2025" customFormat="1" ht="18" customHeight="1">
      <c r="A3" s="2090" t="s">
        <v>1684</v>
      </c>
      <c r="B3" s="2091">
        <f ca="1">ROUND(B2*10000/IF(B1="",'数据-汇总表'!E3,INDIRECT("'数据-取费表'!K"&amp;$K$1)),0)</f>
        <v>620</v>
      </c>
      <c r="C3" s="2088"/>
      <c r="D3" s="2088"/>
      <c r="E3" s="2088"/>
      <c r="F3" s="2088"/>
      <c r="G3" s="2088"/>
      <c r="H3" s="2088"/>
      <c r="I3" s="2088"/>
      <c r="J3" s="2088"/>
      <c r="K3" s="2088"/>
    </row>
    <row r="4" spans="1:31" s="2025" customFormat="1" ht="18" customHeight="1">
      <c r="A4" s="425" t="s">
        <v>468</v>
      </c>
      <c r="B4" s="426">
        <f ca="1">ROUND(B2*10000/IF(B1="",'数据-汇总表'!D3,INDIRECT("'数据-取费表'!R"&amp;$K$1)),0)</f>
        <v>2057</v>
      </c>
      <c r="C4" s="427"/>
      <c r="D4" s="421"/>
      <c r="E4" s="421"/>
      <c r="F4" s="421"/>
      <c r="G4" s="421"/>
      <c r="H4" s="421"/>
      <c r="I4" s="421"/>
      <c r="J4" s="421"/>
      <c r="K4" s="421"/>
    </row>
    <row r="5" spans="1:31" s="2025" customFormat="1" ht="18" customHeight="1" thickBot="1">
      <c r="A5" s="428"/>
      <c r="B5" s="429">
        <f ca="1">ROUND(B2/(IF(B1="",'数据-汇总表'!D3,INDIRECT("'数据-取费表'!R"&amp;$K$1))/666.67),0)</f>
        <v>137</v>
      </c>
      <c r="C5" s="430" t="s">
        <v>469</v>
      </c>
      <c r="D5" s="421"/>
      <c r="E5" s="421"/>
      <c r="F5" s="421"/>
      <c r="G5" s="421"/>
      <c r="H5" s="421"/>
      <c r="I5" s="421"/>
      <c r="J5" s="421"/>
      <c r="K5" s="421"/>
    </row>
    <row r="6" spans="1:31" s="2095" customFormat="1" ht="16.5" customHeight="1">
      <c r="A6" s="2782" t="s">
        <v>1842</v>
      </c>
      <c r="B6" s="2783"/>
      <c r="C6" s="2784">
        <f>SUM(C10:K10)</f>
        <v>217292.5</v>
      </c>
      <c r="D6" s="2783"/>
      <c r="E6" s="2783"/>
      <c r="F6" s="2783"/>
      <c r="G6" s="2783"/>
      <c r="H6" s="2783"/>
      <c r="I6" s="2783"/>
      <c r="J6" s="2783"/>
      <c r="K6" s="2785"/>
    </row>
    <row r="7" spans="1:31" s="2097" customFormat="1" ht="15">
      <c r="A7" s="2786" t="s">
        <v>470</v>
      </c>
      <c r="B7" s="2787" t="s">
        <v>471</v>
      </c>
      <c r="C7" s="435" t="s">
        <v>923</v>
      </c>
      <c r="D7" s="435" t="s">
        <v>1677</v>
      </c>
      <c r="E7" s="435" t="s">
        <v>3004</v>
      </c>
      <c r="F7" s="435" t="s">
        <v>35</v>
      </c>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v>5000</v>
      </c>
      <c r="D8" s="2788"/>
      <c r="E8" s="2788">
        <v>6500</v>
      </c>
      <c r="F8" s="2788">
        <v>2969</v>
      </c>
      <c r="G8" s="2788">
        <v>5</v>
      </c>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392610</v>
      </c>
      <c r="D9" s="440">
        <f>SUMIF('数据-汇总表'!$C19:$C33,'剩余法-待开发'!D7,'数据-汇总表'!$E19:$E33)</f>
        <v>0</v>
      </c>
      <c r="E9" s="440">
        <f>SUMIF('数据-汇总表'!$C19:$C33,'剩余法-待开发'!E7,'数据-汇总表'!$E19:$E33)</f>
        <v>9450</v>
      </c>
      <c r="F9" s="440">
        <f>SUMIF('数据-汇总表'!$C19:$C33,'剩余法-待开发'!F7,'数据-汇总表'!$E19:$E33)</f>
        <v>103915</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7">
        <f>C8*C9/10000</f>
        <v>196305</v>
      </c>
      <c r="D10" s="2977"/>
      <c r="E10" s="2977">
        <f>E8*E9/10000</f>
        <v>6142.5</v>
      </c>
      <c r="F10" s="2977">
        <f>F8*G8</f>
        <v>14845</v>
      </c>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111908</v>
      </c>
      <c r="D13" s="2798"/>
      <c r="E13" s="2799"/>
      <c r="F13" s="2800"/>
      <c r="G13" s="2766"/>
      <c r="H13" s="2767"/>
      <c r="I13" s="2767"/>
      <c r="J13" s="2767"/>
      <c r="K13" s="2768"/>
    </row>
    <row r="14" spans="1:31" s="2100" customFormat="1" ht="13.5" customHeight="1">
      <c r="A14" s="2796" t="s">
        <v>1849</v>
      </c>
      <c r="B14" s="2797" t="s">
        <v>480</v>
      </c>
      <c r="C14" s="53">
        <f ca="1">ROUND(C13*F14,0)</f>
        <v>3357</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0</v>
      </c>
      <c r="D15" s="2798"/>
      <c r="E15" s="2799"/>
      <c r="F15" s="2801">
        <f>'数据-取费表'!B34</f>
        <v>0</v>
      </c>
      <c r="G15" s="2766" t="s">
        <v>483</v>
      </c>
      <c r="H15" s="2767"/>
      <c r="I15" s="2767"/>
      <c r="J15" s="2767"/>
      <c r="K15" s="2768"/>
    </row>
    <row r="16" spans="1:31" s="2101" customFormat="1" ht="13.5" customHeight="1">
      <c r="A16" s="2796" t="s">
        <v>1851</v>
      </c>
      <c r="B16" s="2797" t="s">
        <v>484</v>
      </c>
      <c r="C16" s="53">
        <f ca="1">ROUND(D16*E16/10000,0)</f>
        <v>7630</v>
      </c>
      <c r="D16" s="2798">
        <f ca="1">IF(B1="",'数据-汇总表'!E3,INDIRECT("'数据-取费表'!K"&amp;$K$1)+INDIRECT("'数据-取费表'!S"&amp;$K$1))</f>
        <v>508675</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1679</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124574</v>
      </c>
      <c r="D18" s="2807"/>
      <c r="E18" s="467"/>
      <c r="F18" s="467"/>
      <c r="G18" s="2770" t="s">
        <v>2430</v>
      </c>
      <c r="H18" s="2771"/>
      <c r="I18" s="2771"/>
      <c r="J18" s="2771"/>
      <c r="K18" s="2772"/>
    </row>
    <row r="19" spans="1:14" s="2100" customFormat="1" ht="13.5" customHeight="1">
      <c r="A19" s="2804" t="s">
        <v>1854</v>
      </c>
      <c r="B19" s="2805" t="s">
        <v>488</v>
      </c>
      <c r="C19" s="2762">
        <f ca="1">ROUND(D19*E19/10000,0)</f>
        <v>7630</v>
      </c>
      <c r="D19" s="2808">
        <f ca="1">D16</f>
        <v>508675</v>
      </c>
      <c r="E19" s="2762">
        <f>'数据-取费表'!B32</f>
        <v>150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3306</v>
      </c>
      <c r="D20" s="2808"/>
      <c r="E20" s="2762"/>
      <c r="F20" s="2809"/>
      <c r="G20" s="3036"/>
      <c r="H20" s="2764"/>
      <c r="I20" s="2765" t="s">
        <v>2651</v>
      </c>
      <c r="J20" s="2771"/>
      <c r="K20" s="2772"/>
    </row>
    <row r="21" spans="1:14" s="2100" customFormat="1" ht="13.5" customHeight="1">
      <c r="A21" s="2796" t="s">
        <v>1856</v>
      </c>
      <c r="B21" s="2797" t="s">
        <v>491</v>
      </c>
      <c r="C21" s="53">
        <f ca="1">ROUND(D21*E21/10000,0)</f>
        <v>2552</v>
      </c>
      <c r="D21" s="2798">
        <f ca="1">IF(B1="",'数据-汇总表'!E5,IF(INDIRECT("'数据-取费表'!c"&amp;$K$1)="住宅",INDIRECT("'数据-取费表'!k"&amp;$K$1),0))</f>
        <v>392610</v>
      </c>
      <c r="E21" s="53">
        <f>'数据-取费表'!B27</f>
        <v>65</v>
      </c>
      <c r="F21" s="2801"/>
      <c r="G21" s="26"/>
      <c r="H21" s="51"/>
      <c r="I21" s="51"/>
      <c r="J21" s="51"/>
      <c r="K21" s="2773"/>
    </row>
    <row r="22" spans="1:14" s="2100" customFormat="1" ht="13.5" customHeight="1">
      <c r="A22" s="2796" t="s">
        <v>1857</v>
      </c>
      <c r="B22" s="2797" t="s">
        <v>492</v>
      </c>
      <c r="C22" s="53">
        <f ca="1">ROUND(D22*E22/10000,0)</f>
        <v>754</v>
      </c>
      <c r="D22" s="2798">
        <f ca="1">IF(B1="",'数据-汇总表'!E6,IF(INDIRECT("'数据-取费表'!c"&amp;$K$1)="住宅",INDIRECT("'数据-取费表'!s"&amp;$K$1),INDIRECT("'数据-取费表'!k"&amp;$K$1)+INDIRECT("'数据-取费表'!s"&amp;$K$1)))</f>
        <v>116065</v>
      </c>
      <c r="E22" s="53">
        <f>'数据-取费表'!B28</f>
        <v>65</v>
      </c>
      <c r="F22" s="2801"/>
      <c r="G22" s="26"/>
      <c r="H22" s="51"/>
      <c r="I22" s="51"/>
      <c r="J22" s="51"/>
      <c r="K22" s="2773"/>
    </row>
    <row r="23" spans="1:14" s="2100" customFormat="1" ht="13.5" customHeight="1">
      <c r="A23" s="2804" t="s">
        <v>1858</v>
      </c>
      <c r="B23" s="2983" t="s">
        <v>2834</v>
      </c>
      <c r="C23" s="2806">
        <f ca="1">ROUND((C18+C19+C20)*F23,0)</f>
        <v>2710</v>
      </c>
      <c r="D23" s="467"/>
      <c r="E23" s="467"/>
      <c r="F23" s="2810">
        <f>'数据-取费表'!B37</f>
        <v>0.02</v>
      </c>
      <c r="G23" s="2766" t="s">
        <v>2431</v>
      </c>
      <c r="H23" s="2767"/>
      <c r="I23" s="2767"/>
      <c r="J23" s="2767"/>
      <c r="K23" s="2768"/>
      <c r="L23" s="2102"/>
      <c r="M23" s="2102"/>
      <c r="N23" s="2102"/>
    </row>
    <row r="24" spans="1:14" s="2100" customFormat="1" ht="13.5" customHeight="1">
      <c r="A24" s="2804" t="s">
        <v>1859</v>
      </c>
      <c r="B24" s="2983" t="s">
        <v>2837</v>
      </c>
      <c r="C24" s="2806">
        <f>ROUND(C6*F24,0)</f>
        <v>4346</v>
      </c>
      <c r="D24" s="474"/>
      <c r="E24" s="472"/>
      <c r="F24" s="2810">
        <f>'数据-取费表'!B38</f>
        <v>0.02</v>
      </c>
      <c r="G24" s="2775" t="s">
        <v>499</v>
      </c>
      <c r="H24" s="2769"/>
      <c r="I24" s="2769"/>
      <c r="J24" s="2769"/>
      <c r="K24" s="278"/>
      <c r="L24" s="2102"/>
      <c r="M24" s="2102"/>
      <c r="N24" s="2102"/>
    </row>
    <row r="25" spans="1:14" s="2103" customFormat="1" ht="13.5" customHeight="1">
      <c r="A25" s="2804" t="s">
        <v>1860</v>
      </c>
      <c r="B25" s="2983" t="s">
        <v>2835</v>
      </c>
      <c r="C25" s="466">
        <f>ROUND(F25/(1+'数据-取费表'!C42),4)</f>
        <v>2.9000000000000001E-2</v>
      </c>
      <c r="D25" s="461" t="s">
        <v>2829</v>
      </c>
      <c r="E25" s="468"/>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4" t="s">
        <v>2836</v>
      </c>
      <c r="C26" s="2811">
        <f ca="1">C28</f>
        <v>10278</v>
      </c>
      <c r="D26" s="466">
        <f ca="1">C27</f>
        <v>0.1537</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0.1537</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2838</v>
      </c>
      <c r="C28" s="2814">
        <f ca="1">ROUND(IF('数据-取费表'!B22&lt;=1,(C18+C19+C20+C23+C24)*F26*'数据-取费表'!B24/2,(C18+C19+C20+C23+C24)*(POWER((1+F26),'数据-取费表'!B24/2)-1)),0)</f>
        <v>10278</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ROUND(C6*F29/(1+'数据-取费表'!C42),0)</f>
        <v>11382</v>
      </c>
      <c r="D29" s="467"/>
      <c r="E29" s="467"/>
      <c r="F29" s="2985">
        <f>'数据-取费表'!B41</f>
        <v>5.5000000000000007E-2</v>
      </c>
      <c r="G29" s="2775" t="s">
        <v>498</v>
      </c>
      <c r="H29" s="2767"/>
      <c r="I29" s="2767"/>
      <c r="J29" s="2767"/>
      <c r="K29" s="2768"/>
    </row>
    <row r="30" spans="1:14" s="2105" customFormat="1" ht="13.5" customHeight="1">
      <c r="A30" s="1619" t="s">
        <v>1863</v>
      </c>
      <c r="B30" s="2816" t="s">
        <v>500</v>
      </c>
      <c r="C30" s="2811">
        <f ca="1">C31</f>
        <v>164226</v>
      </c>
      <c r="D30" s="476">
        <f ca="1">C32</f>
        <v>0.1827</v>
      </c>
      <c r="E30" s="468" t="s">
        <v>495</v>
      </c>
      <c r="F30" s="470"/>
      <c r="G30" s="2774" t="s">
        <v>2973</v>
      </c>
      <c r="H30" s="2767"/>
      <c r="I30" s="2767"/>
      <c r="J30" s="2767"/>
      <c r="K30" s="2768"/>
    </row>
    <row r="31" spans="1:14" s="2104" customFormat="1" ht="13.5" customHeight="1">
      <c r="A31" s="802" t="s">
        <v>1856</v>
      </c>
      <c r="B31" s="2812"/>
      <c r="C31" s="449">
        <f ca="1">C18+C19+C20+C23+C24+C26+C29</f>
        <v>164226</v>
      </c>
      <c r="D31" s="471"/>
      <c r="E31" s="472"/>
      <c r="F31" s="473"/>
      <c r="G31" s="260"/>
      <c r="H31" s="2769"/>
      <c r="I31" s="2769"/>
      <c r="J31" s="2769"/>
      <c r="K31" s="278"/>
    </row>
    <row r="32" spans="1:14" s="2104" customFormat="1" ht="13.5" customHeight="1">
      <c r="A32" s="802" t="s">
        <v>1857</v>
      </c>
      <c r="B32" s="2812"/>
      <c r="C32" s="53">
        <f ca="1">ROUND(C25+D26,4)</f>
        <v>0.1827</v>
      </c>
      <c r="D32" s="471"/>
      <c r="E32" s="472"/>
      <c r="F32" s="473"/>
      <c r="G32" s="260"/>
      <c r="H32" s="2769"/>
      <c r="I32" s="2769"/>
      <c r="J32" s="2769"/>
      <c r="K32" s="278"/>
    </row>
    <row r="33" spans="1:11" s="2106" customFormat="1" ht="13.5" customHeight="1">
      <c r="A33" s="2982" t="s">
        <v>2833</v>
      </c>
      <c r="B33" s="2980" t="s">
        <v>2831</v>
      </c>
      <c r="C33" s="477">
        <f ca="1">C35</f>
        <v>12831</v>
      </c>
      <c r="D33" s="466">
        <f ca="1">C34</f>
        <v>9.2600000000000002E-2</v>
      </c>
      <c r="E33" s="468" t="s">
        <v>495</v>
      </c>
      <c r="F33" s="478">
        <f ca="1">IF(B1="",'数据-取费表'!Q16,INDIRECT("'数据-取费表'!q"&amp;$K$1))</f>
        <v>0.09</v>
      </c>
      <c r="G33" s="2770"/>
      <c r="H33" s="2771"/>
      <c r="I33" s="2771"/>
      <c r="J33" s="2771"/>
      <c r="K33" s="2772"/>
    </row>
    <row r="34" spans="1:11" s="2107" customFormat="1" ht="13.5" customHeight="1">
      <c r="A34" s="374" t="s">
        <v>1856</v>
      </c>
      <c r="B34" s="2817" t="s">
        <v>501</v>
      </c>
      <c r="C34" s="471">
        <f ca="1">ROUND((1+C25)*F33,4)</f>
        <v>9.2600000000000002E-2</v>
      </c>
      <c r="D34" s="471"/>
      <c r="E34" s="472"/>
      <c r="F34" s="479"/>
      <c r="G34" s="260" t="s">
        <v>2290</v>
      </c>
      <c r="H34" s="2769"/>
      <c r="I34" s="2769"/>
      <c r="J34" s="2769"/>
      <c r="K34" s="278"/>
    </row>
    <row r="35" spans="1:11" s="2107" customFormat="1" ht="13.5" customHeight="1" thickBot="1">
      <c r="A35" s="1620" t="s">
        <v>1857</v>
      </c>
      <c r="B35" s="2981" t="s">
        <v>2839</v>
      </c>
      <c r="C35" s="1612">
        <f ca="1">ROUND((C18+C19+C20+C23+C24)*F33,0)</f>
        <v>12831</v>
      </c>
      <c r="D35" s="1613"/>
      <c r="E35" s="2818"/>
      <c r="F35" s="1614"/>
      <c r="G35" s="2776"/>
      <c r="H35" s="2777"/>
      <c r="I35" s="2777"/>
      <c r="J35" s="2777"/>
      <c r="K35" s="2778"/>
    </row>
    <row r="36" spans="1:11" s="2069" customFormat="1" ht="13.5" customHeight="1" thickBot="1">
      <c r="A36" s="283" t="s">
        <v>1844</v>
      </c>
      <c r="B36" s="2780"/>
      <c r="C36" s="2819">
        <f ca="1">ROUND((C6-C30-C33)/(1+D30+D33),0)</f>
        <v>31550</v>
      </c>
      <c r="D36" s="2780"/>
      <c r="E36" s="2780"/>
      <c r="F36" s="2780"/>
      <c r="G36" s="2779" t="s">
        <v>2840</v>
      </c>
      <c r="H36" s="2780"/>
      <c r="I36" s="2780"/>
      <c r="J36" s="2780"/>
      <c r="K36" s="2781"/>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7</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2652</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111908</v>
      </c>
      <c r="D13" s="450"/>
      <c r="E13" s="364"/>
      <c r="F13" s="451"/>
      <c r="G13" s="443"/>
      <c r="H13" s="446"/>
      <c r="I13" s="446"/>
      <c r="J13" s="446"/>
      <c r="K13" s="447"/>
    </row>
    <row r="14" spans="1:41" s="2100" customFormat="1" ht="13.5" customHeight="1">
      <c r="A14" s="1617" t="s">
        <v>1849</v>
      </c>
      <c r="B14" s="448" t="s">
        <v>480</v>
      </c>
      <c r="C14" s="53">
        <f ca="1">ROUND(C13*F14,0)</f>
        <v>3357</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01" customFormat="1" ht="13.5" customHeight="1">
      <c r="A16" s="1617" t="s">
        <v>1851</v>
      </c>
      <c r="B16" s="448" t="s">
        <v>484</v>
      </c>
      <c r="C16" s="53">
        <f ca="1">ROUND(D16*E16/10000,0)</f>
        <v>7630</v>
      </c>
      <c r="D16" s="450">
        <f ca="1">IF(B1="",'数据-汇总表'!E3,INDIRECT("'数据-取费表'!K"&amp;$K$1)+INDIRECT("'数据-取费表'!S"&amp;$K$1))</f>
        <v>508675</v>
      </c>
      <c r="E16" s="53">
        <f>'数据-取费表'!B35</f>
        <v>150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1679</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124574</v>
      </c>
      <c r="D18" s="460"/>
      <c r="E18" s="461"/>
      <c r="F18" s="461"/>
      <c r="G18" s="1322" t="s">
        <v>2432</v>
      </c>
      <c r="H18" s="446"/>
      <c r="I18" s="446"/>
      <c r="J18" s="446"/>
      <c r="K18" s="447"/>
    </row>
    <row r="19" spans="1:14" s="2103" customFormat="1" ht="13.5" customHeight="1">
      <c r="A19" s="1618" t="s">
        <v>1854</v>
      </c>
      <c r="B19" s="458" t="s">
        <v>493</v>
      </c>
      <c r="C19" s="459">
        <f ca="1">ROUND(C18*F19,0)</f>
        <v>2491</v>
      </c>
      <c r="D19" s="461"/>
      <c r="E19" s="461"/>
      <c r="F19" s="465">
        <f>'数据-取费表'!B37</f>
        <v>0.02</v>
      </c>
      <c r="G19" s="443" t="s">
        <v>503</v>
      </c>
      <c r="H19" s="446"/>
      <c r="I19" s="446"/>
      <c r="J19" s="446"/>
      <c r="K19" s="447"/>
      <c r="L19" s="2105"/>
      <c r="M19" s="2105"/>
      <c r="N19" s="2105"/>
    </row>
    <row r="20" spans="1:14" s="2103" customFormat="1" ht="13.5" customHeight="1">
      <c r="A20" s="1618" t="s">
        <v>1855</v>
      </c>
      <c r="B20" s="458" t="s">
        <v>504</v>
      </c>
      <c r="C20" s="2978">
        <f>F20</f>
        <v>0.02</v>
      </c>
      <c r="D20" s="468" t="s">
        <v>505</v>
      </c>
      <c r="E20" s="468"/>
      <c r="F20" s="485">
        <f>'数据-取费表'!B38</f>
        <v>0.02</v>
      </c>
      <c r="G20" s="1322" t="s">
        <v>506</v>
      </c>
      <c r="H20" s="446"/>
      <c r="I20" s="446"/>
      <c r="J20" s="446"/>
      <c r="K20" s="447"/>
      <c r="L20" s="2105"/>
      <c r="M20" s="2105"/>
      <c r="N20" s="2105"/>
    </row>
    <row r="21" spans="1:14" s="2105" customFormat="1" ht="13.5" customHeight="1">
      <c r="A21" s="1618" t="s">
        <v>1858</v>
      </c>
      <c r="B21" s="460" t="s">
        <v>494</v>
      </c>
      <c r="C21" s="469">
        <f ca="1">C22</f>
        <v>9160</v>
      </c>
      <c r="D21" s="466">
        <f ca="1">C23</f>
        <v>1.4E-3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9160</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1.4E-3</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0" t="s">
        <v>2832</v>
      </c>
      <c r="C24" s="477">
        <f ca="1">C25</f>
        <v>11436</v>
      </c>
      <c r="D24" s="488">
        <f ca="1">C26</f>
        <v>1.8E-3</v>
      </c>
      <c r="E24" s="468" t="s">
        <v>507</v>
      </c>
      <c r="F24" s="478">
        <f ca="1">IF(B1="",'数据-取费表'!Q16,INDIRECT("'数据-取费表'!q"&amp;$K$1))</f>
        <v>0.09</v>
      </c>
      <c r="G24" s="443"/>
      <c r="H24" s="446"/>
      <c r="I24" s="446"/>
      <c r="J24" s="446"/>
      <c r="K24" s="447"/>
    </row>
    <row r="25" spans="1:14" s="2104" customFormat="1" ht="13.5" customHeight="1">
      <c r="A25" s="1617" t="s">
        <v>1848</v>
      </c>
      <c r="B25" s="1323" t="s">
        <v>2436</v>
      </c>
      <c r="C25" s="489">
        <f ca="1">ROUND((C18+C19)*F24,0)</f>
        <v>11436</v>
      </c>
      <c r="D25" s="471"/>
      <c r="E25" s="472"/>
      <c r="F25" s="479"/>
      <c r="G25" s="1321" t="s">
        <v>2433</v>
      </c>
      <c r="H25" s="456"/>
      <c r="I25" s="456"/>
      <c r="J25" s="456"/>
      <c r="K25" s="457"/>
    </row>
    <row r="26" spans="1:14" s="2104" customFormat="1" ht="13.5" customHeight="1">
      <c r="A26" s="1617" t="s">
        <v>1849</v>
      </c>
      <c r="B26" s="1323" t="s">
        <v>509</v>
      </c>
      <c r="C26" s="490">
        <f ca="1">ROUND(F20*F24,4)</f>
        <v>1.8E-3</v>
      </c>
      <c r="D26" s="471"/>
      <c r="E26" s="480"/>
      <c r="F26" s="479"/>
      <c r="G26" s="1321" t="s">
        <v>510</v>
      </c>
      <c r="H26" s="456"/>
      <c r="I26" s="456"/>
      <c r="J26" s="456"/>
      <c r="K26" s="457"/>
    </row>
    <row r="27" spans="1:14" s="2104" customFormat="1" ht="13.5" customHeight="1">
      <c r="A27" s="1621" t="s">
        <v>1867</v>
      </c>
      <c r="B27" s="458" t="s">
        <v>511</v>
      </c>
      <c r="C27" s="2979">
        <f>ROUND(F27/(1+'数据-取费表'!C42),4)</f>
        <v>5.2400000000000002E-2</v>
      </c>
      <c r="D27" s="461" t="s">
        <v>2830</v>
      </c>
      <c r="E27" s="461"/>
      <c r="F27" s="465">
        <f>'数据-取费表'!B41</f>
        <v>5.5000000000000007E-2</v>
      </c>
      <c r="G27" s="1944" t="s">
        <v>2291</v>
      </c>
      <c r="H27" s="446"/>
      <c r="I27" s="446"/>
      <c r="J27" s="446"/>
      <c r="K27" s="447"/>
    </row>
    <row r="28" spans="1:14" s="2105" customFormat="1" ht="13.5" customHeight="1">
      <c r="A28" s="1621" t="s">
        <v>1868</v>
      </c>
      <c r="B28" s="475" t="s">
        <v>512</v>
      </c>
      <c r="C28" s="469">
        <f ca="1">ROUND((C18+C19+C21+C24)/(1-C20-D21-D24-C27),0)</f>
        <v>159737</v>
      </c>
      <c r="D28" s="476"/>
      <c r="E28" s="468"/>
      <c r="F28" s="470"/>
      <c r="G28" s="1322" t="s">
        <v>2434</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5.5000000000000007E-2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2974</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3411" t="s">
        <v>522</v>
      </c>
      <c r="D6" s="3412"/>
      <c r="E6" s="3446" t="s">
        <v>523</v>
      </c>
      <c r="F6" s="3447"/>
      <c r="G6" s="3411" t="s">
        <v>524</v>
      </c>
      <c r="H6" s="3412"/>
      <c r="I6" s="3411" t="s">
        <v>525</v>
      </c>
      <c r="J6" s="3412"/>
      <c r="K6" s="513" t="s">
        <v>526</v>
      </c>
      <c r="L6" s="2117"/>
      <c r="M6" s="2118"/>
      <c r="N6" s="2118"/>
      <c r="O6" s="2118"/>
      <c r="P6" s="3413" t="s">
        <v>527</v>
      </c>
      <c r="Q6" s="3414"/>
      <c r="R6" s="3419" t="s">
        <v>523</v>
      </c>
      <c r="S6" s="3420"/>
      <c r="T6" s="3419" t="s">
        <v>524</v>
      </c>
      <c r="U6" s="3420"/>
      <c r="V6" s="3406" t="s">
        <v>525</v>
      </c>
      <c r="W6" s="3406"/>
      <c r="X6" s="1552"/>
      <c r="Y6" s="3419" t="s">
        <v>527</v>
      </c>
      <c r="Z6" s="3420"/>
      <c r="AA6" s="3408" t="s">
        <v>523</v>
      </c>
      <c r="AB6" s="3409" t="s">
        <v>524</v>
      </c>
      <c r="AC6" s="3408" t="s">
        <v>525</v>
      </c>
    </row>
    <row r="7" spans="1:29" ht="15">
      <c r="A7" s="514"/>
      <c r="B7" s="515"/>
      <c r="C7" s="3427" t="s">
        <v>2931</v>
      </c>
      <c r="D7" s="3428"/>
      <c r="E7" s="3448" t="s">
        <v>2932</v>
      </c>
      <c r="F7" s="3449"/>
      <c r="G7" s="3427" t="s">
        <v>2933</v>
      </c>
      <c r="H7" s="3428"/>
      <c r="I7" s="3427" t="s">
        <v>2934</v>
      </c>
      <c r="J7" s="3428"/>
      <c r="K7" s="513"/>
      <c r="L7" s="2117"/>
      <c r="M7" s="2118"/>
      <c r="N7" s="2118"/>
      <c r="O7" s="2118"/>
      <c r="P7" s="3415"/>
      <c r="Q7" s="3416"/>
      <c r="R7" s="3421"/>
      <c r="S7" s="3422"/>
      <c r="T7" s="3421"/>
      <c r="U7" s="3422"/>
      <c r="V7" s="3406"/>
      <c r="W7" s="3406"/>
      <c r="X7" s="1552"/>
      <c r="Y7" s="3421"/>
      <c r="Z7" s="3422"/>
      <c r="AA7" s="3409"/>
      <c r="AB7" s="3409"/>
      <c r="AC7" s="3409"/>
    </row>
    <row r="8" spans="1:29" ht="15.75" thickBot="1">
      <c r="A8" s="516"/>
      <c r="B8" s="517"/>
      <c r="C8" s="3425" t="s">
        <v>2935</v>
      </c>
      <c r="D8" s="3426"/>
      <c r="E8" s="3444" t="s">
        <v>2935</v>
      </c>
      <c r="F8" s="3445"/>
      <c r="G8" s="3425" t="s">
        <v>2935</v>
      </c>
      <c r="H8" s="3426"/>
      <c r="I8" s="3425" t="s">
        <v>2935</v>
      </c>
      <c r="J8" s="3426"/>
      <c r="K8" s="513" t="s">
        <v>528</v>
      </c>
      <c r="L8" s="2117"/>
      <c r="M8" s="2118"/>
      <c r="N8" s="2118"/>
      <c r="O8" s="2118"/>
      <c r="P8" s="3417"/>
      <c r="Q8" s="3418"/>
      <c r="R8" s="3421"/>
      <c r="S8" s="3422"/>
      <c r="T8" s="3423"/>
      <c r="U8" s="3424"/>
      <c r="V8" s="3406"/>
      <c r="W8" s="3406"/>
      <c r="X8" s="1552"/>
      <c r="Y8" s="3423"/>
      <c r="Z8" s="3424"/>
      <c r="AA8" s="3410"/>
      <c r="AB8" s="3410"/>
      <c r="AC8" s="3410"/>
    </row>
    <row r="9" spans="1:29" s="1215" customFormat="1" ht="15.75" thickBot="1">
      <c r="A9" s="2866"/>
      <c r="B9" s="2873" t="s">
        <v>529</v>
      </c>
      <c r="C9" s="518">
        <f>'数据-取费表'!B2</f>
        <v>43833</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437" t="s">
        <v>530</v>
      </c>
      <c r="Q9" s="3439"/>
      <c r="R9" s="1553" t="s">
        <v>8</v>
      </c>
      <c r="S9" s="1554">
        <f t="shared" ref="S9:S17" si="0">F9</f>
        <v>0</v>
      </c>
      <c r="T9" s="1553" t="s">
        <v>8</v>
      </c>
      <c r="U9" s="1554">
        <f t="shared" ref="U9:U17" si="1">H9</f>
        <v>0</v>
      </c>
      <c r="V9" s="1553" t="s">
        <v>8</v>
      </c>
      <c r="W9" s="1554">
        <f t="shared" ref="W9:W17" si="2">J9</f>
        <v>0</v>
      </c>
      <c r="X9" s="1555"/>
      <c r="Y9" s="3437" t="s">
        <v>530</v>
      </c>
      <c r="Z9" s="3438"/>
      <c r="AA9" s="1556" t="e">
        <f>D9/F9</f>
        <v>#DIV/0!</v>
      </c>
      <c r="AB9" s="1556" t="e">
        <f>D9/H9</f>
        <v>#DIV/0!</v>
      </c>
      <c r="AC9" s="1556" t="e">
        <f>D9/J9</f>
        <v>#DIV/0!</v>
      </c>
    </row>
    <row r="10" spans="1:29" s="1215" customFormat="1" ht="15.75" thickBot="1">
      <c r="A10" s="2867"/>
      <c r="B10" s="287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437" t="s">
        <v>533</v>
      </c>
      <c r="Q10" s="3438"/>
      <c r="R10" s="1553" t="s">
        <v>8</v>
      </c>
      <c r="S10" s="1554">
        <f t="shared" si="0"/>
        <v>0</v>
      </c>
      <c r="T10" s="1553" t="s">
        <v>8</v>
      </c>
      <c r="U10" s="1554">
        <f t="shared" si="1"/>
        <v>0</v>
      </c>
      <c r="V10" s="1553" t="s">
        <v>8</v>
      </c>
      <c r="W10" s="1554">
        <f t="shared" si="2"/>
        <v>0</v>
      </c>
      <c r="X10" s="1555"/>
      <c r="Y10" s="3437" t="s">
        <v>533</v>
      </c>
      <c r="Z10" s="3438"/>
      <c r="AA10" s="1556" t="e">
        <f t="shared" ref="AA10:AA42" si="3">D10/F10</f>
        <v>#DIV/0!</v>
      </c>
      <c r="AB10" s="1556" t="e">
        <f t="shared" ref="AB10:AB42" si="4">D10/H10</f>
        <v>#DIV/0!</v>
      </c>
      <c r="AC10" s="1556" t="e">
        <f t="shared" ref="AC10:AC42" si="5">D10/J10</f>
        <v>#DIV/0!</v>
      </c>
    </row>
    <row r="11" spans="1:29" s="1215" customFormat="1" ht="15">
      <c r="A11" s="2868"/>
      <c r="B11" s="2875" t="s">
        <v>2756</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405" t="s">
        <v>535</v>
      </c>
      <c r="Q11" s="1146" t="str">
        <f t="shared" ref="Q11:Q17" si="6">B11</f>
        <v>用途</v>
      </c>
      <c r="R11" s="1553" t="s">
        <v>8</v>
      </c>
      <c r="S11" s="1554">
        <f t="shared" si="0"/>
        <v>100</v>
      </c>
      <c r="T11" s="1553" t="s">
        <v>8</v>
      </c>
      <c r="U11" s="1554">
        <f t="shared" si="1"/>
        <v>100</v>
      </c>
      <c r="V11" s="1553" t="s">
        <v>8</v>
      </c>
      <c r="W11" s="1554">
        <f t="shared" si="2"/>
        <v>100</v>
      </c>
      <c r="X11" s="1555"/>
      <c r="Y11" s="3351" t="s">
        <v>536</v>
      </c>
      <c r="Z11" s="1145" t="str">
        <f t="shared" ref="Z11:Z17" si="7">Q11</f>
        <v>用途</v>
      </c>
      <c r="AA11" s="1556">
        <f t="shared" si="3"/>
        <v>1</v>
      </c>
      <c r="AB11" s="1556">
        <f t="shared" si="4"/>
        <v>1</v>
      </c>
      <c r="AC11" s="1556">
        <f t="shared" si="5"/>
        <v>1</v>
      </c>
    </row>
    <row r="12" spans="1:29" s="1333" customFormat="1" ht="27">
      <c r="A12" s="2869"/>
      <c r="B12" s="2874" t="s">
        <v>2757</v>
      </c>
      <c r="C12" s="527"/>
      <c r="D12" s="254">
        <v>100</v>
      </c>
      <c r="E12" s="527"/>
      <c r="F12" s="254">
        <f>ROUND(100/'数据-取费表'!G16,0)</f>
        <v>103</v>
      </c>
      <c r="G12" s="527"/>
      <c r="H12" s="254">
        <f>ROUND(100/'数据-取费表'!G16,0)</f>
        <v>103</v>
      </c>
      <c r="I12" s="527"/>
      <c r="J12" s="254">
        <f>ROUND(100/'数据-取费表'!G16,0)</f>
        <v>103</v>
      </c>
      <c r="K12" s="530"/>
      <c r="L12" s="2122"/>
      <c r="M12" s="2162"/>
      <c r="N12" s="2162"/>
      <c r="O12" s="2123"/>
      <c r="P12" s="3405"/>
      <c r="Q12" s="1146" t="str">
        <f t="shared" si="6"/>
        <v>土地使用年限（年）</v>
      </c>
      <c r="R12" s="1553" t="s">
        <v>8</v>
      </c>
      <c r="S12" s="1554">
        <f t="shared" si="0"/>
        <v>103</v>
      </c>
      <c r="T12" s="1553" t="s">
        <v>8</v>
      </c>
      <c r="U12" s="1554">
        <f t="shared" si="1"/>
        <v>103</v>
      </c>
      <c r="V12" s="1553" t="s">
        <v>8</v>
      </c>
      <c r="W12" s="1554">
        <f t="shared" si="2"/>
        <v>103</v>
      </c>
      <c r="X12" s="1555"/>
      <c r="Y12" s="3351"/>
      <c r="Z12" s="1145" t="str">
        <f t="shared" si="7"/>
        <v>土地使用年限（年）</v>
      </c>
      <c r="AA12" s="1556">
        <f t="shared" si="3"/>
        <v>0.970873786407767</v>
      </c>
      <c r="AB12" s="1556">
        <f t="shared" si="4"/>
        <v>0.970873786407767</v>
      </c>
      <c r="AC12" s="1556">
        <f t="shared" si="5"/>
        <v>0.970873786407767</v>
      </c>
    </row>
    <row r="13" spans="1:29" ht="15">
      <c r="A13" s="2870"/>
      <c r="B13" s="2874"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405"/>
      <c r="Q13" s="1146" t="str">
        <f t="shared" si="6"/>
        <v>容积率</v>
      </c>
      <c r="R13" s="1553" t="s">
        <v>8</v>
      </c>
      <c r="S13" s="1554" t="e">
        <f t="shared" si="0"/>
        <v>#N/A</v>
      </c>
      <c r="T13" s="1553" t="s">
        <v>8</v>
      </c>
      <c r="U13" s="1554" t="e">
        <f t="shared" si="1"/>
        <v>#N/A</v>
      </c>
      <c r="V13" s="1553" t="s">
        <v>8</v>
      </c>
      <c r="W13" s="1554" t="e">
        <f t="shared" si="2"/>
        <v>#N/A</v>
      </c>
      <c r="X13" s="1555"/>
      <c r="Y13" s="3351"/>
      <c r="Z13" s="1145" t="str">
        <f t="shared" si="7"/>
        <v>容积率</v>
      </c>
      <c r="AA13" s="1556" t="e">
        <f t="shared" si="3"/>
        <v>#N/A</v>
      </c>
      <c r="AB13" s="1556" t="e">
        <f t="shared" si="4"/>
        <v>#N/A</v>
      </c>
      <c r="AC13" s="1556"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405"/>
      <c r="Q14" s="1146">
        <f t="shared" si="6"/>
        <v>111</v>
      </c>
      <c r="R14" s="1553" t="s">
        <v>8</v>
      </c>
      <c r="S14" s="1554">
        <f t="shared" si="0"/>
        <v>100</v>
      </c>
      <c r="T14" s="1553" t="s">
        <v>8</v>
      </c>
      <c r="U14" s="1554">
        <f t="shared" si="1"/>
        <v>100</v>
      </c>
      <c r="V14" s="1553" t="s">
        <v>8</v>
      </c>
      <c r="W14" s="1554">
        <f t="shared" si="2"/>
        <v>100</v>
      </c>
      <c r="X14" s="1555"/>
      <c r="Y14" s="3351"/>
      <c r="Z14" s="1145">
        <f t="shared" si="7"/>
        <v>111</v>
      </c>
      <c r="AA14" s="1556">
        <f>D14/F14</f>
        <v>1</v>
      </c>
      <c r="AB14" s="1556">
        <f>D14/H14</f>
        <v>1</v>
      </c>
      <c r="AC14" s="1556">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405"/>
      <c r="Q15" s="1146">
        <f t="shared" si="6"/>
        <v>111</v>
      </c>
      <c r="R15" s="1553" t="s">
        <v>8</v>
      </c>
      <c r="S15" s="1554">
        <f t="shared" si="0"/>
        <v>100</v>
      </c>
      <c r="T15" s="1553" t="s">
        <v>8</v>
      </c>
      <c r="U15" s="1554">
        <f t="shared" si="1"/>
        <v>100</v>
      </c>
      <c r="V15" s="1553" t="s">
        <v>8</v>
      </c>
      <c r="W15" s="1554">
        <f t="shared" si="2"/>
        <v>100</v>
      </c>
      <c r="X15" s="1555"/>
      <c r="Y15" s="3351"/>
      <c r="Z15" s="1145">
        <f t="shared" si="7"/>
        <v>111</v>
      </c>
      <c r="AA15" s="1556">
        <f t="shared" si="3"/>
        <v>1</v>
      </c>
      <c r="AB15" s="1556">
        <f t="shared" si="4"/>
        <v>1</v>
      </c>
      <c r="AC15" s="1556">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405"/>
      <c r="Q16" s="1146">
        <f t="shared" si="6"/>
        <v>111</v>
      </c>
      <c r="R16" s="1553" t="s">
        <v>8</v>
      </c>
      <c r="S16" s="1554">
        <f t="shared" si="0"/>
        <v>100</v>
      </c>
      <c r="T16" s="1553" t="s">
        <v>8</v>
      </c>
      <c r="U16" s="1554">
        <f t="shared" si="1"/>
        <v>100</v>
      </c>
      <c r="V16" s="1553" t="s">
        <v>8</v>
      </c>
      <c r="W16" s="1554">
        <f t="shared" si="2"/>
        <v>100</v>
      </c>
      <c r="X16" s="1555"/>
      <c r="Y16" s="3351"/>
      <c r="Z16" s="1145">
        <f t="shared" si="7"/>
        <v>111</v>
      </c>
      <c r="AA16" s="1556">
        <f t="shared" si="3"/>
        <v>1</v>
      </c>
      <c r="AB16" s="1556">
        <f t="shared" si="4"/>
        <v>1</v>
      </c>
      <c r="AC16" s="1556">
        <f t="shared" si="5"/>
        <v>1</v>
      </c>
    </row>
    <row r="17" spans="1:29" ht="57">
      <c r="A17" s="2864"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440" t="s">
        <v>540</v>
      </c>
      <c r="Q17" s="1557" t="str">
        <f t="shared" si="6"/>
        <v>产业集聚程度</v>
      </c>
      <c r="R17" s="1558" t="s">
        <v>8</v>
      </c>
      <c r="S17" s="1559">
        <f t="shared" si="0"/>
        <v>100</v>
      </c>
      <c r="T17" s="1558" t="s">
        <v>8</v>
      </c>
      <c r="U17" s="1559">
        <f t="shared" si="1"/>
        <v>100</v>
      </c>
      <c r="V17" s="1558" t="s">
        <v>8</v>
      </c>
      <c r="W17" s="1559">
        <f t="shared" si="2"/>
        <v>100</v>
      </c>
      <c r="X17" s="1552"/>
      <c r="Y17" s="3440"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441"/>
      <c r="Q18" s="1557"/>
      <c r="R18" s="1558"/>
      <c r="S18" s="1559"/>
      <c r="T18" s="1558"/>
      <c r="U18" s="1559"/>
      <c r="V18" s="1558"/>
      <c r="W18" s="1559"/>
      <c r="X18" s="1552"/>
      <c r="Y18" s="3441"/>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441"/>
      <c r="Q19" s="1557" t="str">
        <f>B19</f>
        <v>交通便捷度</v>
      </c>
      <c r="R19" s="1558" t="s">
        <v>8</v>
      </c>
      <c r="S19" s="1559">
        <f>F19</f>
        <v>100</v>
      </c>
      <c r="T19" s="1558" t="s">
        <v>8</v>
      </c>
      <c r="U19" s="1559">
        <f>H19</f>
        <v>100</v>
      </c>
      <c r="V19" s="1558" t="s">
        <v>8</v>
      </c>
      <c r="W19" s="1559">
        <f>J19</f>
        <v>100</v>
      </c>
      <c r="X19" s="1552"/>
      <c r="Y19" s="3441"/>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3441"/>
      <c r="Q20" s="1557"/>
      <c r="R20" s="1558"/>
      <c r="S20" s="1559"/>
      <c r="T20" s="1558"/>
      <c r="U20" s="1559"/>
      <c r="V20" s="1558"/>
      <c r="W20" s="1559"/>
      <c r="X20" s="1552"/>
      <c r="Y20" s="3441"/>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441"/>
      <c r="Q21" s="1557" t="str">
        <f t="shared" ref="Q21:Q35" si="8">B21</f>
        <v>区域土地利用方向</v>
      </c>
      <c r="R21" s="1558" t="s">
        <v>8</v>
      </c>
      <c r="S21" s="1559">
        <f>F21</f>
        <v>100</v>
      </c>
      <c r="T21" s="1558" t="s">
        <v>8</v>
      </c>
      <c r="U21" s="1559">
        <f>H21</f>
        <v>100</v>
      </c>
      <c r="V21" s="1558" t="s">
        <v>8</v>
      </c>
      <c r="W21" s="1559">
        <f>J21</f>
        <v>100</v>
      </c>
      <c r="X21" s="1552"/>
      <c r="Y21" s="3441"/>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3441"/>
      <c r="Q22" s="1557"/>
      <c r="R22" s="1558"/>
      <c r="S22" s="1559"/>
      <c r="T22" s="1558"/>
      <c r="U22" s="1559"/>
      <c r="V22" s="1558"/>
      <c r="W22" s="1559"/>
      <c r="X22" s="1552"/>
      <c r="Y22" s="3441"/>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441"/>
      <c r="Q23" s="1557" t="str">
        <f t="shared" si="8"/>
        <v>环境状况</v>
      </c>
      <c r="R23" s="1558" t="s">
        <v>8</v>
      </c>
      <c r="S23" s="1559">
        <f>F23</f>
        <v>100</v>
      </c>
      <c r="T23" s="1558" t="s">
        <v>8</v>
      </c>
      <c r="U23" s="1559">
        <f>H23</f>
        <v>100</v>
      </c>
      <c r="V23" s="1558" t="s">
        <v>8</v>
      </c>
      <c r="W23" s="1559">
        <f>J23</f>
        <v>100</v>
      </c>
      <c r="X23" s="1552"/>
      <c r="Y23" s="3441"/>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441"/>
      <c r="Q24" s="1557"/>
      <c r="R24" s="1558"/>
      <c r="S24" s="1559"/>
      <c r="T24" s="1558"/>
      <c r="U24" s="1559"/>
      <c r="V24" s="1558"/>
      <c r="W24" s="1559"/>
      <c r="X24" s="1552"/>
      <c r="Y24" s="3441"/>
      <c r="Z24" s="1560"/>
      <c r="AA24" s="1561">
        <v>1</v>
      </c>
      <c r="AB24" s="1561">
        <v>1</v>
      </c>
      <c r="AC24" s="1561">
        <v>1</v>
      </c>
    </row>
    <row r="25" spans="1:29" s="1215" customFormat="1" ht="42.75">
      <c r="A25" s="576"/>
      <c r="B25" s="2556"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441"/>
      <c r="Q25" s="1146" t="str">
        <f t="shared" si="8"/>
        <v>公共配套设施</v>
      </c>
      <c r="R25" s="1553" t="s">
        <v>8</v>
      </c>
      <c r="S25" s="1554">
        <f>F25</f>
        <v>100</v>
      </c>
      <c r="T25" s="1553" t="s">
        <v>8</v>
      </c>
      <c r="U25" s="1554">
        <f>H25</f>
        <v>100</v>
      </c>
      <c r="V25" s="1553" t="s">
        <v>8</v>
      </c>
      <c r="W25" s="1554">
        <f>J25</f>
        <v>100</v>
      </c>
      <c r="X25" s="1555"/>
      <c r="Y25" s="3441"/>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3441"/>
      <c r="Q26" s="1146"/>
      <c r="R26" s="1553"/>
      <c r="S26" s="1554"/>
      <c r="T26" s="1553"/>
      <c r="U26" s="1554"/>
      <c r="V26" s="1553"/>
      <c r="W26" s="1554"/>
      <c r="X26" s="1555"/>
      <c r="Y26" s="3441"/>
      <c r="Z26" s="1145"/>
      <c r="AA26" s="1556">
        <v>1</v>
      </c>
      <c r="AB26" s="1556">
        <v>1</v>
      </c>
      <c r="AC26" s="1556">
        <v>1</v>
      </c>
    </row>
    <row r="27" spans="1:29" s="1215" customFormat="1" ht="28.5">
      <c r="A27" s="576"/>
      <c r="B27" s="2556"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441"/>
      <c r="Q27" s="2541" t="str">
        <f t="shared" ref="Q27" si="9">B27</f>
        <v>基础设施水平</v>
      </c>
      <c r="R27" s="1553" t="s">
        <v>8</v>
      </c>
      <c r="S27" s="1554">
        <f>F27</f>
        <v>100</v>
      </c>
      <c r="T27" s="1553" t="s">
        <v>8</v>
      </c>
      <c r="U27" s="1554">
        <f>H27</f>
        <v>100</v>
      </c>
      <c r="V27" s="1553" t="s">
        <v>8</v>
      </c>
      <c r="W27" s="1554">
        <f>J27</f>
        <v>100</v>
      </c>
      <c r="X27" s="1555"/>
      <c r="Y27" s="3441"/>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3441"/>
      <c r="Q28" s="2541"/>
      <c r="R28" s="1553"/>
      <c r="S28" s="1554"/>
      <c r="T28" s="1553"/>
      <c r="U28" s="1554"/>
      <c r="V28" s="1553"/>
      <c r="W28" s="1554"/>
      <c r="X28" s="1555"/>
      <c r="Y28" s="3441"/>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441"/>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41"/>
      <c r="Z29" s="1560" t="str">
        <f t="shared" ref="Z29:Z42" si="13">Q29</f>
        <v>临街状况</v>
      </c>
      <c r="AA29" s="1561">
        <f t="shared" si="3"/>
        <v>1</v>
      </c>
      <c r="AB29" s="1561">
        <f t="shared" si="4"/>
        <v>1</v>
      </c>
      <c r="AC29" s="1561">
        <f t="shared" si="5"/>
        <v>1</v>
      </c>
    </row>
    <row r="30" spans="1:29" ht="27">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441"/>
      <c r="Q30" s="1557" t="str">
        <f t="shared" si="8"/>
        <v>毗邻道路的类型与等级</v>
      </c>
      <c r="R30" s="1558" t="s">
        <v>8</v>
      </c>
      <c r="S30" s="1559">
        <f t="shared" si="10"/>
        <v>100</v>
      </c>
      <c r="T30" s="1558" t="s">
        <v>8</v>
      </c>
      <c r="U30" s="1559">
        <f t="shared" si="11"/>
        <v>100</v>
      </c>
      <c r="V30" s="1558" t="s">
        <v>8</v>
      </c>
      <c r="W30" s="1559">
        <f t="shared" si="12"/>
        <v>100</v>
      </c>
      <c r="X30" s="1552"/>
      <c r="Y30" s="3441"/>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441"/>
      <c r="Q31" s="1557"/>
      <c r="R31" s="1558"/>
      <c r="S31" s="1559"/>
      <c r="T31" s="1558"/>
      <c r="U31" s="1559"/>
      <c r="V31" s="1558"/>
      <c r="W31" s="1559"/>
      <c r="X31" s="1552"/>
      <c r="Y31" s="3441"/>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441"/>
      <c r="Q32" s="1557" t="str">
        <f t="shared" si="8"/>
        <v>土地级别</v>
      </c>
      <c r="R32" s="1558" t="s">
        <v>8</v>
      </c>
      <c r="S32" s="1559">
        <f t="shared" si="10"/>
        <v>100</v>
      </c>
      <c r="T32" s="1558" t="s">
        <v>8</v>
      </c>
      <c r="U32" s="1559">
        <f t="shared" si="11"/>
        <v>100</v>
      </c>
      <c r="V32" s="1558" t="s">
        <v>8</v>
      </c>
      <c r="W32" s="1559">
        <f t="shared" si="12"/>
        <v>100</v>
      </c>
      <c r="X32" s="1552"/>
      <c r="Y32" s="3441"/>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441"/>
      <c r="Q33" s="1557">
        <f t="shared" si="8"/>
        <v>111</v>
      </c>
      <c r="R33" s="1558" t="s">
        <v>8</v>
      </c>
      <c r="S33" s="1559">
        <f t="shared" si="10"/>
        <v>100</v>
      </c>
      <c r="T33" s="1558" t="s">
        <v>8</v>
      </c>
      <c r="U33" s="1559">
        <f t="shared" si="11"/>
        <v>100</v>
      </c>
      <c r="V33" s="1558" t="s">
        <v>8</v>
      </c>
      <c r="W33" s="1559">
        <f t="shared" si="12"/>
        <v>100</v>
      </c>
      <c r="X33" s="1552"/>
      <c r="Y33" s="3441"/>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442" t="s">
        <v>550</v>
      </c>
      <c r="Q34" s="1557">
        <f t="shared" si="8"/>
        <v>111</v>
      </c>
      <c r="R34" s="1558" t="s">
        <v>8</v>
      </c>
      <c r="S34" s="1559">
        <f t="shared" si="10"/>
        <v>100</v>
      </c>
      <c r="T34" s="1558" t="s">
        <v>8</v>
      </c>
      <c r="U34" s="1559">
        <f t="shared" si="11"/>
        <v>100</v>
      </c>
      <c r="V34" s="1558" t="s">
        <v>8</v>
      </c>
      <c r="W34" s="1559">
        <f t="shared" si="12"/>
        <v>100</v>
      </c>
      <c r="X34" s="1552"/>
      <c r="Y34" s="3443" t="s">
        <v>550</v>
      </c>
      <c r="Z34" s="1560">
        <f t="shared" si="13"/>
        <v>111</v>
      </c>
      <c r="AA34" s="1561">
        <f t="shared" si="3"/>
        <v>1</v>
      </c>
      <c r="AB34" s="1561">
        <f t="shared" si="4"/>
        <v>1</v>
      </c>
      <c r="AC34" s="1561">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443"/>
      <c r="Q35" s="1557">
        <f t="shared" si="8"/>
        <v>111</v>
      </c>
      <c r="R35" s="1562" t="s">
        <v>8</v>
      </c>
      <c r="S35" s="1563">
        <f t="shared" si="10"/>
        <v>100</v>
      </c>
      <c r="T35" s="1562" t="s">
        <v>8</v>
      </c>
      <c r="U35" s="1563">
        <f t="shared" si="11"/>
        <v>100</v>
      </c>
      <c r="V35" s="1562" t="s">
        <v>8</v>
      </c>
      <c r="W35" s="1563">
        <f t="shared" si="12"/>
        <v>100</v>
      </c>
      <c r="X35" s="1564"/>
      <c r="Y35" s="3443"/>
      <c r="Z35" s="1565">
        <f t="shared" si="13"/>
        <v>111</v>
      </c>
      <c r="AA35" s="1561">
        <f t="shared" si="3"/>
        <v>1</v>
      </c>
      <c r="AB35" s="1561">
        <f t="shared" si="4"/>
        <v>1</v>
      </c>
      <c r="AC35" s="1561">
        <f t="shared" si="5"/>
        <v>1</v>
      </c>
    </row>
    <row r="36" spans="1:29" ht="15">
      <c r="A36" s="2861"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443"/>
      <c r="Q36" s="1557" t="str">
        <f>B36</f>
        <v>宗地面积</v>
      </c>
      <c r="R36" s="1558" t="s">
        <v>8</v>
      </c>
      <c r="S36" s="1559" t="e">
        <f t="shared" si="10"/>
        <v>#N/A</v>
      </c>
      <c r="T36" s="1558" t="s">
        <v>8</v>
      </c>
      <c r="U36" s="1559" t="e">
        <f t="shared" si="11"/>
        <v>#N/A</v>
      </c>
      <c r="V36" s="1558" t="s">
        <v>8</v>
      </c>
      <c r="W36" s="1559" t="e">
        <f t="shared" si="12"/>
        <v>#N/A</v>
      </c>
      <c r="X36" s="1552"/>
      <c r="Y36" s="3443"/>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443"/>
      <c r="Q37" s="1557" t="str">
        <f t="shared" ref="Q37:Q42" si="14">B37</f>
        <v>宗地形状</v>
      </c>
      <c r="R37" s="1558" t="s">
        <v>8</v>
      </c>
      <c r="S37" s="1559">
        <f t="shared" si="10"/>
        <v>100</v>
      </c>
      <c r="T37" s="1558" t="s">
        <v>8</v>
      </c>
      <c r="U37" s="1559">
        <f t="shared" si="11"/>
        <v>100</v>
      </c>
      <c r="V37" s="1558" t="s">
        <v>8</v>
      </c>
      <c r="W37" s="1559">
        <f t="shared" si="12"/>
        <v>100</v>
      </c>
      <c r="X37" s="1552"/>
      <c r="Y37" s="3443"/>
      <c r="Z37" s="1560" t="str">
        <f t="shared" si="13"/>
        <v>宗地形状</v>
      </c>
      <c r="AA37" s="1561">
        <f t="shared" si="3"/>
        <v>1</v>
      </c>
      <c r="AB37" s="1561">
        <f t="shared" si="4"/>
        <v>1</v>
      </c>
      <c r="AC37" s="1561">
        <f t="shared" si="5"/>
        <v>1</v>
      </c>
    </row>
    <row r="38" spans="1:29" s="1215" customFormat="1" ht="15">
      <c r="A38" s="599"/>
      <c r="B38" s="1879"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443"/>
      <c r="Q38" s="1557" t="str">
        <f t="shared" si="14"/>
        <v>宗地开发程度</v>
      </c>
      <c r="R38" s="1553" t="s">
        <v>8</v>
      </c>
      <c r="S38" s="1554">
        <f t="shared" si="10"/>
        <v>100</v>
      </c>
      <c r="T38" s="1553" t="s">
        <v>8</v>
      </c>
      <c r="U38" s="1554">
        <f t="shared" si="11"/>
        <v>100</v>
      </c>
      <c r="V38" s="1553" t="s">
        <v>8</v>
      </c>
      <c r="W38" s="1554">
        <f t="shared" si="12"/>
        <v>100</v>
      </c>
      <c r="X38" s="1555"/>
      <c r="Y38" s="3443"/>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43" t="s">
        <v>601</v>
      </c>
      <c r="Q39" s="1557" t="str">
        <f t="shared" si="14"/>
        <v>工程地质条件</v>
      </c>
      <c r="R39" s="1558" t="s">
        <v>8</v>
      </c>
      <c r="S39" s="1559">
        <f t="shared" si="10"/>
        <v>100</v>
      </c>
      <c r="T39" s="1558" t="s">
        <v>8</v>
      </c>
      <c r="U39" s="1559">
        <f t="shared" si="11"/>
        <v>100</v>
      </c>
      <c r="V39" s="1558" t="s">
        <v>8</v>
      </c>
      <c r="W39" s="1559">
        <f t="shared" si="12"/>
        <v>100</v>
      </c>
      <c r="X39" s="1552"/>
      <c r="Y39" s="3443"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443"/>
      <c r="Q40" s="1557">
        <f t="shared" si="14"/>
        <v>111</v>
      </c>
      <c r="R40" s="1558" t="s">
        <v>8</v>
      </c>
      <c r="S40" s="1559">
        <f t="shared" si="10"/>
        <v>100</v>
      </c>
      <c r="T40" s="1558" t="s">
        <v>8</v>
      </c>
      <c r="U40" s="1559">
        <f t="shared" si="11"/>
        <v>100</v>
      </c>
      <c r="V40" s="1558" t="s">
        <v>8</v>
      </c>
      <c r="W40" s="1559">
        <f t="shared" si="12"/>
        <v>100</v>
      </c>
      <c r="X40" s="1552"/>
      <c r="Y40" s="3443"/>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443"/>
      <c r="Q41" s="1557">
        <f t="shared" si="14"/>
        <v>111</v>
      </c>
      <c r="R41" s="1558" t="s">
        <v>8</v>
      </c>
      <c r="S41" s="1559">
        <f t="shared" si="10"/>
        <v>100</v>
      </c>
      <c r="T41" s="1558" t="s">
        <v>8</v>
      </c>
      <c r="U41" s="1559">
        <f t="shared" si="11"/>
        <v>100</v>
      </c>
      <c r="V41" s="1558" t="s">
        <v>8</v>
      </c>
      <c r="W41" s="1559">
        <f t="shared" si="12"/>
        <v>100</v>
      </c>
      <c r="X41" s="1552"/>
      <c r="Y41" s="3443"/>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443"/>
      <c r="Q42" s="1557">
        <f t="shared" si="14"/>
        <v>111</v>
      </c>
      <c r="R42" s="1562" t="s">
        <v>8</v>
      </c>
      <c r="S42" s="1563">
        <f t="shared" si="10"/>
        <v>100</v>
      </c>
      <c r="T42" s="1562" t="s">
        <v>8</v>
      </c>
      <c r="U42" s="1563">
        <f t="shared" si="11"/>
        <v>100</v>
      </c>
      <c r="V42" s="1562" t="s">
        <v>8</v>
      </c>
      <c r="W42" s="1563">
        <f t="shared" si="12"/>
        <v>100</v>
      </c>
      <c r="X42" s="1564"/>
      <c r="Y42" s="3443"/>
      <c r="Z42" s="1565">
        <f t="shared" si="13"/>
        <v>111</v>
      </c>
      <c r="AA42" s="1561">
        <f t="shared" si="3"/>
        <v>1</v>
      </c>
      <c r="AB42" s="1561">
        <f t="shared" si="4"/>
        <v>1</v>
      </c>
      <c r="AC42" s="1561">
        <f t="shared" si="5"/>
        <v>1</v>
      </c>
    </row>
    <row r="43" spans="1:29" ht="15">
      <c r="A43" s="606" t="s">
        <v>556</v>
      </c>
      <c r="B43" s="607" t="s">
        <v>2936</v>
      </c>
      <c r="C43" s="608" t="s">
        <v>1</v>
      </c>
      <c r="D43" s="609"/>
      <c r="E43" s="610"/>
      <c r="F43" s="611"/>
      <c r="G43" s="612"/>
      <c r="H43" s="613"/>
      <c r="I43" s="610"/>
      <c r="J43" s="613"/>
      <c r="K43" s="1335"/>
      <c r="L43" s="2128"/>
      <c r="M43" s="2118"/>
      <c r="N43" s="2118"/>
      <c r="O43" s="2129"/>
      <c r="P43" s="3405" t="str">
        <f>A43</f>
        <v>成交单价</v>
      </c>
      <c r="Q43" s="3405"/>
      <c r="R43" s="3406">
        <f>E43</f>
        <v>0</v>
      </c>
      <c r="S43" s="3406"/>
      <c r="T43" s="3406">
        <f>G43</f>
        <v>0</v>
      </c>
      <c r="U43" s="3406"/>
      <c r="V43" s="3406">
        <f>I43</f>
        <v>0</v>
      </c>
      <c r="W43" s="3406"/>
      <c r="X43" s="1544"/>
      <c r="Y43" s="1566"/>
      <c r="Z43" s="1544"/>
      <c r="AA43" s="1544"/>
      <c r="AB43" s="1544"/>
      <c r="AC43" s="1544"/>
    </row>
    <row r="44" spans="1:29" ht="15.75" thickBot="1">
      <c r="A44" s="614" t="s">
        <v>2693</v>
      </c>
      <c r="B44" s="615"/>
      <c r="C44" s="616" t="e">
        <f>R45</f>
        <v>#DIV/0!</v>
      </c>
      <c r="D44" s="617"/>
      <c r="E44" s="616" t="e">
        <f>R44</f>
        <v>#DIV/0!</v>
      </c>
      <c r="F44" s="618"/>
      <c r="G44" s="619" t="e">
        <f>T44</f>
        <v>#DIV/0!</v>
      </c>
      <c r="H44" s="617"/>
      <c r="I44" s="616" t="e">
        <f>V44</f>
        <v>#DIV/0!</v>
      </c>
      <c r="J44" s="617"/>
      <c r="K44" s="1336"/>
      <c r="L44" s="2128"/>
      <c r="M44" s="2118"/>
      <c r="N44" s="2118"/>
      <c r="O44" s="2129"/>
      <c r="P44" s="3405" t="str">
        <f>A44</f>
        <v>比较价格（元/平方米）</v>
      </c>
      <c r="Q44" s="3405"/>
      <c r="R44" s="3407" t="e">
        <f>ROUND(PRODUCT(R43,AA9:AA42),0)</f>
        <v>#DIV/0!</v>
      </c>
      <c r="S44" s="3407"/>
      <c r="T44" s="3407" t="e">
        <f>ROUND(PRODUCT(T43,AB9:AB42),0)</f>
        <v>#DIV/0!</v>
      </c>
      <c r="U44" s="3407"/>
      <c r="V44" s="3407" t="e">
        <f>ROUND(PRODUCT(V43,AC9:AC42),0)</f>
        <v>#DIV/0!</v>
      </c>
      <c r="W44" s="3407"/>
      <c r="X44" s="1544"/>
      <c r="Y44" s="1544"/>
      <c r="Z44" s="1544"/>
      <c r="AA44" s="1544"/>
      <c r="AB44" s="1544"/>
      <c r="AC44" s="1544"/>
    </row>
    <row r="45" spans="1:29" ht="15.75" thickBot="1">
      <c r="A45" s="620" t="s">
        <v>2937</v>
      </c>
      <c r="B45" s="621"/>
      <c r="C45" s="622" t="e">
        <f>R45</f>
        <v>#DIV/0!</v>
      </c>
      <c r="D45" s="622"/>
      <c r="E45" s="622"/>
      <c r="F45" s="622"/>
      <c r="G45" s="622"/>
      <c r="H45" s="622"/>
      <c r="I45" s="622"/>
      <c r="J45" s="622"/>
      <c r="K45" s="1337"/>
      <c r="L45" s="2128"/>
      <c r="M45" s="2118"/>
      <c r="N45" s="2118"/>
      <c r="O45" s="2129"/>
      <c r="P45" s="3402" t="str">
        <f>A45</f>
        <v>估价对象XX用房的比较价格（楼面单价，元/平方米）</v>
      </c>
      <c r="Q45" s="3403"/>
      <c r="R45" s="3404" t="e">
        <f>ROUND(AVERAGE(R44:V44),0)</f>
        <v>#DIV/0!</v>
      </c>
      <c r="S45" s="3404"/>
      <c r="T45" s="3404"/>
      <c r="U45" s="3404"/>
      <c r="V45" s="3404"/>
      <c r="W45" s="3404"/>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3450" t="s">
        <v>2284</v>
      </c>
      <c r="H52" s="3451"/>
      <c r="I52" s="1936" t="s">
        <v>1945</v>
      </c>
      <c r="J52" s="1540" t="str">
        <f>项目基本情况!F41</f>
        <v>湖北省</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564</v>
      </c>
      <c r="B53" s="633" t="e">
        <f>C45</f>
        <v>#DIV/0!</v>
      </c>
      <c r="C53" s="634">
        <v>1</v>
      </c>
      <c r="D53" s="2212">
        <v>1</v>
      </c>
      <c r="E53" s="634">
        <f>'数据-汇总表'!E8+'数据-汇总表'!E9</f>
        <v>402060</v>
      </c>
      <c r="F53" s="1934" t="e">
        <f t="shared" ref="F53:F62" si="15">ROUND(B53*E53/10000,0)</f>
        <v>#DIV/0!</v>
      </c>
      <c r="G53" s="3452"/>
      <c r="H53" s="3453"/>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565</v>
      </c>
      <c r="B54" s="637" t="e">
        <f>ROUND($C$45*C54*D54,0)</f>
        <v>#DIV/0!</v>
      </c>
      <c r="C54" s="377">
        <f t="shared" ref="C54:C62" si="16">IF($C$52="北京市系数",I54,J54)</f>
        <v>0.6</v>
      </c>
      <c r="D54" s="2213">
        <v>0.25</v>
      </c>
      <c r="E54" s="638"/>
      <c r="F54" s="1934" t="e">
        <f t="shared" si="15"/>
        <v>#DIV/0!</v>
      </c>
      <c r="G54" s="3454" t="s">
        <v>2285</v>
      </c>
      <c r="H54" s="1938" t="str">
        <f>项目基本情况!B43</f>
        <v>十级</v>
      </c>
      <c r="I54" s="1937">
        <f>SUMIF(修正!$A$45:$A$56,H54,修正!B45:B56)</f>
        <v>0.6</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566</v>
      </c>
      <c r="B55" s="637" t="e">
        <f t="shared" ref="B55:B62" si="17">ROUND($C$45*C55*D55,0)</f>
        <v>#DIV/0!</v>
      </c>
      <c r="C55" s="377">
        <f t="shared" si="16"/>
        <v>0.3</v>
      </c>
      <c r="D55" s="2213">
        <v>0.25</v>
      </c>
      <c r="E55" s="638"/>
      <c r="F55" s="1934" t="e">
        <f t="shared" si="15"/>
        <v>#DIV/0!</v>
      </c>
      <c r="G55" s="3454"/>
      <c r="H55" s="1939" t="str">
        <f>项目基本情况!B43</f>
        <v>十级</v>
      </c>
      <c r="I55" s="1937">
        <f>SUMIF(修正!$A$45:$A$56,H55,修正!C45:C56)</f>
        <v>0.3</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567</v>
      </c>
      <c r="B56" s="637" t="e">
        <f t="shared" si="17"/>
        <v>#DIV/0!</v>
      </c>
      <c r="C56" s="377">
        <f t="shared" si="16"/>
        <v>0.2</v>
      </c>
      <c r="D56" s="2213">
        <v>0.25</v>
      </c>
      <c r="E56" s="638"/>
      <c r="F56" s="1934" t="e">
        <f t="shared" si="15"/>
        <v>#DIV/0!</v>
      </c>
      <c r="G56" s="3454"/>
      <c r="H56" s="1939" t="str">
        <f>项目基本情况!B43</f>
        <v>十级</v>
      </c>
      <c r="I56" s="1937">
        <f>SUMIF(修正!$A$45:$A$56,H56,修正!D45:D56)</f>
        <v>0.2</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568</v>
      </c>
      <c r="B57" s="637" t="e">
        <f t="shared" si="17"/>
        <v>#DIV/0!</v>
      </c>
      <c r="C57" s="377">
        <f t="shared" si="16"/>
        <v>0.2</v>
      </c>
      <c r="D57" s="2213">
        <v>0.25</v>
      </c>
      <c r="E57" s="638"/>
      <c r="F57" s="1934" t="e">
        <f t="shared" si="15"/>
        <v>#DIV/0!</v>
      </c>
      <c r="G57" s="3454"/>
      <c r="H57" s="1939" t="str">
        <f>项目基本情况!B43</f>
        <v>十级</v>
      </c>
      <c r="I57" s="1937">
        <f>SUMIF(修正!$A$45:$A$56,H57,修正!E45:E56)</f>
        <v>0.2</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570</v>
      </c>
      <c r="B60" s="637" t="e">
        <f t="shared" si="17"/>
        <v>#DIV/0!</v>
      </c>
      <c r="C60" s="377">
        <f t="shared" si="16"/>
        <v>0.15</v>
      </c>
      <c r="D60" s="2213">
        <v>0.25</v>
      </c>
      <c r="E60" s="640">
        <f>'数据-汇总表'!E13</f>
        <v>103915</v>
      </c>
      <c r="F60" s="1934" t="e">
        <f t="shared" si="15"/>
        <v>#DIV/0!</v>
      </c>
      <c r="G60" s="1930" t="s">
        <v>923</v>
      </c>
      <c r="H60" s="1938" t="str">
        <f>IF(G60="商业",项目基本情况!B43,IF(G60="办公",项目基本情况!C43,IF(G60="住宅",项目基本情况!D43,项目基本情况!E43)))</f>
        <v>十级</v>
      </c>
      <c r="I60" s="1937">
        <f>SUMIF(修正!$A$45:$A$56,H60,修正!H45:H56)</f>
        <v>0.15</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571</v>
      </c>
      <c r="B61" s="637" t="e">
        <f t="shared" si="17"/>
        <v>#DIV/0!</v>
      </c>
      <c r="C61" s="377">
        <f t="shared" si="16"/>
        <v>0.15</v>
      </c>
      <c r="D61" s="2213">
        <v>0.25</v>
      </c>
      <c r="E61" s="640">
        <f>'数据-汇总表'!E14</f>
        <v>0</v>
      </c>
      <c r="F61" s="1934" t="e">
        <f t="shared" si="15"/>
        <v>#DIV/0!</v>
      </c>
      <c r="G61" s="1940" t="s">
        <v>2285</v>
      </c>
      <c r="H61" s="1939" t="str">
        <f>项目基本情况!B43</f>
        <v>十级</v>
      </c>
      <c r="I61" s="1937">
        <f>SUMIF(修正!$A$45:$A$56,H61,修正!H45:H56)</f>
        <v>0.15</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573</v>
      </c>
      <c r="B63" s="642" t="s">
        <v>17</v>
      </c>
      <c r="C63" s="642" t="s">
        <v>18</v>
      </c>
      <c r="D63" s="642" t="s">
        <v>2294</v>
      </c>
      <c r="E63" s="642">
        <f>IF(B43="楼面地价",SUM(E53:E62),'数据-汇总表'!D3)</f>
        <v>153365</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2020-1-1</v>
      </c>
      <c r="D65" s="2753">
        <f>EDATE(C65,-3)</f>
        <v>43739</v>
      </c>
      <c r="E65" s="2753">
        <f t="shared" ref="E65:N65" si="18">EDATE(D65,-3)</f>
        <v>43647</v>
      </c>
      <c r="F65" s="2753">
        <f t="shared" si="18"/>
        <v>43556</v>
      </c>
      <c r="G65" s="2753">
        <f t="shared" si="18"/>
        <v>43466</v>
      </c>
      <c r="H65" s="2753">
        <f t="shared" si="18"/>
        <v>43374</v>
      </c>
      <c r="I65" s="2753">
        <f t="shared" si="18"/>
        <v>43282</v>
      </c>
      <c r="J65" s="2753">
        <f t="shared" si="18"/>
        <v>43191</v>
      </c>
      <c r="K65" s="2753">
        <f t="shared" si="18"/>
        <v>43101</v>
      </c>
      <c r="L65" s="2753">
        <f t="shared" si="18"/>
        <v>43009</v>
      </c>
      <c r="M65" s="2753">
        <f t="shared" si="18"/>
        <v>42917</v>
      </c>
      <c r="N65" s="2753">
        <f t="shared" si="18"/>
        <v>42826</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2533</v>
      </c>
      <c r="B67" s="645"/>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2649</v>
      </c>
      <c r="B68" s="478" t="str">
        <f>"北京市平均增长率"&amp;TEXT(基准地价!P24,"0.00%")</f>
        <v>北京市平均增长率0.00%</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2548</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2550</v>
      </c>
      <c r="C95" s="2561" t="s">
        <v>2551</v>
      </c>
      <c r="D95" s="2561" t="s">
        <v>2552</v>
      </c>
      <c r="E95" s="2561" t="s">
        <v>2553</v>
      </c>
      <c r="F95" s="2561" t="s">
        <v>2554</v>
      </c>
      <c r="G95" s="2561" t="s">
        <v>2555</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0" t="str">
        <f t="shared" si="25"/>
        <v>(含)-</v>
      </c>
      <c r="L109" s="3041" t="str">
        <f t="shared" si="25"/>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2762</v>
      </c>
      <c r="S1" s="2890" t="s">
        <v>2763</v>
      </c>
      <c r="T1" s="2890" t="s">
        <v>2784</v>
      </c>
      <c r="U1" s="2890" t="s">
        <v>2785</v>
      </c>
      <c r="V1" s="2890" t="s">
        <v>2786</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2.64</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4"/>
      <c r="L4" s="1869" t="s">
        <v>2241</v>
      </c>
      <c r="M4" s="1870">
        <f>SUMPRODUCT((区片价!B49:B75=I2)*(区片价!C3:F3=E2)*(区片价!C49:F75))</f>
        <v>0</v>
      </c>
      <c r="N4" s="1871">
        <f>SUMPRODUCT((因素修正幅度!B49:B75=I2)*(因素修正幅度!C3:F3=E2)*(因素修正幅度!C49:F75))</f>
        <v>0</v>
      </c>
      <c r="O4" s="3144"/>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68" t="e">
        <f>ROUND(C6+C16,0)</f>
        <v>#DIV/0!</v>
      </c>
      <c r="E5" s="3068"/>
      <c r="F5" s="1411"/>
      <c r="G5" s="1412"/>
      <c r="H5" s="1412"/>
      <c r="I5" s="1412"/>
      <c r="J5" s="1413"/>
      <c r="K5" s="3145"/>
      <c r="L5" s="1869" t="s">
        <v>2242</v>
      </c>
      <c r="M5" s="1870">
        <f>SUMPRODUCT((区片价!B76:B109=I2)*(区片价!C3:F3=E2)*(区片价!C76:F109))</f>
        <v>0</v>
      </c>
      <c r="N5" s="1871">
        <f>SUMPRODUCT((因素修正幅度!B76:B109=I2)*(因素修正幅度!C3:F3=E2)*(因素修正幅度!C76:F109))</f>
        <v>0</v>
      </c>
      <c r="O5" s="3145"/>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66"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2765</v>
      </c>
      <c r="X7" s="2881">
        <f>G2</f>
        <v>0</v>
      </c>
      <c r="Y7" s="2881" t="s">
        <v>2766</v>
      </c>
      <c r="Z7" s="2882">
        <f>G3</f>
        <v>2.64</v>
      </c>
      <c r="AA7" s="2176"/>
      <c r="AB7" s="2176"/>
      <c r="AC7" s="2177"/>
      <c r="AD7" s="2883"/>
      <c r="AE7" s="2883"/>
      <c r="AF7" s="2883"/>
      <c r="AG7" s="2883"/>
      <c r="AH7" s="2883"/>
      <c r="AI7" s="2883"/>
      <c r="AJ7" s="2884"/>
    </row>
    <row r="8" spans="1:39" ht="15">
      <c r="A8" s="3467"/>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56" t="s">
        <v>2783</v>
      </c>
      <c r="X8" s="3457"/>
      <c r="Y8" s="1833" t="s">
        <v>2767</v>
      </c>
      <c r="Z8" s="1833" t="s">
        <v>2768</v>
      </c>
      <c r="AA8" s="1833" t="s">
        <v>2769</v>
      </c>
      <c r="AB8" s="1833" t="s">
        <v>2770</v>
      </c>
      <c r="AC8" s="1833" t="s">
        <v>2771</v>
      </c>
      <c r="AD8" s="1833" t="s">
        <v>2772</v>
      </c>
      <c r="AE8" s="1833" t="s">
        <v>2773</v>
      </c>
      <c r="AF8" s="1833" t="s">
        <v>2774</v>
      </c>
      <c r="AG8" s="1833" t="s">
        <v>2775</v>
      </c>
      <c r="AH8" s="1833" t="s">
        <v>2776</v>
      </c>
      <c r="AI8" s="1833" t="s">
        <v>2777</v>
      </c>
      <c r="AJ8" s="1833" t="s">
        <v>2778</v>
      </c>
    </row>
    <row r="9" spans="1:39" ht="15">
      <c r="A9" s="3467"/>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55" t="s">
        <v>2779</v>
      </c>
      <c r="X9" s="2885" t="s">
        <v>2780</v>
      </c>
      <c r="Y9" s="3046"/>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67"/>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55"/>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67"/>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55" t="s">
        <v>2781</v>
      </c>
      <c r="X11" s="1047" t="s">
        <v>2766</v>
      </c>
      <c r="Y11" s="1637">
        <f>$G$3</f>
        <v>2.64</v>
      </c>
      <c r="Z11" s="1637">
        <f t="shared" ref="Z11:AJ11" si="3">$G$3</f>
        <v>2.64</v>
      </c>
      <c r="AA11" s="1637">
        <f t="shared" si="3"/>
        <v>2.64</v>
      </c>
      <c r="AB11" s="1637">
        <f t="shared" si="3"/>
        <v>2.64</v>
      </c>
      <c r="AC11" s="1637">
        <f t="shared" si="3"/>
        <v>2.64</v>
      </c>
      <c r="AD11" s="1637">
        <f t="shared" si="3"/>
        <v>2.64</v>
      </c>
      <c r="AE11" s="1637">
        <f t="shared" si="3"/>
        <v>2.64</v>
      </c>
      <c r="AF11" s="1637">
        <f t="shared" si="3"/>
        <v>2.64</v>
      </c>
      <c r="AG11" s="1637">
        <f t="shared" si="3"/>
        <v>2.64</v>
      </c>
      <c r="AH11" s="1637">
        <f t="shared" si="3"/>
        <v>2.64</v>
      </c>
      <c r="AI11" s="1637">
        <f t="shared" si="3"/>
        <v>2.64</v>
      </c>
      <c r="AJ11" s="1637">
        <f t="shared" si="3"/>
        <v>2.64</v>
      </c>
    </row>
    <row r="12" spans="1:39" ht="25.5" thickBot="1">
      <c r="A12" s="3466"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55"/>
      <c r="X12" s="2888" t="s">
        <v>2782</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68"/>
      <c r="B13" s="1439" t="s">
        <v>1696</v>
      </c>
      <c r="C13" s="1440" t="s">
        <v>1697</v>
      </c>
      <c r="D13" s="1084" t="s">
        <v>1698</v>
      </c>
      <c r="E13" s="1084" t="s">
        <v>1699</v>
      </c>
      <c r="F13" s="1441" t="s">
        <v>948</v>
      </c>
      <c r="G13" s="1442" t="s">
        <v>1642</v>
      </c>
      <c r="H13" s="1443" t="s">
        <v>1642</v>
      </c>
      <c r="I13" s="1444" t="s">
        <v>1642</v>
      </c>
      <c r="J13" s="1445" t="s">
        <v>1642</v>
      </c>
      <c r="K13" s="3160"/>
      <c r="L13" s="3160"/>
      <c r="M13" s="3160"/>
      <c r="N13" s="3160"/>
      <c r="O13" s="3160"/>
      <c r="P13" s="1396"/>
      <c r="Q13" s="2173"/>
      <c r="R13" s="2891">
        <v>12</v>
      </c>
      <c r="S13" s="2880"/>
      <c r="T13" s="2891" t="e">
        <f t="shared" si="0"/>
        <v>#DIV/0!</v>
      </c>
      <c r="U13" s="2880"/>
      <c r="V13" s="2891" t="e">
        <f t="shared" si="1"/>
        <v>#DIV/0!</v>
      </c>
      <c r="W13" s="3455"/>
      <c r="X13" s="2888"/>
      <c r="Y13" s="2887">
        <f>(-0.163*(Y12^2)-0.59*Y12+7617)*(10^(-4))/Y11</f>
        <v>0.28852272727272726</v>
      </c>
      <c r="Z13" s="2887">
        <f t="shared" ref="Z13:AJ13" si="5">(-0.163*(Z12^2)-0.59*Z12+7617)*(10^(-4))/Z11</f>
        <v>0.28852272727272726</v>
      </c>
      <c r="AA13" s="2887">
        <f t="shared" si="5"/>
        <v>0.28852272727272726</v>
      </c>
      <c r="AB13" s="2887">
        <f t="shared" si="5"/>
        <v>0.28852272727272726</v>
      </c>
      <c r="AC13" s="2887">
        <f t="shared" si="5"/>
        <v>0.28852272727272726</v>
      </c>
      <c r="AD13" s="2887">
        <f t="shared" si="5"/>
        <v>0.28852272727272726</v>
      </c>
      <c r="AE13" s="2887">
        <f t="shared" si="5"/>
        <v>0.28852272727272726</v>
      </c>
      <c r="AF13" s="2887">
        <f t="shared" si="5"/>
        <v>0.28852272727272726</v>
      </c>
      <c r="AG13" s="2887">
        <f t="shared" si="5"/>
        <v>0.28852272727272726</v>
      </c>
      <c r="AH13" s="2887">
        <f t="shared" si="5"/>
        <v>0.28852272727272726</v>
      </c>
      <c r="AI13" s="2887">
        <f t="shared" si="5"/>
        <v>0.28852272727272726</v>
      </c>
      <c r="AJ13" s="2887">
        <f t="shared" si="5"/>
        <v>0.28852272727272726</v>
      </c>
    </row>
    <row r="14" spans="1:39" ht="12.75" customHeight="1">
      <c r="A14" s="3468"/>
      <c r="B14" s="1446"/>
      <c r="C14" s="1447"/>
      <c r="D14" s="1448"/>
      <c r="E14" s="1448"/>
      <c r="F14" s="1449"/>
      <c r="G14" s="1450" t="s">
        <v>949</v>
      </c>
      <c r="H14" s="1451"/>
      <c r="I14" s="1452"/>
      <c r="J14" s="1453"/>
      <c r="K14" s="3146"/>
      <c r="L14" s="3146"/>
      <c r="M14" s="3146"/>
      <c r="N14" s="3146"/>
      <c r="O14" s="3146"/>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69"/>
      <c r="B15" s="3165" t="s">
        <v>1700</v>
      </c>
      <c r="C15" s="1048">
        <f>IF(C14="有",1.1,1)</f>
        <v>1</v>
      </c>
      <c r="D15" s="1048">
        <f>IF(D14="有",1.1,1)</f>
        <v>1</v>
      </c>
      <c r="E15" s="1048">
        <f>IF(E14="有",1.1,1)</f>
        <v>1</v>
      </c>
      <c r="F15" s="1048">
        <f>IF(F14="500米范围内",1.2,IF(F14="500-1000米",1.1,1))</f>
        <v>1</v>
      </c>
      <c r="G15" s="3157">
        <v>1</v>
      </c>
      <c r="H15" s="3157">
        <v>1</v>
      </c>
      <c r="I15" s="3157">
        <v>1</v>
      </c>
      <c r="J15" s="3158">
        <v>1</v>
      </c>
      <c r="K15" s="3161"/>
      <c r="L15" s="3161"/>
      <c r="M15" s="3161"/>
      <c r="N15" s="3161"/>
      <c r="O15" s="3161"/>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66" t="s">
        <v>1838</v>
      </c>
      <c r="B16" s="1422" t="s">
        <v>950</v>
      </c>
      <c r="C16" s="1051" t="e">
        <f>ROUND(IF(F17="与级别开发程度一致",0,(G17-E17)/C17),0)</f>
        <v>#DIV/0!</v>
      </c>
      <c r="D16" s="3463" t="s">
        <v>954</v>
      </c>
      <c r="E16" s="3464"/>
      <c r="F16" s="3463" t="s">
        <v>951</v>
      </c>
      <c r="G16" s="3464"/>
      <c r="H16" s="1454"/>
      <c r="I16" s="1454"/>
      <c r="J16" s="1454"/>
      <c r="K16" s="1454"/>
      <c r="L16" s="1454"/>
      <c r="M16" s="1454"/>
      <c r="N16" s="1454"/>
      <c r="O16" s="3170"/>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70"/>
      <c r="B17" s="3171" t="s">
        <v>953</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4">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6" t="s">
        <v>955</v>
      </c>
      <c r="C18" s="3167">
        <f>SUMIF(修正!C18:C39,E3,修正!E18:E39)</f>
        <v>0</v>
      </c>
      <c r="D18" s="3168"/>
      <c r="E18" s="3169"/>
      <c r="F18" s="3151"/>
      <c r="G18" s="3145"/>
      <c r="H18" s="3145"/>
      <c r="I18" s="3145"/>
      <c r="J18" s="3159"/>
      <c r="K18" s="3145"/>
      <c r="L18" s="3145"/>
      <c r="M18" s="3145"/>
      <c r="N18" s="3145"/>
      <c r="O18" s="3145"/>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ROUND(IF(H19="按公示增长率计算",SUMPRODUCT((地价!A3:A28=YEAR(G19)&amp;"-"&amp;ROUNDUP(MONTH(G19)/3,0))*(地价!X2:AB2=E2)*(地价!X3:AB28)),IF(H19="地价指数",M20/M19,(1+I19)^O19)),4)</f>
        <v>0</v>
      </c>
      <c r="D19" s="1461" t="s">
        <v>957</v>
      </c>
      <c r="E19" s="1053">
        <v>41640</v>
      </c>
      <c r="F19" s="1461" t="s">
        <v>958</v>
      </c>
      <c r="G19" s="1054">
        <f>'数据-取费表'!B2</f>
        <v>43833</v>
      </c>
      <c r="H19" s="1462" t="s">
        <v>2995</v>
      </c>
      <c r="I19" s="2739" t="str">
        <f>IF(H19="季度增幅（自定义）",SUMIF(N21:N24,E2,O21:O24),"")</f>
        <v/>
      </c>
      <c r="J19" s="1458"/>
      <c r="K19" s="3145"/>
      <c r="L19" s="2988" t="s">
        <v>2841</v>
      </c>
      <c r="M19" s="2989">
        <f>ROUND(SUMIF(地价!B2:F2,E2,地价!B28:F28),0)</f>
        <v>0</v>
      </c>
      <c r="N19" s="2741" t="s">
        <v>1676</v>
      </c>
      <c r="O19" s="2740">
        <f>ROUNDDOWN(DATEDIF(E19,G19,"M")/3,0)</f>
        <v>24</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3">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7"/>
      <c r="L20" s="2990" t="s">
        <v>2842</v>
      </c>
      <c r="M20" s="3154">
        <f>ROUND(SUMPRODUCT((地价!A4:A28=YEAR(G19)&amp;"-"&amp;ROUNDUP(MONTH(G19)/3,0))*(地价!B2:F2=E2)*(地价!B4:F28)),0)</f>
        <v>0</v>
      </c>
      <c r="N20" s="2744" t="s">
        <v>2645</v>
      </c>
      <c r="O20" s="2742" t="s">
        <v>2644</v>
      </c>
      <c r="P20" s="2743" t="s">
        <v>2650</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2761</v>
      </c>
      <c r="C21" s="1153">
        <f>IF(B21="容积率修正",IF(G3&lt;=10,D22,J22),C23)</f>
        <v>0</v>
      </c>
      <c r="D21" s="1468"/>
      <c r="E21" s="1468"/>
      <c r="F21" s="1468"/>
      <c r="G21" s="1468"/>
      <c r="H21" s="1468"/>
      <c r="I21" s="1468"/>
      <c r="J21" s="1469"/>
      <c r="K21" s="3145"/>
      <c r="L21" s="1468"/>
      <c r="M21" s="1468"/>
      <c r="N21" s="1465" t="s">
        <v>975</v>
      </c>
      <c r="O21" s="1528"/>
      <c r="P21" s="2731">
        <f>SUMPRODUCT((地价!A3:A28=YEAR(G19)&amp;"-"&amp;ROUNDUP(MONTH(G19)/3,0))*(地价!AD2:AH2=N21)*(地价!AD3:AH28))</f>
        <v>0</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f>IF(E22=G22,F22,IF(G3&lt;=10,ROUND(F22+(H22-F22)*(G3-E22)/(G22-E22),4),"——"))</f>
        <v>0</v>
      </c>
      <c r="E22" s="1038">
        <f>ROUNDDOWN(G3,1)</f>
        <v>2.6</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2.7</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8"/>
      <c r="L22" s="1468"/>
      <c r="M22" s="1468"/>
      <c r="N22" s="1465" t="s">
        <v>978</v>
      </c>
      <c r="O22" s="1528"/>
      <c r="P22" s="2731">
        <f>SUMPRODUCT((地价!A3:A28=YEAR(G19)&amp;"-"&amp;ROUNDUP(MONTH(G19)/3,0))*(地价!AD2:AH2=N22)*(地价!AD3:AH28))</f>
        <v>0</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49"/>
      <c r="L23" s="1396"/>
      <c r="M23" s="1396"/>
      <c r="N23" s="1465" t="s">
        <v>923</v>
      </c>
      <c r="O23" s="1528"/>
      <c r="P23" s="2731">
        <f>SUMPRODUCT((地价!A3:A28=YEAR(G19)&amp;"-"&amp;ROUNDUP(MONTH(G19)/3,0))*(地价!AD2:AH2=N23)*(地价!AD3:AH28))</f>
        <v>0</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49"/>
      <c r="L24" s="1468"/>
      <c r="M24" s="1468"/>
      <c r="N24" s="1465" t="s">
        <v>981</v>
      </c>
      <c r="O24" s="3153"/>
      <c r="P24" s="2731">
        <f>SUMPRODUCT((地价!A3:A28=YEAR(G19)&amp;"-"&amp;ROUNDUP(MONTH(G19)/3,0))*(地价!AD2:AH2=N24)*(地价!AD3:AH28))</f>
        <v>0</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5" t="s">
        <v>2648</v>
      </c>
      <c r="O25" s="3156"/>
      <c r="P25" s="2410">
        <f>SUMPRODUCT((地价!A3:A28=YEAR(G19)&amp;"-"&amp;ROUNDUP(MONTH(G19)/3,0))*(地价!AD2:AH2=N25)*(地价!AD3:AH28))</f>
        <v>0</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50"/>
      <c r="L29" s="3150"/>
      <c r="M29" s="3150"/>
      <c r="N29" s="3150"/>
      <c r="O29" s="3150"/>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1"/>
      <c r="L32" s="3151"/>
      <c r="M32" s="3151"/>
      <c r="N32" s="3151"/>
      <c r="O32" s="3151"/>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73" t="s">
        <v>2962</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2"/>
      <c r="L33" s="3152"/>
      <c r="M33" s="3152"/>
      <c r="N33" s="3152"/>
      <c r="O33" s="3152"/>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74"/>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2"/>
      <c r="L34" s="3152"/>
      <c r="M34" s="3152"/>
      <c r="N34" s="3152"/>
      <c r="O34" s="3152"/>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74"/>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2"/>
      <c r="L35" s="3152"/>
      <c r="M35" s="3152"/>
      <c r="N35" s="3152"/>
      <c r="O35" s="3152"/>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75"/>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2"/>
      <c r="L36" s="3152"/>
      <c r="M36" s="3152"/>
      <c r="N36" s="3152"/>
      <c r="O36" s="3152"/>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3" t="s">
        <v>2989</v>
      </c>
      <c r="C41" s="838" t="e">
        <f>ROUND(POWER(1+E41,H41-G41)*(POWER(1+E41,G41)-1)/(POWER(1+E41,H41)-1),4)</f>
        <v>#DIV/0!</v>
      </c>
      <c r="D41" s="377" t="s">
        <v>2987</v>
      </c>
      <c r="E41" s="3142">
        <f>G20</f>
        <v>0</v>
      </c>
      <c r="F41" s="377" t="s">
        <v>2988</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估价对象位于XX商圈，周边商业氛围成熟，人流量大，商业繁华度好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2" t="s">
        <v>1021</v>
      </c>
      <c r="B48" s="2371" t="str">
        <f>估价对象房地状况!C18</f>
        <v>估价对象周边道路状况、公共交通通达情况、停车便捷程度，综合评价交通便捷度较好</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5" t="s">
        <v>2939</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4" t="s">
        <v>2938</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1028</v>
      </c>
      <c r="B55" s="2375" t="str">
        <f>估价对象房地状况!C20</f>
        <v>区域自然环境：；人文环境；综合评价环境状况一般</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2" t="s">
        <v>1021</v>
      </c>
      <c r="B59" s="2371" t="str">
        <f>估价对象房地状况!C18</f>
        <v>估价对象周边道路状况、公共交通通达情况、停车便捷程度，综合评价交通便捷度较好</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5" t="s">
        <v>2940</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4" t="s">
        <v>2938</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1026</v>
      </c>
      <c r="B64" s="2372" t="str">
        <f>估价对象房地状况!C21</f>
        <v>估价对象所在区域公共配套设施齐备情况</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1028</v>
      </c>
      <c r="B66" s="2376" t="str">
        <f>估价对象房地状况!C20</f>
        <v>区域自然环境：；人文环境；综合评价环境状况一般</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2" t="s">
        <v>1032</v>
      </c>
      <c r="B69" s="2374" t="str">
        <f>估价对象房地状况!C15</f>
        <v>估价对象周边居住用地比例、居住小区规模和社区发展完善程度，综合评价居住社区成熟度一般</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2" t="s">
        <v>1033</v>
      </c>
      <c r="B70" s="2371" t="str">
        <f>估价对象房地状况!C18</f>
        <v>估价对象周边道路状况、公共交通通达情况、停车便捷程度，综合评价交通便捷度较好</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估价对象所在区域公共配套设施齐备情况</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4" t="s">
        <v>2938</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2" t="s">
        <v>1028</v>
      </c>
      <c r="B76" s="2374" t="str">
        <f>估价对象房地状况!C20</f>
        <v>区域自然环境：；人文环境；综合评价环境状况一般</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1025</v>
      </c>
      <c r="B86" s="3044" t="s">
        <v>2938</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71" t="s">
        <v>1633</v>
      </c>
      <c r="B90" s="3471"/>
      <c r="C90" s="3471"/>
      <c r="D90" s="3471"/>
      <c r="E90" s="3471"/>
      <c r="F90" s="3471"/>
      <c r="G90" s="3471"/>
      <c r="H90" s="3471"/>
      <c r="I90" s="3471"/>
      <c r="J90" s="3471"/>
      <c r="K90" s="2413"/>
      <c r="L90" s="2413"/>
      <c r="M90" s="2413"/>
      <c r="N90" s="2413"/>
    </row>
    <row r="91" spans="1:40">
      <c r="A91" s="3472" t="s">
        <v>1443</v>
      </c>
      <c r="B91" s="3472" t="s">
        <v>1634</v>
      </c>
      <c r="C91" s="1135" t="s">
        <v>1635</v>
      </c>
      <c r="D91" s="1136"/>
      <c r="E91" s="1136"/>
      <c r="F91" s="1136"/>
      <c r="G91" s="1136"/>
      <c r="H91" s="1136"/>
      <c r="I91" s="1136"/>
      <c r="J91" s="1137"/>
      <c r="K91" s="1129"/>
      <c r="L91" s="1129"/>
      <c r="M91" s="1129"/>
      <c r="N91" s="1129"/>
    </row>
    <row r="92" spans="1:40">
      <c r="A92" s="3472"/>
      <c r="B92" s="3472"/>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58" t="s">
        <v>2764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5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5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5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5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5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59"/>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60"/>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58" t="s">
        <v>1637</v>
      </c>
      <c r="B101" s="1142" t="s">
        <v>906</v>
      </c>
      <c r="C101" s="1143">
        <f>$G$3</f>
        <v>2.64</v>
      </c>
      <c r="D101" s="1143">
        <f t="shared" ref="D101:N101" si="31">$G$3</f>
        <v>2.64</v>
      </c>
      <c r="E101" s="1143">
        <f t="shared" si="31"/>
        <v>2.64</v>
      </c>
      <c r="F101" s="1143">
        <f t="shared" si="31"/>
        <v>2.64</v>
      </c>
      <c r="G101" s="1143">
        <f t="shared" si="31"/>
        <v>2.64</v>
      </c>
      <c r="H101" s="1143">
        <f t="shared" si="31"/>
        <v>2.64</v>
      </c>
      <c r="I101" s="1143">
        <f t="shared" si="31"/>
        <v>2.64</v>
      </c>
      <c r="J101" s="1143">
        <f t="shared" si="31"/>
        <v>2.64</v>
      </c>
      <c r="K101" s="1143">
        <f t="shared" si="31"/>
        <v>2.64</v>
      </c>
      <c r="L101" s="1143">
        <f t="shared" si="31"/>
        <v>2.64</v>
      </c>
      <c r="M101" s="1143">
        <f t="shared" si="31"/>
        <v>2.64</v>
      </c>
      <c r="N101" s="1143">
        <f t="shared" si="31"/>
        <v>2.64</v>
      </c>
    </row>
    <row r="102" spans="1:14">
      <c r="A102" s="3459"/>
      <c r="B102" s="1138">
        <v>1</v>
      </c>
      <c r="C102" s="1139">
        <f>1.9362/C101</f>
        <v>0.7334090909090909</v>
      </c>
      <c r="D102" s="1139">
        <f>1.9362/D101</f>
        <v>0.7334090909090909</v>
      </c>
      <c r="E102" s="1139">
        <f>1.8629/E101</f>
        <v>0.70564393939393932</v>
      </c>
      <c r="F102" s="1139">
        <f>1.8629/F101</f>
        <v>0.70564393939393932</v>
      </c>
      <c r="G102" s="1139">
        <f>1.8629/G101</f>
        <v>0.70564393939393932</v>
      </c>
      <c r="H102" s="1139">
        <f>1.8629/H101</f>
        <v>0.70564393939393932</v>
      </c>
      <c r="I102" s="1139">
        <f>1.8629/I101</f>
        <v>0.70564393939393932</v>
      </c>
      <c r="J102" s="1139">
        <f>1.942/J101</f>
        <v>0.7356060606060606</v>
      </c>
      <c r="K102" s="1139">
        <f>1.942/K101</f>
        <v>0.7356060606060606</v>
      </c>
      <c r="L102" s="1139">
        <f>1.942/L101</f>
        <v>0.7356060606060606</v>
      </c>
      <c r="M102" s="1139">
        <f>1.942/M101</f>
        <v>0.7356060606060606</v>
      </c>
      <c r="N102" s="1139">
        <f>1.942/N101</f>
        <v>0.7356060606060606</v>
      </c>
    </row>
    <row r="103" spans="1:14">
      <c r="A103" s="3459"/>
      <c r="B103" s="1138">
        <v>2</v>
      </c>
      <c r="C103" s="1139">
        <f>1.4198/C101</f>
        <v>0.53780303030303023</v>
      </c>
      <c r="D103" s="1139">
        <f>1.4198/D101</f>
        <v>0.53780303030303023</v>
      </c>
      <c r="E103" s="1139">
        <f>1.3372/E101</f>
        <v>0.50651515151515147</v>
      </c>
      <c r="F103" s="1139">
        <f>1.3372/F101</f>
        <v>0.50651515151515147</v>
      </c>
      <c r="G103" s="1139">
        <f>1.3372/G101</f>
        <v>0.50651515151515147</v>
      </c>
      <c r="H103" s="1139">
        <f>1.3372/H101</f>
        <v>0.50651515151515147</v>
      </c>
      <c r="I103" s="1139">
        <f>1.3372/I101</f>
        <v>0.50651515151515147</v>
      </c>
      <c r="J103" s="1139">
        <f>1.2799/J101</f>
        <v>0.48481060606060605</v>
      </c>
      <c r="K103" s="1139">
        <f>1.2799/K101</f>
        <v>0.48481060606060605</v>
      </c>
      <c r="L103" s="1139">
        <f>1.2799/L101</f>
        <v>0.48481060606060605</v>
      </c>
      <c r="M103" s="1139">
        <f>1.2799/M101</f>
        <v>0.48481060606060605</v>
      </c>
      <c r="N103" s="1139">
        <f>1.2799/N101</f>
        <v>0.48481060606060605</v>
      </c>
    </row>
    <row r="104" spans="1:14">
      <c r="A104" s="3459"/>
      <c r="B104" s="1138">
        <v>3</v>
      </c>
      <c r="C104" s="1139">
        <f>1.1594/C101</f>
        <v>0.43916666666666665</v>
      </c>
      <c r="D104" s="1139">
        <f>1.1594/D101</f>
        <v>0.43916666666666665</v>
      </c>
      <c r="E104" s="1139">
        <f>1.0788/E101</f>
        <v>0.40863636363636363</v>
      </c>
      <c r="F104" s="1139">
        <f>1.0788/F101</f>
        <v>0.40863636363636363</v>
      </c>
      <c r="G104" s="1139">
        <f>1.0788/G101</f>
        <v>0.40863636363636363</v>
      </c>
      <c r="H104" s="1139">
        <f>1.0788/H101</f>
        <v>0.40863636363636363</v>
      </c>
      <c r="I104" s="1139">
        <f>1.0788/I101</f>
        <v>0.40863636363636363</v>
      </c>
      <c r="J104" s="1139">
        <f>1.0072/J101</f>
        <v>0.38151515151515153</v>
      </c>
      <c r="K104" s="1139">
        <f>1.0072/K101</f>
        <v>0.38151515151515153</v>
      </c>
      <c r="L104" s="1139">
        <f>1.0072/L101</f>
        <v>0.38151515151515153</v>
      </c>
      <c r="M104" s="1139">
        <f>1.0072/M101</f>
        <v>0.38151515151515153</v>
      </c>
      <c r="N104" s="1139">
        <f>1.0072/N101</f>
        <v>0.38151515151515153</v>
      </c>
    </row>
    <row r="105" spans="1:14">
      <c r="A105" s="3459"/>
      <c r="B105" s="1138">
        <v>4</v>
      </c>
      <c r="C105" s="1139">
        <f>0.9622/C101</f>
        <v>0.364469696969697</v>
      </c>
      <c r="D105" s="1139">
        <f>0.9622/D101</f>
        <v>0.364469696969697</v>
      </c>
      <c r="E105" s="1139">
        <f>0.8656/E101</f>
        <v>0.32787878787878788</v>
      </c>
      <c r="F105" s="1139">
        <f>0.8656/F101</f>
        <v>0.32787878787878788</v>
      </c>
      <c r="G105" s="1139">
        <f>0.8656/G101</f>
        <v>0.32787878787878788</v>
      </c>
      <c r="H105" s="1139">
        <f>0.8656/H101</f>
        <v>0.32787878787878788</v>
      </c>
      <c r="I105" s="1139">
        <f>0.8656/I101</f>
        <v>0.32787878787878788</v>
      </c>
      <c r="J105" s="1139">
        <f>0.7525/J101</f>
        <v>0.28503787878787873</v>
      </c>
      <c r="K105" s="1139">
        <f>0.7525/K101</f>
        <v>0.28503787878787873</v>
      </c>
      <c r="L105" s="1139">
        <f>0.7525/L101</f>
        <v>0.28503787878787873</v>
      </c>
      <c r="M105" s="1139">
        <f>0.7525/M101</f>
        <v>0.28503787878787873</v>
      </c>
      <c r="N105" s="1139">
        <f>0.7525/N101</f>
        <v>0.28503787878787873</v>
      </c>
    </row>
    <row r="106" spans="1:14">
      <c r="A106" s="3459"/>
      <c r="B106" s="1138">
        <v>5</v>
      </c>
      <c r="C106" s="1139">
        <f>0.8417/C101</f>
        <v>0.31882575757575754</v>
      </c>
      <c r="D106" s="1139">
        <f>0.8417/D101</f>
        <v>0.31882575757575754</v>
      </c>
      <c r="E106" s="1139">
        <f>0.7371/E101</f>
        <v>0.27920454545454543</v>
      </c>
      <c r="F106" s="1139">
        <f>0.7371/F101</f>
        <v>0.27920454545454543</v>
      </c>
      <c r="G106" s="1139">
        <f>0.7371/G101</f>
        <v>0.27920454545454543</v>
      </c>
      <c r="H106" s="1139">
        <f>0.7371/H101</f>
        <v>0.27920454545454543</v>
      </c>
      <c r="I106" s="1139">
        <f>0.7371/I101</f>
        <v>0.27920454545454543</v>
      </c>
      <c r="J106" s="1139">
        <f>0.5659/J101</f>
        <v>0.21435606060606058</v>
      </c>
      <c r="K106" s="1139">
        <f>0.5659/K101</f>
        <v>0.21435606060606058</v>
      </c>
      <c r="L106" s="1139">
        <f>0.5659/L101</f>
        <v>0.21435606060606058</v>
      </c>
      <c r="M106" s="1139">
        <f>0.5659/M101</f>
        <v>0.21435606060606058</v>
      </c>
      <c r="N106" s="1139">
        <f>0.5659/N101</f>
        <v>0.21435606060606058</v>
      </c>
    </row>
    <row r="107" spans="1:14">
      <c r="A107" s="3459"/>
      <c r="B107" s="1138">
        <v>6</v>
      </c>
      <c r="C107" s="1139">
        <f>0.7608/C101</f>
        <v>0.28818181818181821</v>
      </c>
      <c r="D107" s="1139">
        <f>0.7608/D101</f>
        <v>0.28818181818181821</v>
      </c>
      <c r="E107" s="1139">
        <f>0.6482/E101</f>
        <v>0.24553030303030302</v>
      </c>
      <c r="F107" s="1139">
        <f>0.6482/F101</f>
        <v>0.24553030303030302</v>
      </c>
      <c r="G107" s="1139">
        <f>0.6482/G101</f>
        <v>0.24553030303030302</v>
      </c>
      <c r="H107" s="1139">
        <f>0.6482/H101</f>
        <v>0.24553030303030302</v>
      </c>
      <c r="I107" s="1139">
        <f>0.6482/I101</f>
        <v>0.24553030303030302</v>
      </c>
      <c r="J107" s="1139">
        <f>0.4525/J101</f>
        <v>0.17140151515151514</v>
      </c>
      <c r="K107" s="1139">
        <f>0.4525/K101</f>
        <v>0.17140151515151514</v>
      </c>
      <c r="L107" s="1139">
        <f>0.4525/L101</f>
        <v>0.17140151515151514</v>
      </c>
      <c r="M107" s="1139">
        <f>0.4525/M101</f>
        <v>0.17140151515151514</v>
      </c>
      <c r="N107" s="1139">
        <f>0.4525/N101</f>
        <v>0.17140151515151514</v>
      </c>
    </row>
    <row r="108" spans="1:14">
      <c r="A108" s="3459"/>
      <c r="B108" s="3461"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60"/>
      <c r="B109" s="3462"/>
      <c r="C109" s="1141">
        <f>(-0.163*(C108^2)-0.59*C108+7617)*(10^(-4))/C101</f>
        <v>0.28794878787878786</v>
      </c>
      <c r="D109" s="1141">
        <f>(-0.163*(D108^2)-0.59*D108+7617)*(10^(-4))/D101</f>
        <v>0.28794878787878786</v>
      </c>
      <c r="E109" s="1141">
        <f>(-0.161*(E108^2)-7.509*E108+6533)*(10^(-4))/E101</f>
        <v>0.24479636363636362</v>
      </c>
      <c r="F109" s="1141">
        <f>(-0.161*(F108^2)-7.509*F108+6533)*(10^(-4))/F101</f>
        <v>0.24479636363636362</v>
      </c>
      <c r="G109" s="1141">
        <f>(-0.161*(G108^2)-7.509*G108+6533)*(10^(-4))/G101</f>
        <v>0.24479636363636362</v>
      </c>
      <c r="H109" s="1141">
        <f>(-0.161*(H108^2)-7.509*H108+6533)*(10^(-4))/H101</f>
        <v>0.24479636363636362</v>
      </c>
      <c r="I109" s="1141">
        <f>(-0.161*(I108^2)-7.509*I108+6533)*(10^(-4))/I101</f>
        <v>0.24479636363636362</v>
      </c>
      <c r="J109" s="1141">
        <f>(-0.214*(J108^2)-21.991*J108+4665)*(10^(-4))/J101</f>
        <v>0.16952181818181819</v>
      </c>
      <c r="K109" s="1141">
        <f>(-0.214*(K108^2)-21.991*K108+4665)*(10^(-4))/K101</f>
        <v>0.16952181818181819</v>
      </c>
      <c r="L109" s="1141">
        <f>(-0.214*(L108^2)-21.991*L108+4665)*(10^(-4))/L101</f>
        <v>0.16952181818181819</v>
      </c>
      <c r="M109" s="1141">
        <f>(-0.214*(M108^2)-21.991*M108+4665)*(10^(-4))/M101</f>
        <v>0.16952181818181819</v>
      </c>
      <c r="N109" s="1141">
        <f>(-0.214*(N108^2)-21.991*N108+4665)*(10^(-4))/N101</f>
        <v>0.16952181818181819</v>
      </c>
    </row>
    <row r="110" spans="1:14">
      <c r="A110" s="3465" t="s">
        <v>1639</v>
      </c>
      <c r="B110" s="3465"/>
      <c r="C110" s="3465"/>
      <c r="D110" s="3465"/>
      <c r="E110" s="3465"/>
      <c r="F110" s="3465"/>
      <c r="G110" s="3465"/>
      <c r="H110" s="3465"/>
      <c r="I110" s="3465"/>
      <c r="J110" s="3465"/>
      <c r="K110" s="2411"/>
      <c r="L110" s="2411"/>
      <c r="M110" s="2411"/>
      <c r="N110" s="2411"/>
    </row>
    <row r="112" spans="1:14" ht="12.75" thickBot="1"/>
    <row r="113" spans="1:13" ht="25.5" thickBot="1">
      <c r="A113" s="1015" t="s">
        <v>896</v>
      </c>
      <c r="B113" s="2414">
        <f>G3</f>
        <v>2.64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0.90869999999999995</v>
      </c>
      <c r="C115" s="1029">
        <f>B115</f>
        <v>0.90869999999999995</v>
      </c>
      <c r="D115" s="1029">
        <f>ROUND(0.8331-0.0109*B113,4)</f>
        <v>0.80430000000000001</v>
      </c>
      <c r="E115" s="1029">
        <f>D115</f>
        <v>0.80430000000000001</v>
      </c>
      <c r="F115" s="1029">
        <f>E115</f>
        <v>0.80430000000000001</v>
      </c>
      <c r="G115" s="1029">
        <f>F115</f>
        <v>0.80430000000000001</v>
      </c>
      <c r="H115" s="1029">
        <f>G115</f>
        <v>0.80430000000000001</v>
      </c>
      <c r="I115" s="1029">
        <f>ROUND(0.689-0.0155*B113,4)</f>
        <v>0.64810000000000001</v>
      </c>
      <c r="J115" s="1029">
        <f t="shared" ref="J115:M118" si="33">I115</f>
        <v>0.64810000000000001</v>
      </c>
      <c r="K115" s="1029">
        <f t="shared" si="33"/>
        <v>0.64810000000000001</v>
      </c>
      <c r="L115" s="1029">
        <f t="shared" si="33"/>
        <v>0.64810000000000001</v>
      </c>
      <c r="M115" s="1030">
        <f t="shared" si="33"/>
        <v>0.64810000000000001</v>
      </c>
    </row>
    <row r="116" spans="1:13" ht="12.75">
      <c r="A116" s="1028" t="s">
        <v>901</v>
      </c>
      <c r="B116" s="1029">
        <f>ROUND(0.949-0.012*B113,4)</f>
        <v>0.9173</v>
      </c>
      <c r="C116" s="1029">
        <f>B116</f>
        <v>0.9173</v>
      </c>
      <c r="D116" s="1029">
        <f>ROUND(0.8567-0.013*B113,4)</f>
        <v>0.82240000000000002</v>
      </c>
      <c r="E116" s="1029">
        <f t="shared" ref="E116:H117" si="34">D116</f>
        <v>0.82240000000000002</v>
      </c>
      <c r="F116" s="1029">
        <f t="shared" si="34"/>
        <v>0.82240000000000002</v>
      </c>
      <c r="G116" s="1029">
        <f t="shared" si="34"/>
        <v>0.82240000000000002</v>
      </c>
      <c r="H116" s="1029">
        <f t="shared" si="34"/>
        <v>0.82240000000000002</v>
      </c>
      <c r="I116" s="1029">
        <f>ROUND(0.7694-0.014*B113,4)</f>
        <v>0.73240000000000005</v>
      </c>
      <c r="J116" s="1029">
        <f t="shared" si="33"/>
        <v>0.73240000000000005</v>
      </c>
      <c r="K116" s="1029">
        <f t="shared" si="33"/>
        <v>0.73240000000000005</v>
      </c>
      <c r="L116" s="1029">
        <f t="shared" si="33"/>
        <v>0.73240000000000005</v>
      </c>
      <c r="M116" s="1030">
        <f t="shared" si="33"/>
        <v>0.73240000000000005</v>
      </c>
    </row>
    <row r="117" spans="1:13" ht="12.75">
      <c r="A117" s="1031" t="s">
        <v>902</v>
      </c>
      <c r="B117" s="1029">
        <f>ROUND(0.8808-0.006*B113,4)</f>
        <v>0.86499999999999999</v>
      </c>
      <c r="C117" s="1029">
        <f>B117</f>
        <v>0.86499999999999999</v>
      </c>
      <c r="D117" s="1029">
        <f>ROUND(0.8748-0.008*B113,4)</f>
        <v>0.85370000000000001</v>
      </c>
      <c r="E117" s="1029">
        <f t="shared" si="34"/>
        <v>0.85370000000000001</v>
      </c>
      <c r="F117" s="1029">
        <f t="shared" si="34"/>
        <v>0.85370000000000001</v>
      </c>
      <c r="G117" s="1029">
        <f t="shared" si="34"/>
        <v>0.85370000000000001</v>
      </c>
      <c r="H117" s="1029">
        <f t="shared" si="34"/>
        <v>0.85370000000000001</v>
      </c>
      <c r="I117" s="1029">
        <f>ROUND(0.7412-0.0095*B113,4)</f>
        <v>0.71609999999999996</v>
      </c>
      <c r="J117" s="1029">
        <f t="shared" si="33"/>
        <v>0.71609999999999996</v>
      </c>
      <c r="K117" s="1029">
        <f t="shared" si="33"/>
        <v>0.71609999999999996</v>
      </c>
      <c r="L117" s="1029">
        <f t="shared" si="33"/>
        <v>0.71609999999999996</v>
      </c>
      <c r="M117" s="1030">
        <f t="shared" si="33"/>
        <v>0.71609999999999996</v>
      </c>
    </row>
    <row r="118" spans="1:13" ht="13.5" thickBot="1">
      <c r="A118" s="1032" t="s">
        <v>903</v>
      </c>
      <c r="B118" s="1033">
        <f>ROUND(0.7275-0.01*B113,4)</f>
        <v>0.70109999999999995</v>
      </c>
      <c r="C118" s="1033">
        <f>B118</f>
        <v>0.70109999999999995</v>
      </c>
      <c r="D118" s="1033">
        <f>ROUND(0.7043-0.012*B113,4)</f>
        <v>0.67259999999999998</v>
      </c>
      <c r="E118" s="1033">
        <f>D118</f>
        <v>0.67259999999999998</v>
      </c>
      <c r="F118" s="1033">
        <f>E118</f>
        <v>0.67259999999999998</v>
      </c>
      <c r="G118" s="1033">
        <f>ROUND(0.6299-0.0122*B113,4)</f>
        <v>0.59770000000000001</v>
      </c>
      <c r="H118" s="1033">
        <f>G118</f>
        <v>0.59770000000000001</v>
      </c>
      <c r="I118" s="1033">
        <f>ROUND(0.5667-0.0136*B113,4)</f>
        <v>0.53080000000000005</v>
      </c>
      <c r="J118" s="1033">
        <f t="shared" si="33"/>
        <v>0.53080000000000005</v>
      </c>
      <c r="K118" s="1033">
        <f t="shared" si="33"/>
        <v>0.53080000000000005</v>
      </c>
      <c r="L118" s="1033">
        <f t="shared" si="33"/>
        <v>0.53080000000000005</v>
      </c>
      <c r="M118" s="1034">
        <f t="shared" si="33"/>
        <v>0.53080000000000005</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2" t="s">
        <v>2992</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72" t="s">
        <v>1007</v>
      </c>
      <c r="B18" s="1149" t="s">
        <v>1446</v>
      </c>
      <c r="C18" s="1126" t="s">
        <v>1447</v>
      </c>
      <c r="D18" s="1127"/>
      <c r="E18" s="1149">
        <v>1</v>
      </c>
      <c r="F18" s="1128" t="s">
        <v>1448</v>
      </c>
      <c r="G18" s="1129"/>
      <c r="H18" s="1100"/>
      <c r="I18" s="1100"/>
    </row>
    <row r="19" spans="1:9" s="1583" customFormat="1" ht="19.5" customHeight="1">
      <c r="A19" s="3472"/>
      <c r="B19" s="3472" t="s">
        <v>1449</v>
      </c>
      <c r="C19" s="1126" t="s">
        <v>1450</v>
      </c>
      <c r="D19" s="1127"/>
      <c r="E19" s="1149">
        <v>0.9</v>
      </c>
      <c r="F19" s="1128" t="s">
        <v>1451</v>
      </c>
      <c r="G19" s="1129"/>
      <c r="H19" s="1100"/>
      <c r="I19" s="1100"/>
    </row>
    <row r="20" spans="1:9" s="1583" customFormat="1" ht="19.5" customHeight="1">
      <c r="A20" s="3472"/>
      <c r="B20" s="3472"/>
      <c r="C20" s="1126" t="s">
        <v>1452</v>
      </c>
      <c r="D20" s="1127"/>
      <c r="E20" s="1149">
        <v>1.1000000000000001</v>
      </c>
      <c r="F20" s="1128" t="s">
        <v>1453</v>
      </c>
      <c r="G20" s="1129"/>
      <c r="H20" s="1100"/>
      <c r="I20" s="1100"/>
    </row>
    <row r="21" spans="1:9" s="1583" customFormat="1" ht="19.5" customHeight="1">
      <c r="A21" s="3472"/>
      <c r="B21" s="3472"/>
      <c r="C21" s="1126" t="s">
        <v>1454</v>
      </c>
      <c r="D21" s="1127"/>
      <c r="E21" s="1149">
        <v>0.8</v>
      </c>
      <c r="F21" s="1128" t="s">
        <v>1455</v>
      </c>
      <c r="G21" s="1129"/>
      <c r="H21" s="1100"/>
      <c r="I21" s="1100"/>
    </row>
    <row r="22" spans="1:9" s="1583" customFormat="1" ht="19.5" customHeight="1">
      <c r="A22" s="3472"/>
      <c r="B22" s="3472"/>
      <c r="C22" s="1126" t="s">
        <v>1456</v>
      </c>
      <c r="D22" s="1127"/>
      <c r="E22" s="1149">
        <v>0.5</v>
      </c>
      <c r="F22" s="1128"/>
      <c r="G22" s="1129"/>
      <c r="H22" s="1100"/>
      <c r="I22" s="1100"/>
    </row>
    <row r="23" spans="1:9" s="1583" customFormat="1" ht="19.5" customHeight="1">
      <c r="A23" s="3472" t="s">
        <v>1029</v>
      </c>
      <c r="B23" s="1149" t="s">
        <v>1446</v>
      </c>
      <c r="C23" s="1126" t="s">
        <v>1457</v>
      </c>
      <c r="D23" s="1127"/>
      <c r="E23" s="1149">
        <v>1</v>
      </c>
      <c r="F23" s="1128" t="s">
        <v>1458</v>
      </c>
      <c r="G23" s="1129"/>
      <c r="H23" s="1100"/>
      <c r="I23" s="1100"/>
    </row>
    <row r="24" spans="1:9" s="1583" customFormat="1" ht="19.5" customHeight="1">
      <c r="A24" s="3472"/>
      <c r="B24" s="3472" t="s">
        <v>1449</v>
      </c>
      <c r="C24" s="1126" t="s">
        <v>1459</v>
      </c>
      <c r="D24" s="1127"/>
      <c r="E24" s="1149">
        <v>0.5</v>
      </c>
      <c r="F24" s="1128"/>
      <c r="G24" s="1129"/>
      <c r="H24" s="1100"/>
      <c r="I24" s="1100"/>
    </row>
    <row r="25" spans="1:9" s="1583" customFormat="1" ht="19.5" customHeight="1">
      <c r="A25" s="3472"/>
      <c r="B25" s="3472"/>
      <c r="C25" s="1126" t="s">
        <v>1460</v>
      </c>
      <c r="D25" s="1127"/>
      <c r="E25" s="1149">
        <v>1.1000000000000001</v>
      </c>
      <c r="F25" s="1128"/>
      <c r="G25" s="1129"/>
      <c r="H25" s="1100"/>
      <c r="I25" s="1100"/>
    </row>
    <row r="26" spans="1:9" s="1583" customFormat="1" ht="19.5" customHeight="1">
      <c r="A26" s="3472"/>
      <c r="B26" s="3472"/>
      <c r="C26" s="1126" t="s">
        <v>1461</v>
      </c>
      <c r="D26" s="1127"/>
      <c r="E26" s="1149">
        <v>1.1000000000000001</v>
      </c>
      <c r="F26" s="1128"/>
      <c r="G26" s="1129"/>
      <c r="H26" s="1100"/>
      <c r="I26" s="1100"/>
    </row>
    <row r="27" spans="1:9" s="1583" customFormat="1" ht="19.5" customHeight="1">
      <c r="A27" s="3472"/>
      <c r="B27" s="3472"/>
      <c r="C27" s="1126" t="s">
        <v>1462</v>
      </c>
      <c r="D27" s="1127"/>
      <c r="E27" s="1149">
        <v>0.9</v>
      </c>
      <c r="F27" s="1128" t="s">
        <v>1463</v>
      </c>
      <c r="G27" s="1129"/>
      <c r="H27" s="1100"/>
      <c r="I27" s="1100"/>
    </row>
    <row r="28" spans="1:9" s="1583" customFormat="1" ht="19.5" customHeight="1">
      <c r="A28" s="3472"/>
      <c r="B28" s="3472"/>
      <c r="C28" s="1126" t="s">
        <v>1464</v>
      </c>
      <c r="D28" s="1127"/>
      <c r="E28" s="1149">
        <v>0.9</v>
      </c>
      <c r="F28" s="1128" t="s">
        <v>1465</v>
      </c>
      <c r="G28" s="1129"/>
      <c r="H28" s="1100"/>
      <c r="I28" s="1100"/>
    </row>
    <row r="29" spans="1:9" s="1583" customFormat="1" ht="19.5" customHeight="1">
      <c r="A29" s="3472"/>
      <c r="B29" s="3472"/>
      <c r="C29" s="1126" t="s">
        <v>1466</v>
      </c>
      <c r="D29" s="1127"/>
      <c r="E29" s="1149">
        <v>0.9</v>
      </c>
      <c r="F29" s="1128" t="s">
        <v>1467</v>
      </c>
      <c r="G29" s="1129"/>
      <c r="H29" s="1100"/>
      <c r="I29" s="1100"/>
    </row>
    <row r="30" spans="1:9" s="1583" customFormat="1" ht="19.5" customHeight="1">
      <c r="A30" s="3472"/>
      <c r="B30" s="3472"/>
      <c r="C30" s="1126" t="s">
        <v>1468</v>
      </c>
      <c r="D30" s="1127"/>
      <c r="E30" s="1149">
        <v>0.9</v>
      </c>
      <c r="F30" s="1128" t="s">
        <v>1469</v>
      </c>
      <c r="G30" s="1129"/>
      <c r="H30" s="1100"/>
      <c r="I30" s="1100"/>
    </row>
    <row r="31" spans="1:9" s="1583" customFormat="1" ht="19.5" customHeight="1">
      <c r="A31" s="3472"/>
      <c r="B31" s="3472"/>
      <c r="C31" s="1126" t="s">
        <v>1470</v>
      </c>
      <c r="D31" s="1127"/>
      <c r="E31" s="1149">
        <v>0.8</v>
      </c>
      <c r="F31" s="1128" t="s">
        <v>1471</v>
      </c>
      <c r="G31" s="1129"/>
      <c r="H31" s="1100"/>
      <c r="I31" s="1100"/>
    </row>
    <row r="32" spans="1:9" s="1583" customFormat="1" ht="19.5" customHeight="1">
      <c r="A32" s="3472"/>
      <c r="B32" s="3472"/>
      <c r="C32" s="1126" t="s">
        <v>1472</v>
      </c>
      <c r="D32" s="1127"/>
      <c r="E32" s="1149">
        <v>0.8</v>
      </c>
      <c r="F32" s="1128" t="s">
        <v>1473</v>
      </c>
      <c r="G32" s="1129"/>
      <c r="H32" s="1100"/>
      <c r="I32" s="1100"/>
    </row>
    <row r="33" spans="1:9" s="1583" customFormat="1" ht="19.5" customHeight="1">
      <c r="A33" s="3472" t="s">
        <v>1474</v>
      </c>
      <c r="B33" s="1149" t="s">
        <v>1446</v>
      </c>
      <c r="C33" s="1126" t="s">
        <v>1475</v>
      </c>
      <c r="D33" s="1127"/>
      <c r="E33" s="1149">
        <v>1</v>
      </c>
      <c r="F33" s="1128" t="s">
        <v>1476</v>
      </c>
      <c r="G33" s="1129"/>
      <c r="H33" s="1100"/>
      <c r="I33" s="1100"/>
    </row>
    <row r="34" spans="1:9" s="1583" customFormat="1" ht="19.5" customHeight="1">
      <c r="A34" s="3472"/>
      <c r="B34" s="1149" t="s">
        <v>1449</v>
      </c>
      <c r="C34" s="1126" t="s">
        <v>1477</v>
      </c>
      <c r="D34" s="1127"/>
      <c r="E34" s="1149">
        <v>1.5</v>
      </c>
      <c r="F34" s="1128" t="s">
        <v>1478</v>
      </c>
      <c r="G34" s="1129"/>
      <c r="H34" s="1100"/>
      <c r="I34" s="1100"/>
    </row>
    <row r="35" spans="1:9" s="1583" customFormat="1" ht="19.5" customHeight="1">
      <c r="A35" s="3472" t="s">
        <v>1432</v>
      </c>
      <c r="B35" s="1149" t="s">
        <v>1446</v>
      </c>
      <c r="C35" s="1126" t="s">
        <v>1479</v>
      </c>
      <c r="D35" s="1127"/>
      <c r="E35" s="1149">
        <v>1</v>
      </c>
      <c r="F35" s="1128" t="s">
        <v>1480</v>
      </c>
      <c r="G35" s="1129"/>
      <c r="H35" s="1100"/>
      <c r="I35" s="1100"/>
    </row>
    <row r="36" spans="1:9" s="1583" customFormat="1" ht="19.5" customHeight="1">
      <c r="A36" s="3472"/>
      <c r="B36" s="3472" t="s">
        <v>1449</v>
      </c>
      <c r="C36" s="1126" t="s">
        <v>1481</v>
      </c>
      <c r="D36" s="1127"/>
      <c r="E36" s="1149">
        <v>1</v>
      </c>
      <c r="F36" s="1128" t="s">
        <v>1482</v>
      </c>
      <c r="G36" s="1129"/>
      <c r="H36" s="1100"/>
      <c r="I36" s="1100"/>
    </row>
    <row r="37" spans="1:9" s="1583" customFormat="1" ht="19.5" customHeight="1">
      <c r="A37" s="3472"/>
      <c r="B37" s="3472"/>
      <c r="C37" s="1126" t="s">
        <v>1483</v>
      </c>
      <c r="D37" s="1127"/>
      <c r="E37" s="1149">
        <v>1.5</v>
      </c>
      <c r="F37" s="1128" t="s">
        <v>1484</v>
      </c>
      <c r="G37" s="1129"/>
      <c r="H37" s="1100"/>
      <c r="I37" s="1100"/>
    </row>
    <row r="38" spans="1:9" s="1583" customFormat="1" ht="19.5" customHeight="1">
      <c r="A38" s="3472"/>
      <c r="B38" s="3472"/>
      <c r="C38" s="1126" t="s">
        <v>1485</v>
      </c>
      <c r="D38" s="1127"/>
      <c r="E38" s="1149">
        <v>1</v>
      </c>
      <c r="F38" s="1128" t="s">
        <v>1486</v>
      </c>
      <c r="G38" s="1129"/>
      <c r="H38" s="1100"/>
      <c r="I38" s="1100"/>
    </row>
    <row r="39" spans="1:9" s="1583" customFormat="1" ht="19.5" customHeight="1">
      <c r="A39" s="3472"/>
      <c r="B39" s="3472"/>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72" t="s">
        <v>1501</v>
      </c>
      <c r="C61" s="1063" t="s">
        <v>1502</v>
      </c>
      <c r="D61" s="1063" t="s">
        <v>1503</v>
      </c>
      <c r="E61" s="1134">
        <v>0.5</v>
      </c>
      <c r="F61" s="1149">
        <v>80</v>
      </c>
      <c r="H61" s="1100">
        <f>SUMIF(C59:C119,基准地价!C8,E59:E119)</f>
        <v>0</v>
      </c>
    </row>
    <row r="62" spans="1:8" s="1100" customFormat="1" ht="24">
      <c r="A62" s="1149">
        <v>2</v>
      </c>
      <c r="B62" s="3472"/>
      <c r="C62" s="1063" t="s">
        <v>1504</v>
      </c>
      <c r="D62" s="1063" t="s">
        <v>1505</v>
      </c>
      <c r="E62" s="1134">
        <v>0.5</v>
      </c>
      <c r="F62" s="1149">
        <v>80</v>
      </c>
    </row>
    <row r="63" spans="1:8" s="1100" customFormat="1" ht="36">
      <c r="A63" s="1149">
        <v>3</v>
      </c>
      <c r="B63" s="3472"/>
      <c r="C63" s="1063" t="s">
        <v>1506</v>
      </c>
      <c r="D63" s="1063" t="s">
        <v>1507</v>
      </c>
      <c r="E63" s="1134">
        <v>0.5</v>
      </c>
      <c r="F63" s="1149">
        <v>80</v>
      </c>
    </row>
    <row r="64" spans="1:8" s="1100" customFormat="1" ht="36">
      <c r="A64" s="1149">
        <v>4</v>
      </c>
      <c r="B64" s="3472"/>
      <c r="C64" s="1063" t="s">
        <v>1508</v>
      </c>
      <c r="D64" s="1063" t="s">
        <v>1509</v>
      </c>
      <c r="E64" s="1134">
        <v>0.4</v>
      </c>
      <c r="F64" s="1149">
        <v>60</v>
      </c>
    </row>
    <row r="65" spans="1:6" s="1100" customFormat="1" ht="36">
      <c r="A65" s="1149">
        <v>5</v>
      </c>
      <c r="B65" s="3472"/>
      <c r="C65" s="1063" t="s">
        <v>1510</v>
      </c>
      <c r="D65" s="1063" t="s">
        <v>1511</v>
      </c>
      <c r="E65" s="1134">
        <v>0.2</v>
      </c>
      <c r="F65" s="1149">
        <v>30</v>
      </c>
    </row>
    <row r="66" spans="1:6" s="1100" customFormat="1" ht="36">
      <c r="A66" s="1149">
        <v>6</v>
      </c>
      <c r="B66" s="3472"/>
      <c r="C66" s="1063" t="s">
        <v>1512</v>
      </c>
      <c r="D66" s="1063" t="s">
        <v>1513</v>
      </c>
      <c r="E66" s="1134">
        <v>0.3</v>
      </c>
      <c r="F66" s="1149">
        <v>50</v>
      </c>
    </row>
    <row r="67" spans="1:6" s="1100" customFormat="1" ht="36">
      <c r="A67" s="1149">
        <v>7</v>
      </c>
      <c r="B67" s="3472"/>
      <c r="C67" s="1063" t="s">
        <v>1514</v>
      </c>
      <c r="D67" s="1063" t="s">
        <v>1515</v>
      </c>
      <c r="E67" s="1134">
        <v>0.2</v>
      </c>
      <c r="F67" s="1149">
        <v>30</v>
      </c>
    </row>
    <row r="68" spans="1:6" s="1100" customFormat="1" ht="36">
      <c r="A68" s="1149">
        <v>8</v>
      </c>
      <c r="B68" s="3472"/>
      <c r="C68" s="1063" t="s">
        <v>1516</v>
      </c>
      <c r="D68" s="1063" t="s">
        <v>1517</v>
      </c>
      <c r="E68" s="1134">
        <v>0.2</v>
      </c>
      <c r="F68" s="1149">
        <v>30</v>
      </c>
    </row>
    <row r="69" spans="1:6" s="1100" customFormat="1" ht="36">
      <c r="A69" s="1149">
        <v>9</v>
      </c>
      <c r="B69" s="3472"/>
      <c r="C69" s="1063" t="s">
        <v>1518</v>
      </c>
      <c r="D69" s="1063" t="s">
        <v>1519</v>
      </c>
      <c r="E69" s="1134">
        <v>0.2</v>
      </c>
      <c r="F69" s="1149">
        <v>30</v>
      </c>
    </row>
    <row r="70" spans="1:6" s="1100" customFormat="1" ht="48">
      <c r="A70" s="1149">
        <v>10</v>
      </c>
      <c r="B70" s="3472"/>
      <c r="C70" s="1063" t="s">
        <v>1520</v>
      </c>
      <c r="D70" s="1063" t="s">
        <v>1521</v>
      </c>
      <c r="E70" s="1134">
        <v>0.2</v>
      </c>
      <c r="F70" s="1149">
        <v>30</v>
      </c>
    </row>
    <row r="71" spans="1:6" s="1100" customFormat="1" ht="48">
      <c r="A71" s="1149">
        <v>11</v>
      </c>
      <c r="B71" s="3472"/>
      <c r="C71" s="1063" t="s">
        <v>1522</v>
      </c>
      <c r="D71" s="1063" t="s">
        <v>1523</v>
      </c>
      <c r="E71" s="1134">
        <v>0.2</v>
      </c>
      <c r="F71" s="1149">
        <v>30</v>
      </c>
    </row>
    <row r="72" spans="1:6" s="1100" customFormat="1" ht="36">
      <c r="A72" s="1149">
        <v>12</v>
      </c>
      <c r="B72" s="3472"/>
      <c r="C72" s="1063" t="s">
        <v>1524</v>
      </c>
      <c r="D72" s="1063" t="s">
        <v>1525</v>
      </c>
      <c r="E72" s="1134">
        <v>0.5</v>
      </c>
      <c r="F72" s="1149">
        <v>80</v>
      </c>
    </row>
    <row r="73" spans="1:6" s="1100" customFormat="1" ht="24">
      <c r="A73" s="1149">
        <v>13</v>
      </c>
      <c r="B73" s="3472"/>
      <c r="C73" s="1063" t="s">
        <v>1526</v>
      </c>
      <c r="D73" s="1063" t="s">
        <v>1527</v>
      </c>
      <c r="E73" s="1134">
        <v>0.4</v>
      </c>
      <c r="F73" s="1149">
        <v>60</v>
      </c>
    </row>
    <row r="74" spans="1:6" s="1100" customFormat="1" ht="24">
      <c r="A74" s="1149">
        <v>14</v>
      </c>
      <c r="B74" s="3472"/>
      <c r="C74" s="1063" t="s">
        <v>1528</v>
      </c>
      <c r="D74" s="1063" t="s">
        <v>1529</v>
      </c>
      <c r="E74" s="1134">
        <v>0.2</v>
      </c>
      <c r="F74" s="1149">
        <v>30</v>
      </c>
    </row>
    <row r="75" spans="1:6" s="1100" customFormat="1" ht="24">
      <c r="A75" s="1149">
        <v>15</v>
      </c>
      <c r="B75" s="3472"/>
      <c r="C75" s="1063" t="s">
        <v>1530</v>
      </c>
      <c r="D75" s="1063" t="s">
        <v>1531</v>
      </c>
      <c r="E75" s="1134">
        <v>0.2</v>
      </c>
      <c r="F75" s="1149">
        <v>30</v>
      </c>
    </row>
    <row r="76" spans="1:6" s="1100" customFormat="1" ht="24">
      <c r="A76" s="1149">
        <v>16</v>
      </c>
      <c r="B76" s="3472" t="s">
        <v>1532</v>
      </c>
      <c r="C76" s="1063" t="s">
        <v>1533</v>
      </c>
      <c r="D76" s="1063" t="s">
        <v>1534</v>
      </c>
      <c r="E76" s="1134">
        <v>0.5</v>
      </c>
      <c r="F76" s="1149">
        <v>80</v>
      </c>
    </row>
    <row r="77" spans="1:6" s="1100" customFormat="1" ht="24">
      <c r="A77" s="1149">
        <v>17</v>
      </c>
      <c r="B77" s="3472"/>
      <c r="C77" s="1063" t="s">
        <v>1535</v>
      </c>
      <c r="D77" s="1063" t="s">
        <v>1536</v>
      </c>
      <c r="E77" s="1134">
        <v>0.5</v>
      </c>
      <c r="F77" s="1149">
        <v>80</v>
      </c>
    </row>
    <row r="78" spans="1:6" s="1100" customFormat="1" ht="24">
      <c r="A78" s="1149">
        <v>18</v>
      </c>
      <c r="B78" s="3472"/>
      <c r="C78" s="1063" t="s">
        <v>1537</v>
      </c>
      <c r="D78" s="1063" t="s">
        <v>1538</v>
      </c>
      <c r="E78" s="1134">
        <v>0.2</v>
      </c>
      <c r="F78" s="1149">
        <v>30</v>
      </c>
    </row>
    <row r="79" spans="1:6" s="1100" customFormat="1" ht="24">
      <c r="A79" s="1149">
        <v>19</v>
      </c>
      <c r="B79" s="3472"/>
      <c r="C79" s="1063" t="s">
        <v>1539</v>
      </c>
      <c r="D79" s="1063" t="s">
        <v>1540</v>
      </c>
      <c r="E79" s="1134">
        <v>0.5</v>
      </c>
      <c r="F79" s="1149">
        <v>80</v>
      </c>
    </row>
    <row r="80" spans="1:6" s="1100" customFormat="1" ht="36">
      <c r="A80" s="1149">
        <v>20</v>
      </c>
      <c r="B80" s="3472"/>
      <c r="C80" s="1063" t="s">
        <v>1541</v>
      </c>
      <c r="D80" s="1063" t="s">
        <v>1542</v>
      </c>
      <c r="E80" s="1134">
        <v>0.2</v>
      </c>
      <c r="F80" s="1149">
        <v>30</v>
      </c>
    </row>
    <row r="81" spans="1:6" s="1100" customFormat="1" ht="36">
      <c r="A81" s="1149">
        <v>21</v>
      </c>
      <c r="B81" s="3472"/>
      <c r="C81" s="1063" t="s">
        <v>1543</v>
      </c>
      <c r="D81" s="1063" t="s">
        <v>1544</v>
      </c>
      <c r="E81" s="1134">
        <v>0.2</v>
      </c>
      <c r="F81" s="1149">
        <v>30</v>
      </c>
    </row>
    <row r="82" spans="1:6" s="1100" customFormat="1" ht="48">
      <c r="A82" s="1149">
        <v>22</v>
      </c>
      <c r="B82" s="3472"/>
      <c r="C82" s="1063" t="s">
        <v>1545</v>
      </c>
      <c r="D82" s="1063" t="s">
        <v>1546</v>
      </c>
      <c r="E82" s="1134">
        <v>0.2</v>
      </c>
      <c r="F82" s="1149">
        <v>30</v>
      </c>
    </row>
    <row r="83" spans="1:6" s="1100" customFormat="1" ht="48">
      <c r="A83" s="1149">
        <v>23</v>
      </c>
      <c r="B83" s="3472"/>
      <c r="C83" s="1063" t="s">
        <v>1547</v>
      </c>
      <c r="D83" s="1063" t="s">
        <v>1548</v>
      </c>
      <c r="E83" s="1134">
        <v>0.2</v>
      </c>
      <c r="F83" s="1149">
        <v>30</v>
      </c>
    </row>
    <row r="84" spans="1:6" s="1100" customFormat="1" ht="36">
      <c r="A84" s="1149">
        <v>24</v>
      </c>
      <c r="B84" s="3472"/>
      <c r="C84" s="1063" t="s">
        <v>1549</v>
      </c>
      <c r="D84" s="1063" t="s">
        <v>1550</v>
      </c>
      <c r="E84" s="1134">
        <v>0.2</v>
      </c>
      <c r="F84" s="1149">
        <v>30</v>
      </c>
    </row>
    <row r="85" spans="1:6" s="1100" customFormat="1" ht="36">
      <c r="A85" s="1149">
        <v>25</v>
      </c>
      <c r="B85" s="3472"/>
      <c r="C85" s="1063" t="s">
        <v>1551</v>
      </c>
      <c r="D85" s="1063" t="s">
        <v>1552</v>
      </c>
      <c r="E85" s="1134">
        <v>0.5</v>
      </c>
      <c r="F85" s="1149">
        <v>80</v>
      </c>
    </row>
    <row r="86" spans="1:6" s="1100" customFormat="1" ht="36">
      <c r="A86" s="1149">
        <v>26</v>
      </c>
      <c r="B86" s="3472"/>
      <c r="C86" s="1063" t="s">
        <v>1553</v>
      </c>
      <c r="D86" s="1063" t="s">
        <v>1554</v>
      </c>
      <c r="E86" s="1134">
        <v>0.2</v>
      </c>
      <c r="F86" s="1149">
        <v>30</v>
      </c>
    </row>
    <row r="87" spans="1:6" s="1100" customFormat="1" ht="36">
      <c r="A87" s="1149">
        <v>27</v>
      </c>
      <c r="B87" s="3472"/>
      <c r="C87" s="1063" t="s">
        <v>1555</v>
      </c>
      <c r="D87" s="1063" t="s">
        <v>1556</v>
      </c>
      <c r="E87" s="1134">
        <v>0.2</v>
      </c>
      <c r="F87" s="1149">
        <v>30</v>
      </c>
    </row>
    <row r="88" spans="1:6" s="1100" customFormat="1" ht="36">
      <c r="A88" s="1149">
        <v>28</v>
      </c>
      <c r="B88" s="3472"/>
      <c r="C88" s="1063" t="s">
        <v>1557</v>
      </c>
      <c r="D88" s="1063" t="s">
        <v>1558</v>
      </c>
      <c r="E88" s="1134">
        <v>0.2</v>
      </c>
      <c r="F88" s="1149">
        <v>30</v>
      </c>
    </row>
    <row r="89" spans="1:6" s="1100" customFormat="1" ht="24">
      <c r="A89" s="1149">
        <v>29</v>
      </c>
      <c r="B89" s="3472"/>
      <c r="C89" s="1063" t="s">
        <v>1559</v>
      </c>
      <c r="D89" s="1063" t="s">
        <v>1560</v>
      </c>
      <c r="E89" s="1134">
        <v>0.2</v>
      </c>
      <c r="F89" s="1149">
        <v>30</v>
      </c>
    </row>
    <row r="90" spans="1:6" s="1100" customFormat="1" ht="24">
      <c r="A90" s="1149">
        <v>30</v>
      </c>
      <c r="B90" s="3472"/>
      <c r="C90" s="1063" t="s">
        <v>1561</v>
      </c>
      <c r="D90" s="1063" t="s">
        <v>1562</v>
      </c>
      <c r="E90" s="1134">
        <v>0.2</v>
      </c>
      <c r="F90" s="1149">
        <v>30</v>
      </c>
    </row>
    <row r="91" spans="1:6" s="1100" customFormat="1" ht="36">
      <c r="A91" s="1149">
        <v>31</v>
      </c>
      <c r="B91" s="3472"/>
      <c r="C91" s="1063" t="s">
        <v>1563</v>
      </c>
      <c r="D91" s="1063" t="s">
        <v>1564</v>
      </c>
      <c r="E91" s="1134">
        <v>0.2</v>
      </c>
      <c r="F91" s="1149">
        <v>30</v>
      </c>
    </row>
    <row r="92" spans="1:6" s="1100" customFormat="1" ht="24">
      <c r="A92" s="1149">
        <v>32</v>
      </c>
      <c r="B92" s="3472" t="s">
        <v>1565</v>
      </c>
      <c r="C92" s="1149" t="s">
        <v>1566</v>
      </c>
      <c r="D92" s="1063" t="s">
        <v>1567</v>
      </c>
      <c r="E92" s="1134">
        <v>0.2</v>
      </c>
      <c r="F92" s="1149">
        <v>30</v>
      </c>
    </row>
    <row r="93" spans="1:6" s="1100" customFormat="1" ht="36">
      <c r="A93" s="1149">
        <v>33</v>
      </c>
      <c r="B93" s="3472"/>
      <c r="C93" s="1149" t="s">
        <v>1568</v>
      </c>
      <c r="D93" s="1063" t="s">
        <v>1569</v>
      </c>
      <c r="E93" s="1134">
        <v>0.2</v>
      </c>
      <c r="F93" s="1149">
        <v>30</v>
      </c>
    </row>
    <row r="94" spans="1:6" s="1100" customFormat="1" ht="48">
      <c r="A94" s="1149">
        <v>34</v>
      </c>
      <c r="B94" s="3472"/>
      <c r="C94" s="1149" t="s">
        <v>1570</v>
      </c>
      <c r="D94" s="1063" t="s">
        <v>1571</v>
      </c>
      <c r="E94" s="1134">
        <v>0.2</v>
      </c>
      <c r="F94" s="1149">
        <v>30</v>
      </c>
    </row>
    <row r="95" spans="1:6" s="1100" customFormat="1" ht="36">
      <c r="A95" s="1149">
        <v>35</v>
      </c>
      <c r="B95" s="3472"/>
      <c r="C95" s="1149" t="s">
        <v>1572</v>
      </c>
      <c r="D95" s="1063" t="s">
        <v>1573</v>
      </c>
      <c r="E95" s="1134">
        <v>0.2</v>
      </c>
      <c r="F95" s="1149">
        <v>30</v>
      </c>
    </row>
    <row r="96" spans="1:6" s="1100" customFormat="1" ht="48">
      <c r="A96" s="1149">
        <v>36</v>
      </c>
      <c r="B96" s="3472"/>
      <c r="C96" s="1063" t="s">
        <v>1574</v>
      </c>
      <c r="D96" s="1063" t="s">
        <v>1575</v>
      </c>
      <c r="E96" s="1134">
        <v>0.2</v>
      </c>
      <c r="F96" s="1149">
        <v>30</v>
      </c>
    </row>
    <row r="97" spans="1:6" s="1100" customFormat="1" ht="36">
      <c r="A97" s="1149">
        <v>37</v>
      </c>
      <c r="B97" s="3472"/>
      <c r="C97" s="1149" t="s">
        <v>1576</v>
      </c>
      <c r="D97" s="1063" t="s">
        <v>1577</v>
      </c>
      <c r="E97" s="1134">
        <v>0.2</v>
      </c>
      <c r="F97" s="1149">
        <v>30</v>
      </c>
    </row>
    <row r="98" spans="1:6" s="1100" customFormat="1" ht="36">
      <c r="A98" s="1149">
        <v>38</v>
      </c>
      <c r="B98" s="3472"/>
      <c r="C98" s="1149" t="s">
        <v>1578</v>
      </c>
      <c r="D98" s="1063" t="s">
        <v>1579</v>
      </c>
      <c r="E98" s="1134">
        <v>0.2</v>
      </c>
      <c r="F98" s="1149">
        <v>30</v>
      </c>
    </row>
    <row r="99" spans="1:6" s="1100" customFormat="1" ht="36">
      <c r="A99" s="1149">
        <v>39</v>
      </c>
      <c r="B99" s="3472" t="s">
        <v>1580</v>
      </c>
      <c r="C99" s="1149" t="s">
        <v>1581</v>
      </c>
      <c r="D99" s="1063" t="s">
        <v>1582</v>
      </c>
      <c r="E99" s="1134">
        <v>0.3</v>
      </c>
      <c r="F99" s="1149">
        <v>50</v>
      </c>
    </row>
    <row r="100" spans="1:6" s="1100" customFormat="1" ht="24">
      <c r="A100" s="1149">
        <v>40</v>
      </c>
      <c r="B100" s="3472"/>
      <c r="C100" s="1149" t="s">
        <v>1583</v>
      </c>
      <c r="D100" s="1063" t="s">
        <v>1584</v>
      </c>
      <c r="E100" s="1134">
        <v>0.2</v>
      </c>
      <c r="F100" s="1149">
        <v>30</v>
      </c>
    </row>
    <row r="101" spans="1:6" s="1100" customFormat="1" ht="36">
      <c r="A101" s="1149">
        <v>41</v>
      </c>
      <c r="B101" s="3472"/>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72" t="s">
        <v>1595</v>
      </c>
      <c r="C105" s="1149" t="s">
        <v>1596</v>
      </c>
      <c r="D105" s="1063" t="s">
        <v>1597</v>
      </c>
      <c r="E105" s="1134">
        <v>0.2</v>
      </c>
      <c r="F105" s="1149">
        <v>30</v>
      </c>
    </row>
    <row r="106" spans="1:6" s="1100" customFormat="1" ht="36">
      <c r="A106" s="1149">
        <v>46</v>
      </c>
      <c r="B106" s="3472"/>
      <c r="C106" s="1149" t="s">
        <v>1598</v>
      </c>
      <c r="D106" s="1063" t="s">
        <v>1599</v>
      </c>
      <c r="E106" s="1134">
        <v>0.2</v>
      </c>
      <c r="F106" s="1149">
        <v>30</v>
      </c>
    </row>
    <row r="107" spans="1:6" s="1100" customFormat="1" ht="36">
      <c r="A107" s="1149">
        <v>47</v>
      </c>
      <c r="B107" s="3472" t="s">
        <v>1600</v>
      </c>
      <c r="C107" s="1149" t="s">
        <v>1601</v>
      </c>
      <c r="D107" s="1063" t="s">
        <v>1602</v>
      </c>
      <c r="E107" s="1134">
        <v>0.3</v>
      </c>
      <c r="F107" s="1149">
        <v>50</v>
      </c>
    </row>
    <row r="108" spans="1:6" s="1100" customFormat="1" ht="36">
      <c r="A108" s="1149">
        <v>48</v>
      </c>
      <c r="B108" s="3472"/>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72" t="s">
        <v>1611</v>
      </c>
      <c r="C111" s="1149" t="s">
        <v>1612</v>
      </c>
      <c r="D111" s="1063" t="s">
        <v>1613</v>
      </c>
      <c r="E111" s="1134">
        <v>0.2</v>
      </c>
      <c r="F111" s="1149">
        <v>30</v>
      </c>
    </row>
    <row r="112" spans="1:6" s="1100" customFormat="1" ht="24">
      <c r="A112" s="1149">
        <v>52</v>
      </c>
      <c r="B112" s="3472"/>
      <c r="C112" s="1149" t="s">
        <v>1614</v>
      </c>
      <c r="D112" s="1063" t="s">
        <v>1615</v>
      </c>
      <c r="E112" s="1134">
        <v>0.2</v>
      </c>
      <c r="F112" s="1149">
        <v>30</v>
      </c>
    </row>
    <row r="113" spans="1:14" s="1100" customFormat="1" ht="24">
      <c r="A113" s="1149">
        <v>53</v>
      </c>
      <c r="B113" s="3472"/>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72" t="s">
        <v>1624</v>
      </c>
      <c r="C116" s="1149" t="s">
        <v>1625</v>
      </c>
      <c r="D116" s="1063" t="s">
        <v>1626</v>
      </c>
      <c r="E116" s="1134">
        <v>0.2</v>
      </c>
      <c r="F116" s="1149">
        <v>30</v>
      </c>
    </row>
    <row r="117" spans="1:14" ht="36">
      <c r="A117" s="1149">
        <v>57</v>
      </c>
      <c r="B117" s="3472"/>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71" t="s">
        <v>1633</v>
      </c>
      <c r="B121" s="3471"/>
      <c r="C121" s="3471"/>
      <c r="D121" s="3471"/>
      <c r="E121" s="3471"/>
      <c r="F121" s="3471"/>
      <c r="G121" s="3471"/>
      <c r="H121" s="3471"/>
      <c r="I121" s="3471"/>
      <c r="J121" s="347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76" t="s">
        <v>1039</v>
      </c>
      <c r="B1" s="3476"/>
      <c r="C1" s="3476"/>
      <c r="D1" s="3476"/>
      <c r="E1" s="3476"/>
      <c r="F1" s="3476"/>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77" t="s">
        <v>1052</v>
      </c>
      <c r="B2" s="3477"/>
      <c r="C2" s="3477"/>
      <c r="D2" s="3477"/>
      <c r="E2" s="3477"/>
      <c r="F2" s="3477"/>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78"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79"/>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80" t="s">
        <v>2079</v>
      </c>
      <c r="B1" s="3480"/>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2950</v>
      </c>
      <c r="B1" s="3053"/>
      <c r="C1" s="3053"/>
      <c r="D1" s="3053"/>
      <c r="E1" s="3053"/>
      <c r="F1" s="3053"/>
    </row>
    <row r="2" spans="1:6" ht="14.25">
      <c r="A2" s="3054" t="s">
        <v>2945</v>
      </c>
      <c r="B2" s="3055" t="e">
        <f ca="1">SUMIF(B7:B14,"&lt;&gt;#ref!",B7:B14)</f>
        <v>#DIV/0!</v>
      </c>
      <c r="C2" s="3054" t="s">
        <v>2946</v>
      </c>
      <c r="D2" s="3053"/>
      <c r="E2" s="3053"/>
      <c r="F2" s="3053"/>
    </row>
    <row r="3" spans="1:6" ht="14.25">
      <c r="A3" s="3054" t="s">
        <v>2978</v>
      </c>
      <c r="B3" s="3055" t="e">
        <f ca="1">ROUND(B2*10000/E3,0)</f>
        <v>#DIV/0!</v>
      </c>
      <c r="C3" s="3054" t="s">
        <v>2078</v>
      </c>
      <c r="D3" s="3054" t="s">
        <v>2947</v>
      </c>
      <c r="E3" s="3055">
        <f ca="1">SUMIF(E7:E14,"&lt;&gt;#ref!",E7:E14)</f>
        <v>0</v>
      </c>
      <c r="F3" s="3053"/>
    </row>
    <row r="4" spans="1:6" ht="14.25">
      <c r="A4" s="3054" t="s">
        <v>2954</v>
      </c>
      <c r="B4" s="3055" t="e">
        <f ca="1">ROUND(B2*10000/E4,0)</f>
        <v>#DIV/0!</v>
      </c>
      <c r="C4" s="3054" t="s">
        <v>2078</v>
      </c>
      <c r="D4" s="3054" t="s">
        <v>2955</v>
      </c>
      <c r="E4" s="3055">
        <f ca="1">SUMIF(F7:F14,"&lt;&gt;#ref!",F7:F14)</f>
        <v>0</v>
      </c>
      <c r="F4" s="3053"/>
    </row>
    <row r="5" spans="1:6" ht="14.25">
      <c r="A5" s="3056"/>
      <c r="B5" s="1865"/>
      <c r="C5" s="1865"/>
      <c r="D5" s="1865"/>
      <c r="E5" s="1865"/>
      <c r="F5" s="3053"/>
    </row>
    <row r="6" spans="1:6" ht="28.5">
      <c r="A6" s="3057" t="s">
        <v>2951</v>
      </c>
      <c r="B6" s="3054" t="s">
        <v>2948</v>
      </c>
      <c r="C6" s="3055"/>
      <c r="D6" s="1865"/>
      <c r="E6" s="3054" t="s">
        <v>2949</v>
      </c>
      <c r="F6" s="3054" t="s">
        <v>2953</v>
      </c>
    </row>
    <row r="7" spans="1:6" ht="14.25">
      <c r="A7" s="259" t="s">
        <v>2952</v>
      </c>
      <c r="B7" s="3058" t="e">
        <f ca="1">SUMIF(INDIRECT("'"&amp;A7&amp;"'"&amp;"!A:A"),"总价",INDIRECT("'"&amp;A7&amp;"'"&amp;"!B:B"))</f>
        <v>#DIV/0!</v>
      </c>
      <c r="C7" s="3054" t="s">
        <v>2946</v>
      </c>
      <c r="D7" s="1865"/>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2946</v>
      </c>
      <c r="D8" s="1865"/>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2946</v>
      </c>
      <c r="D9" s="1865"/>
      <c r="E9" s="3059" t="e">
        <f t="shared" ca="1" si="1"/>
        <v>#REF!</v>
      </c>
      <c r="F9" s="3059" t="e">
        <f t="shared" ca="1" si="2"/>
        <v>#REF!</v>
      </c>
    </row>
    <row r="10" spans="1:6" ht="14.25">
      <c r="A10" s="259"/>
      <c r="B10" s="3058" t="e">
        <f t="shared" ca="1" si="0"/>
        <v>#REF!</v>
      </c>
      <c r="C10" s="3054" t="s">
        <v>2946</v>
      </c>
      <c r="D10" s="1865"/>
      <c r="E10" s="3059" t="e">
        <f t="shared" ca="1" si="1"/>
        <v>#REF!</v>
      </c>
      <c r="F10" s="3059" t="e">
        <f t="shared" ca="1" si="2"/>
        <v>#REF!</v>
      </c>
    </row>
    <row r="11" spans="1:6" ht="14.25">
      <c r="A11" s="259"/>
      <c r="B11" s="3058" t="e">
        <f t="shared" ca="1" si="0"/>
        <v>#REF!</v>
      </c>
      <c r="C11" s="3054" t="s">
        <v>2946</v>
      </c>
      <c r="D11" s="1865"/>
      <c r="E11" s="3059" t="e">
        <f t="shared" ca="1" si="1"/>
        <v>#REF!</v>
      </c>
      <c r="F11" s="3059" t="e">
        <f t="shared" ca="1" si="2"/>
        <v>#REF!</v>
      </c>
    </row>
    <row r="12" spans="1:6" ht="14.25">
      <c r="A12" s="259"/>
      <c r="B12" s="3058" t="e">
        <f t="shared" ca="1" si="0"/>
        <v>#REF!</v>
      </c>
      <c r="C12" s="3054" t="s">
        <v>2946</v>
      </c>
      <c r="D12" s="1865"/>
      <c r="E12" s="3059" t="e">
        <f t="shared" ca="1" si="1"/>
        <v>#REF!</v>
      </c>
      <c r="F12" s="3059" t="e">
        <f t="shared" ca="1" si="2"/>
        <v>#REF!</v>
      </c>
    </row>
    <row r="13" spans="1:6" ht="14.25">
      <c r="A13" s="259"/>
      <c r="B13" s="3058" t="e">
        <f t="shared" ca="1" si="0"/>
        <v>#REF!</v>
      </c>
      <c r="C13" s="3054" t="s">
        <v>2946</v>
      </c>
      <c r="D13" s="1865"/>
      <c r="E13" s="3059" t="e">
        <f t="shared" ca="1" si="1"/>
        <v>#REF!</v>
      </c>
      <c r="F13" s="3059" t="e">
        <f t="shared" ca="1" si="2"/>
        <v>#REF!</v>
      </c>
    </row>
    <row r="14" spans="1:6" ht="14.25">
      <c r="A14" s="3052"/>
      <c r="B14" s="3058" t="e">
        <f t="shared" ca="1" si="0"/>
        <v>#REF!</v>
      </c>
      <c r="C14" s="3054" t="s">
        <v>2946</v>
      </c>
      <c r="D14" s="1865"/>
      <c r="E14" s="3059" t="e">
        <f t="shared" ca="1" si="1"/>
        <v>#REF!</v>
      </c>
      <c r="F14" s="3059"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受贵公司委托，我公司对湖北省黄石市黄金山开发区大棋路以北卫楼下路以东出让国有建设用地使用权抵押价格进行了预评估。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黄石市黄金山开发区大棋路以北卫楼下路以东出让国有建设用地使用权。根据《国有土地使用证》[]，估价对象（分摊）出让国有建设用地使用权面积为153365平方米。根据《建设工程规划许可证》[]、《出让合同》[]，估价对象规划建筑面积为508675平方米。</v>
      </c>
    </row>
    <row r="7" spans="1:4" ht="56.25">
      <c r="A7" s="1779" t="s">
        <v>2747</v>
      </c>
    </row>
    <row r="8" spans="1:4" ht="18.75">
      <c r="A8" s="1778" t="s">
        <v>1906</v>
      </c>
    </row>
    <row r="9" spans="1:4" ht="75">
      <c r="A9" s="1780" t="str">
        <f>IF(项目基本情况!B8="抵押",IF(项目基本情况!B5=项目基本情况!B6,定义!C51,定义!B51),定义!D51)</f>
        <v>拟使用湖北省黄石市黄金山开发区大棋路以北卫楼下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2020年1月3日（评估专业人员勘察现场之日）</v>
      </c>
    </row>
    <row r="12" spans="1:4" ht="18.75">
      <c r="A12" s="1781" t="s">
        <v>2025</v>
      </c>
    </row>
    <row r="13" spans="1:4" ht="18.75">
      <c r="A13" s="1775" t="s">
        <v>2943</v>
      </c>
    </row>
    <row r="14" spans="1:4" ht="37.5">
      <c r="A14" s="1775" t="str">
        <f>"根据"&amp;项目基本情况!F12&amp;"，本次评估估价对象证载（地类）用途为"&amp;项目基本情况!B12&amp;"。"</f>
        <v>根据《国有土地使用证》[]，本次评估估价对象证载（地类）用途为住宅、商业、办公。</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根据《国有土地使用证》[]，估价对象（分摊）出让国有建设用地使用权面积为153365平方米。根据《建设工程规划许可证》[]、《出让合同》[]，估价对象规划建筑面积为508675平方米。</v>
      </c>
    </row>
    <row r="21" spans="1:1" ht="18.75">
      <c r="A21" s="1775" t="s">
        <v>2074</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本次估价对象为出让国有建设用地使用权，《国有土地使用证》[]证载土地终止日期为住宅2086年7月26日、商业2056年7月26日地下车库2056年7月26日。截至估价期日，出让国有建设用地使用权剩余土地使用年限为。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2020年1月3日，在规划利用条件下、设定土地开发程度为红线外“七通”、宗地内场地，设定用途为住宅、商业、办公，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2374</v>
      </c>
      <c r="F1" s="2351">
        <f ca="1">J54</f>
        <v>-3</v>
      </c>
      <c r="G1" s="773">
        <f>MATCH(C1,'数据-取费表'!A6:A16,0)+5</f>
        <v>7</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2458</v>
      </c>
      <c r="C7" s="53">
        <f ca="1">C8+C12+C14</f>
        <v>0</v>
      </c>
      <c r="D7" s="2459" t="s">
        <v>2461</v>
      </c>
      <c r="E7" s="2453"/>
      <c r="F7" s="2454"/>
      <c r="G7" s="1577"/>
      <c r="H7" s="780">
        <v>1</v>
      </c>
      <c r="I7" s="781" t="s">
        <v>2458</v>
      </c>
      <c r="J7" s="53">
        <f ca="1">J8+J12+J14</f>
        <v>0</v>
      </c>
      <c r="K7" s="2459" t="s">
        <v>2461</v>
      </c>
      <c r="L7" s="2453"/>
      <c r="M7" s="2454"/>
    </row>
    <row r="8" spans="1:25" ht="18" customHeight="1">
      <c r="A8" s="1814" t="s">
        <v>1824</v>
      </c>
      <c r="B8" s="3482" t="s">
        <v>2463</v>
      </c>
      <c r="C8" s="1809">
        <f ca="1">ROUND(F8*F10*F9*(1-F11)/10000,0)</f>
        <v>0</v>
      </c>
      <c r="D8" s="1806" t="s">
        <v>2534</v>
      </c>
      <c r="E8" s="61" t="s">
        <v>637</v>
      </c>
      <c r="F8" s="784">
        <f ca="1">INDIRECT("'数据-取费表'!u"&amp;$G$1)</f>
        <v>0</v>
      </c>
      <c r="G8" s="1577"/>
      <c r="H8" s="2467" t="s">
        <v>1824</v>
      </c>
      <c r="I8" s="3482" t="s">
        <v>2463</v>
      </c>
      <c r="J8" s="782">
        <f ca="1">ROUND(M8*M10*M9*(1-M11)/10000,0)</f>
        <v>0</v>
      </c>
      <c r="K8" s="340" t="s">
        <v>2534</v>
      </c>
      <c r="L8" s="783" t="s">
        <v>1738</v>
      </c>
      <c r="M8" s="784">
        <f ca="1">INDIRECT("'数据-取费表'!z"&amp;$G$1)</f>
        <v>0</v>
      </c>
    </row>
    <row r="9" spans="1:25" ht="18" customHeight="1">
      <c r="A9" s="2463"/>
      <c r="B9" s="3483"/>
      <c r="C9" s="1810"/>
      <c r="D9" s="1807"/>
      <c r="E9" s="61" t="s">
        <v>638</v>
      </c>
      <c r="F9" s="784">
        <f ca="1">IF(INDIRECT("'数据-取费表'!ah"&amp;$G$1)="",INDIRECT("'数据-取费表'!k"&amp;$G$1),INDIRECT("'数据-取费表'!ah"&amp;$G$1))</f>
        <v>0</v>
      </c>
      <c r="G9" s="1577"/>
      <c r="H9" s="2452"/>
      <c r="I9" s="3483"/>
      <c r="J9" s="787"/>
      <c r="K9" s="788"/>
      <c r="L9" s="783" t="s">
        <v>1739</v>
      </c>
      <c r="M9" s="784">
        <f ca="1">F9</f>
        <v>0</v>
      </c>
    </row>
    <row r="10" spans="1:25" ht="18" customHeight="1">
      <c r="A10" s="2456"/>
      <c r="B10" s="3484"/>
      <c r="C10" s="1810"/>
      <c r="D10" s="1807"/>
      <c r="E10" s="61" t="s">
        <v>639</v>
      </c>
      <c r="F10" s="784">
        <f ca="1">INDIRECT("'数据-取费表'!ai"&amp;$G$1)</f>
        <v>0</v>
      </c>
      <c r="G10" s="1577"/>
      <c r="H10" s="2452"/>
      <c r="I10" s="3484"/>
      <c r="J10" s="787"/>
      <c r="K10" s="788"/>
      <c r="L10" s="783" t="s">
        <v>1740</v>
      </c>
      <c r="M10" s="784">
        <f ca="1">INDIRECT("'数据-取费表'!ai"&amp;$G$1)</f>
        <v>0</v>
      </c>
    </row>
    <row r="11" spans="1:25" ht="18" customHeight="1">
      <c r="A11" s="785"/>
      <c r="B11" s="3485"/>
      <c r="C11" s="1810"/>
      <c r="D11" s="1807"/>
      <c r="E11" s="61" t="s">
        <v>640</v>
      </c>
      <c r="F11" s="793">
        <f ca="1">INDIRECT("'数据-取费表'!w"&amp;$G$1)</f>
        <v>0</v>
      </c>
      <c r="G11" s="1577"/>
      <c r="H11" s="2468"/>
      <c r="I11" s="3484"/>
      <c r="J11" s="787"/>
      <c r="K11" s="788"/>
      <c r="L11" s="794" t="s">
        <v>1741</v>
      </c>
      <c r="M11" s="795">
        <f ca="1">INDIRECT("'数据-取费表'!ab"&amp;$G$1)</f>
        <v>0</v>
      </c>
    </row>
    <row r="12" spans="1:25" ht="18" customHeight="1">
      <c r="A12" s="1814" t="s">
        <v>1825</v>
      </c>
      <c r="B12" s="2457" t="s">
        <v>2459</v>
      </c>
      <c r="C12" s="798">
        <f ca="1">ROUND(IF(F12="押一",C8/12*F13,IF(F12="押二",C8/12*2*F13,IF(F12="押三",C8/12*3*F13,C13*F13))),0)</f>
        <v>0</v>
      </c>
      <c r="D12" s="2464" t="s">
        <v>2975</v>
      </c>
      <c r="E12" s="2461" t="s">
        <v>2464</v>
      </c>
      <c r="F12" s="2584"/>
      <c r="G12" s="1577"/>
      <c r="H12" s="2524" t="s">
        <v>1825</v>
      </c>
      <c r="I12" s="2529" t="s">
        <v>2459</v>
      </c>
      <c r="J12" s="782">
        <f ca="1">ROUND(IF(M12="押一",J8/12*M13,IF(M12="押二",J8/12*2*M13,IF(M12="押三",J8/12*3*M13,J13*M13))),0)</f>
        <v>0</v>
      </c>
      <c r="K12" s="2464" t="s">
        <v>2975</v>
      </c>
      <c r="L12" s="2461" t="s">
        <v>2464</v>
      </c>
      <c r="M12" s="2584"/>
    </row>
    <row r="13" spans="1:25" ht="18" customHeight="1">
      <c r="A13" s="789"/>
      <c r="B13" s="2458" t="s">
        <v>2573</v>
      </c>
      <c r="C13" s="2462"/>
      <c r="D13" s="788"/>
      <c r="E13" s="2461" t="s">
        <v>2456</v>
      </c>
      <c r="F13" s="795">
        <f ca="1">'数据-取费表'!B39</f>
        <v>1.4999999999999999E-2</v>
      </c>
      <c r="G13" s="1577"/>
      <c r="H13" s="2525"/>
      <c r="I13" s="2458" t="s">
        <v>2573</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2825</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150</v>
      </c>
      <c r="G19" s="1578"/>
      <c r="H19" s="802" t="s">
        <v>2069</v>
      </c>
      <c r="I19" s="783" t="s">
        <v>656</v>
      </c>
      <c r="J19" s="53">
        <f ca="1">ROUND(IF(项目基本情况!B11="自然人",J8*M19/(1+'数据-取费表'!C42),J20+J21+J22),0)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ROUND(J8*M20/(1+'数据-取费表'!C42),1)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0.02</v>
      </c>
      <c r="G22" s="1578"/>
      <c r="H22" s="1816" t="s">
        <v>1850</v>
      </c>
      <c r="I22" s="1806" t="s">
        <v>668</v>
      </c>
      <c r="J22" s="54">
        <f ca="1">ROUND(M22*M23/10000,0)</f>
        <v>0</v>
      </c>
      <c r="K22" s="813" t="s">
        <v>669</v>
      </c>
      <c r="L22" s="783" t="s">
        <v>670</v>
      </c>
      <c r="M22" s="639">
        <f>'数据-取费表'!B52</f>
        <v>5</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0.02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3</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1.4E-3</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2" t="s">
        <v>2822</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5.5E-2</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2823</v>
      </c>
      <c r="C31" s="2507">
        <f ca="1">ROUND((C21+C22+C25+C28)/(1-F23-C26-C29-C30),0)</f>
        <v>0</v>
      </c>
      <c r="D31" s="2508"/>
      <c r="E31" s="2509"/>
      <c r="F31" s="2510"/>
      <c r="G31" s="1578"/>
      <c r="H31" s="822" t="s">
        <v>1872</v>
      </c>
      <c r="I31" s="2963" t="s">
        <v>2824</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ROUND(IF(项目基本情况!B11="自然人",C8*F33/(1+'数据-取费表'!C42),C34+C35+C36),1)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ROUND(C8*F34/(1+'数据-取费表'!C42),1)</f>
        <v>0</v>
      </c>
      <c r="D34" s="1961" t="s">
        <v>661</v>
      </c>
      <c r="E34" s="783" t="s">
        <v>649</v>
      </c>
      <c r="F34" s="808">
        <f>'数据-取费表'!B41</f>
        <v>5.5000000000000007E-2</v>
      </c>
      <c r="G34" s="2046"/>
      <c r="H34" s="2055"/>
      <c r="I34" s="2056"/>
      <c r="J34" s="2057"/>
      <c r="K34" s="2058"/>
      <c r="L34" s="2059"/>
      <c r="M34" s="2060"/>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5</v>
      </c>
      <c r="G36" s="2046"/>
      <c r="H36" s="2049"/>
      <c r="I36" s="3481"/>
      <c r="J36" s="2063"/>
      <c r="K36" s="2064"/>
      <c r="L36" s="2063"/>
      <c r="M36" s="2063"/>
    </row>
    <row r="37" spans="1:18" ht="18" customHeight="1">
      <c r="A37" s="814"/>
      <c r="B37" s="792"/>
      <c r="C37" s="69"/>
      <c r="D37" s="815"/>
      <c r="E37" s="783" t="s">
        <v>674</v>
      </c>
      <c r="F37" s="784">
        <f ca="1">INDIRECT("'数据-取费表'!r"&amp;$G$1)</f>
        <v>0</v>
      </c>
      <c r="G37" s="2046"/>
      <c r="H37" s="2049"/>
      <c r="I37" s="3481"/>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70" t="s">
        <v>2963</v>
      </c>
      <c r="F43" s="3071">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6">
        <f ca="1">ROUND(-PV(F45,F46,C44,0),0)</f>
        <v>0</v>
      </c>
      <c r="D45" s="1353" t="s">
        <v>716</v>
      </c>
      <c r="E45" s="805" t="s">
        <v>717</v>
      </c>
      <c r="F45" s="829">
        <f ca="1">INDIRECT("'数据-取费表'!h"&amp;$G$1)</f>
        <v>4.4999999999999998E-2</v>
      </c>
      <c r="G45" s="2046"/>
      <c r="H45" s="2046"/>
      <c r="I45" s="2046"/>
      <c r="J45" s="2046"/>
      <c r="K45" s="2067"/>
      <c r="L45" s="2046"/>
      <c r="M45" s="2046"/>
    </row>
    <row r="46" spans="1:18" ht="18" customHeight="1" thickBot="1">
      <c r="A46" s="830"/>
      <c r="B46" s="1354"/>
      <c r="C46" s="1355"/>
      <c r="D46" s="1356"/>
      <c r="E46" s="3072" t="s">
        <v>2966</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4" t="str">
        <f ca="1">IF(M48="住宅",0,IF(L49&gt;J52,L61,J61))</f>
        <v>0</v>
      </c>
      <c r="O47" s="2357" t="s">
        <v>2410</v>
      </c>
      <c r="P47" s="1577"/>
      <c r="Q47" s="1588"/>
      <c r="R47" s="1577"/>
    </row>
    <row r="48" spans="1:18" s="2043" customFormat="1" ht="18" customHeight="1" thickBot="1">
      <c r="A48" s="2068"/>
      <c r="C48" s="2071"/>
      <c r="D48" s="2072"/>
      <c r="E48" s="2072"/>
      <c r="F48" s="2073"/>
      <c r="G48" s="2074"/>
      <c r="I48" s="3095" t="s">
        <v>2344</v>
      </c>
      <c r="J48" s="2344"/>
      <c r="K48" s="3101" t="s">
        <v>2349</v>
      </c>
      <c r="L48" s="3105">
        <f ca="1">INDIRECT("'数据-取费表'!d"&amp;$G$1)</f>
        <v>50</v>
      </c>
      <c r="M48" s="3069"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4" t="s">
        <v>2345</v>
      </c>
      <c r="J49" s="2345"/>
      <c r="K49" s="3102"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4" t="s">
        <v>2346</v>
      </c>
      <c r="J50" s="2346"/>
      <c r="K50" s="3103"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4" t="s">
        <v>2347</v>
      </c>
      <c r="J51" s="3099">
        <f>SUMPRODUCT((I64:I66=J48)*(J63:L63=J49)*(J64:L66))</f>
        <v>0</v>
      </c>
      <c r="K51" s="3103" t="s">
        <v>2353</v>
      </c>
      <c r="L51" s="2347"/>
      <c r="O51" s="2364" t="s">
        <v>2383</v>
      </c>
      <c r="P51" s="2362" t="s">
        <v>2407</v>
      </c>
      <c r="Q51" s="2363">
        <f ca="1">C31</f>
        <v>0</v>
      </c>
      <c r="R51" s="2362" t="s">
        <v>2380</v>
      </c>
    </row>
    <row r="52" spans="1:18" s="2043" customFormat="1" ht="18" customHeight="1" thickBot="1">
      <c r="A52" s="2080"/>
      <c r="F52" s="2069"/>
      <c r="I52" s="3096" t="s">
        <v>2348</v>
      </c>
      <c r="J52" s="3100">
        <f>IF(J50="",J51,J50+J51-YEAR('数据-取费表'!B3))</f>
        <v>0</v>
      </c>
      <c r="K52" s="3074" t="s">
        <v>2354</v>
      </c>
      <c r="L52" s="3106">
        <f ca="1">ROUND(-PV(INDIRECT("'数据-取费表'!h"&amp;$G$1),L49,(C40-C14*J36),0),0)</f>
        <v>0</v>
      </c>
      <c r="O52" s="2364" t="s">
        <v>2384</v>
      </c>
      <c r="P52" s="2362" t="s">
        <v>2385</v>
      </c>
      <c r="Q52" s="2365" t="e">
        <f ca="1">J59</f>
        <v>#VALUE!</v>
      </c>
      <c r="R52" s="2366"/>
    </row>
    <row r="53" spans="1:18" s="2043" customFormat="1" ht="18" customHeight="1" thickBot="1">
      <c r="A53" s="2080"/>
      <c r="F53" s="2069"/>
      <c r="I53" s="3097" t="s">
        <v>2421</v>
      </c>
      <c r="J53" s="2348"/>
      <c r="K53" s="3097" t="s">
        <v>2420</v>
      </c>
      <c r="L53" s="2348"/>
      <c r="O53" s="2364" t="s">
        <v>2386</v>
      </c>
      <c r="P53" s="2362" t="s">
        <v>2387</v>
      </c>
      <c r="Q53" s="2365">
        <f>J53</f>
        <v>0</v>
      </c>
      <c r="R53" s="2366"/>
    </row>
    <row r="54" spans="1:18" s="2043" customFormat="1" ht="29.25" thickBot="1">
      <c r="A54" s="2080"/>
      <c r="I54" s="3098" t="s">
        <v>2979</v>
      </c>
      <c r="J54" s="3177">
        <f ca="1">IF(M48="住宅",MAX(J52,L49-'数据-取费表'!B20),MIN(J52,L49-'数据-取费表'!B20))</f>
        <v>-3</v>
      </c>
      <c r="K54" s="3486"/>
      <c r="L54" s="3487"/>
      <c r="O54" s="2364" t="s">
        <v>2388</v>
      </c>
      <c r="P54" s="2362" t="s">
        <v>2389</v>
      </c>
      <c r="Q54" s="2363">
        <f ca="1">J54</f>
        <v>-3</v>
      </c>
      <c r="R54" s="2362" t="s">
        <v>2390</v>
      </c>
    </row>
    <row r="55" spans="1:18" s="2043" customFormat="1" ht="18" customHeight="1" thickBot="1">
      <c r="A55" s="2080"/>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61" t="s">
        <v>2391</v>
      </c>
      <c r="P55" s="2362" t="s">
        <v>2408</v>
      </c>
      <c r="Q55" s="2363">
        <f ca="1">Q49+Q50</f>
        <v>0</v>
      </c>
      <c r="R55" s="2366" t="s">
        <v>2392</v>
      </c>
    </row>
    <row r="56" spans="1:18" s="2043" customFormat="1" ht="16.5" thickBot="1">
      <c r="A56" s="2080"/>
      <c r="B56" s="2081"/>
      <c r="C56" s="2081"/>
      <c r="I56" s="3109" t="s">
        <v>2355</v>
      </c>
      <c r="J56" s="3049" t="e">
        <f ca="1">ROUND(IF(J48="钢混",J58/J51,1-(1-2%)*(J51-J58)/J51),3)</f>
        <v>#VALUE!</v>
      </c>
      <c r="K56" s="3110" t="s">
        <v>2356</v>
      </c>
      <c r="L56" s="2349"/>
      <c r="O56" s="2367" t="s">
        <v>2411</v>
      </c>
      <c r="P56" s="1577"/>
      <c r="Q56" s="1588"/>
      <c r="R56" s="1577"/>
    </row>
    <row r="57" spans="1:18" s="2043" customFormat="1" ht="43.5" thickBot="1">
      <c r="A57" s="2080"/>
      <c r="B57" s="2081"/>
      <c r="C57" s="2081"/>
      <c r="I57" s="3111" t="s">
        <v>2357</v>
      </c>
      <c r="J57" s="3121" t="s">
        <v>1678</v>
      </c>
      <c r="K57" s="3074" t="s">
        <v>2362</v>
      </c>
      <c r="L57" s="1892">
        <f ca="1">IF(L49&lt;J52,"——",L49-J52)</f>
        <v>0</v>
      </c>
      <c r="O57" s="2358" t="s">
        <v>2375</v>
      </c>
      <c r="P57" s="2359" t="s">
        <v>2376</v>
      </c>
      <c r="Q57" s="2360" t="s">
        <v>2377</v>
      </c>
      <c r="R57" s="2359" t="s">
        <v>2378</v>
      </c>
    </row>
    <row r="58" spans="1:18" s="2043" customFormat="1" ht="29.25" thickBot="1">
      <c r="A58" s="2080"/>
      <c r="B58" s="2081"/>
      <c r="C58" s="2081"/>
      <c r="I58" s="3112" t="s">
        <v>2358</v>
      </c>
      <c r="J58" s="3113" t="str">
        <f ca="1">IF(OR(M48="住宅",J52&lt;L49,J57="是"),"——",J52-L49)</f>
        <v>——</v>
      </c>
      <c r="K58" s="3074"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12" t="s">
        <v>2359</v>
      </c>
      <c r="J59" s="3050" t="e">
        <f ca="1">IF(J56&lt;0.4,0.4,J56)</f>
        <v>#VALUE!</v>
      </c>
      <c r="K59" s="3074"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12" t="s">
        <v>2360</v>
      </c>
      <c r="J60" s="3113" t="str">
        <f ca="1">IF(OR(M48="住宅",J52&lt;L49,J57="是"),"——",ROUND(C30*J59,0))</f>
        <v>——</v>
      </c>
      <c r="K60" s="3074"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4" t="s">
        <v>2361</v>
      </c>
      <c r="J61" s="3115" t="str">
        <f ca="1">IF(OR(M48="住宅",J52&lt;L49,J57="是"),"0",ROUND(J60/(1+J53)^J54,0))</f>
        <v>0</v>
      </c>
      <c r="K61" s="3116" t="s">
        <v>2366</v>
      </c>
      <c r="L61" s="3115"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17" t="s">
        <v>2367</v>
      </c>
      <c r="J63" s="3118" t="s">
        <v>2368</v>
      </c>
      <c r="K63" s="3118" t="s">
        <v>2369</v>
      </c>
      <c r="L63" s="3118" t="s">
        <v>2350</v>
      </c>
      <c r="M63" s="3119" t="s">
        <v>2944</v>
      </c>
      <c r="O63" s="2364" t="s">
        <v>2388</v>
      </c>
      <c r="P63" s="2362" t="s">
        <v>2396</v>
      </c>
      <c r="Q63" s="2363">
        <f ca="1">L60</f>
        <v>0</v>
      </c>
      <c r="R63" s="2366" t="s">
        <v>2397</v>
      </c>
    </row>
    <row r="64" spans="1:18" s="2043" customFormat="1" ht="15.75" thickBot="1">
      <c r="A64" s="2080"/>
      <c r="B64" s="2081"/>
      <c r="C64" s="2081"/>
      <c r="I64" s="3117" t="s">
        <v>2370</v>
      </c>
      <c r="J64" s="3118">
        <v>70</v>
      </c>
      <c r="K64" s="3118">
        <v>50</v>
      </c>
      <c r="L64" s="3118">
        <v>80</v>
      </c>
      <c r="M64" s="3120">
        <v>0.02</v>
      </c>
      <c r="O64" s="2361" t="s">
        <v>2391</v>
      </c>
      <c r="P64" s="2362" t="s">
        <v>2408</v>
      </c>
      <c r="Q64" s="2363" t="e">
        <f ca="1">Q58+Q59</f>
        <v>#DIV/0!</v>
      </c>
      <c r="R64" s="2366" t="s">
        <v>2392</v>
      </c>
    </row>
    <row r="65" spans="1:18" s="2043" customFormat="1" ht="16.5" thickBot="1">
      <c r="A65" s="2080"/>
      <c r="B65" s="2081"/>
      <c r="C65" s="2081"/>
      <c r="I65" s="3117" t="s">
        <v>2371</v>
      </c>
      <c r="J65" s="3118">
        <v>50</v>
      </c>
      <c r="K65" s="3118">
        <v>35</v>
      </c>
      <c r="L65" s="3118">
        <v>60</v>
      </c>
      <c r="M65" s="845">
        <v>0</v>
      </c>
      <c r="O65" s="2367" t="s">
        <v>2415</v>
      </c>
      <c r="P65" s="1577"/>
      <c r="Q65" s="1588"/>
      <c r="R65" s="1577"/>
    </row>
    <row r="66" spans="1:18" s="2043" customFormat="1" ht="15.75" thickBot="1">
      <c r="A66" s="2080"/>
      <c r="B66" s="2081"/>
      <c r="C66" s="2081"/>
      <c r="I66" s="3117" t="s">
        <v>2372</v>
      </c>
      <c r="J66" s="3118">
        <v>40</v>
      </c>
      <c r="K66" s="3118">
        <v>30</v>
      </c>
      <c r="L66" s="3118">
        <v>50</v>
      </c>
      <c r="M66" s="3120">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12" sqref="I11:I1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3004</v>
      </c>
      <c r="D1" s="3073" t="s">
        <v>952</v>
      </c>
      <c r="E1" s="2350" t="s">
        <v>2374</v>
      </c>
      <c r="F1" s="2351">
        <f ca="1">J53</f>
        <v>36.58</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16839</v>
      </c>
      <c r="C2" s="2041"/>
      <c r="D2" s="2039"/>
      <c r="E2" s="2040"/>
      <c r="F2" s="2040"/>
      <c r="G2" s="1575"/>
      <c r="H2" s="2041"/>
      <c r="I2" s="2041"/>
      <c r="J2" s="2041"/>
      <c r="K2" s="2042"/>
      <c r="L2" s="2041"/>
      <c r="M2" s="2041"/>
    </row>
    <row r="3" spans="1:33" ht="18" customHeight="1" thickBot="1">
      <c r="A3" s="832" t="s">
        <v>1727</v>
      </c>
      <c r="B3" s="833">
        <f ca="1">IF(ISERROR(B2*10000/F43),0,ROUND(B2*10000/F43,0))</f>
        <v>17819</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f ca="1">C6+C10+C12</f>
        <v>932</v>
      </c>
      <c r="D5" s="2459" t="s">
        <v>2461</v>
      </c>
      <c r="E5" s="2453"/>
      <c r="F5" s="2454"/>
      <c r="G5" s="1577"/>
      <c r="H5" s="780">
        <v>1</v>
      </c>
      <c r="I5" s="781" t="s">
        <v>2458</v>
      </c>
      <c r="J5" s="55">
        <f ca="1">J6+J10+J12</f>
        <v>0</v>
      </c>
      <c r="K5" s="2459" t="s">
        <v>2461</v>
      </c>
      <c r="L5" s="2453"/>
      <c r="M5" s="2454"/>
    </row>
    <row r="6" spans="1:33" ht="18" customHeight="1">
      <c r="A6" s="1814" t="s">
        <v>1824</v>
      </c>
      <c r="B6" s="3482" t="s">
        <v>2463</v>
      </c>
      <c r="C6" s="782">
        <f ca="1">ROUND(F6*F8*F7*(1-F9)/10000,0)</f>
        <v>931</v>
      </c>
      <c r="D6" s="2460" t="s">
        <v>2462</v>
      </c>
      <c r="E6" s="783" t="s">
        <v>1738</v>
      </c>
      <c r="F6" s="784">
        <f ca="1">INDIRECT("'数据-取费表'!u"&amp;$G$1)</f>
        <v>3</v>
      </c>
      <c r="G6" s="1577"/>
      <c r="H6" s="2467" t="s">
        <v>2468</v>
      </c>
      <c r="I6" s="3482" t="s">
        <v>2463</v>
      </c>
      <c r="J6" s="782">
        <f ca="1">ROUND(M6*M8*M7*(1-M9)/10000,0)</f>
        <v>0</v>
      </c>
      <c r="K6" s="340" t="s">
        <v>1737</v>
      </c>
      <c r="L6" s="783" t="s">
        <v>1738</v>
      </c>
      <c r="M6" s="784">
        <f ca="1">INDIRECT("'数据-取费表'!z"&amp;$G$1)</f>
        <v>0</v>
      </c>
    </row>
    <row r="7" spans="1:33" ht="18" customHeight="1">
      <c r="A7" s="2463"/>
      <c r="B7" s="3483"/>
      <c r="C7" s="787"/>
      <c r="D7" s="788"/>
      <c r="E7" s="783" t="s">
        <v>1739</v>
      </c>
      <c r="F7" s="784">
        <f ca="1">IF(INDIRECT("'数据-取费表'!ah"&amp;$G$1)="",INDIRECT("'数据-取费表'!k"&amp;$G$1),INDIRECT("'数据-取费表'!ah"&amp;$G$1))</f>
        <v>9450</v>
      </c>
      <c r="G7" s="1577"/>
      <c r="H7" s="2452"/>
      <c r="I7" s="3483"/>
      <c r="J7" s="787"/>
      <c r="K7" s="788"/>
      <c r="L7" s="783" t="s">
        <v>1739</v>
      </c>
      <c r="M7" s="784">
        <f ca="1">F7</f>
        <v>9450</v>
      </c>
    </row>
    <row r="8" spans="1:33" ht="18" customHeight="1">
      <c r="A8" s="2456"/>
      <c r="B8" s="3484"/>
      <c r="C8" s="787"/>
      <c r="D8" s="788"/>
      <c r="E8" s="783" t="s">
        <v>1740</v>
      </c>
      <c r="F8" s="784">
        <f ca="1">INDIRECT("'数据-取费表'!ai"&amp;$G$1)</f>
        <v>365</v>
      </c>
      <c r="G8" s="1577"/>
      <c r="H8" s="2452"/>
      <c r="I8" s="3484"/>
      <c r="J8" s="787"/>
      <c r="K8" s="788"/>
      <c r="L8" s="783" t="s">
        <v>1740</v>
      </c>
      <c r="M8" s="784">
        <f ca="1">INDIRECT("'数据-取费表'!ai"&amp;$G$1)</f>
        <v>365</v>
      </c>
    </row>
    <row r="9" spans="1:33" ht="18" customHeight="1">
      <c r="A9" s="785"/>
      <c r="B9" s="3485"/>
      <c r="C9" s="787"/>
      <c r="D9" s="788"/>
      <c r="E9" s="783" t="s">
        <v>1741</v>
      </c>
      <c r="F9" s="793">
        <f ca="1">INDIRECT("'数据-取费表'!w"&amp;$G$1)</f>
        <v>0.1</v>
      </c>
      <c r="G9" s="1577"/>
      <c r="H9" s="2468"/>
      <c r="I9" s="3484"/>
      <c r="J9" s="787"/>
      <c r="K9" s="788"/>
      <c r="L9" s="794" t="s">
        <v>1741</v>
      </c>
      <c r="M9" s="795">
        <f ca="1">INDIRECT("'数据-取费表'!ab"&amp;$G$1)</f>
        <v>0</v>
      </c>
    </row>
    <row r="10" spans="1:33" ht="18" customHeight="1">
      <c r="A10" s="1814" t="s">
        <v>2466</v>
      </c>
      <c r="B10" s="2457" t="s">
        <v>2459</v>
      </c>
      <c r="C10" s="798">
        <f ca="1">ROUND(IF(F10="押一",C6/12*F11,IF(F10="押二",C6/12*2*F11,IF(F10="押三",C6/12*3*F11,C11*F11))),0)</f>
        <v>1</v>
      </c>
      <c r="D10" s="2464" t="s">
        <v>2975</v>
      </c>
      <c r="E10" s="2461" t="s">
        <v>2464</v>
      </c>
      <c r="F10" s="2584" t="s">
        <v>3170</v>
      </c>
      <c r="G10" s="1577"/>
      <c r="H10" s="2524" t="s">
        <v>2469</v>
      </c>
      <c r="I10" s="2529" t="s">
        <v>2459</v>
      </c>
      <c r="J10" s="782">
        <f ca="1">ROUND(IF(M10="押一",J6/12*M11,IF(M10="押二",J6/12*2*M11,IF(M10="押三",J6/12*3*M11,J11*M11))),0)</f>
        <v>0</v>
      </c>
      <c r="K10" s="2464" t="s">
        <v>2975</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1">
        <f ca="1">ROUND(C29*F13,0)</f>
        <v>0</v>
      </c>
      <c r="D13" s="1818" t="s">
        <v>2297</v>
      </c>
      <c r="E13" s="1818" t="s">
        <v>1744</v>
      </c>
      <c r="F13" s="2499">
        <f ca="1">INDIRECT("'数据-取费表'!y"&amp;$G$1)</f>
        <v>0</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2090</v>
      </c>
      <c r="D14" s="1963" t="s">
        <v>1745</v>
      </c>
      <c r="E14" s="1964"/>
      <c r="F14" s="804"/>
      <c r="G14" s="1577"/>
      <c r="H14" s="1633" t="s">
        <v>1830</v>
      </c>
      <c r="I14" s="2215" t="s">
        <v>2826</v>
      </c>
      <c r="J14" s="53">
        <f ca="1">C29</f>
        <v>3142</v>
      </c>
      <c r="K14" s="26"/>
      <c r="L14" s="800"/>
      <c r="M14" s="801"/>
    </row>
    <row r="15" spans="1:33" s="2048" customFormat="1" ht="18" customHeight="1" thickBot="1">
      <c r="A15" s="1632" t="s">
        <v>1885</v>
      </c>
      <c r="B15" s="783" t="s">
        <v>647</v>
      </c>
      <c r="C15" s="53">
        <f ca="1">ROUND(C14*F15,0)</f>
        <v>63</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312</v>
      </c>
      <c r="K16" s="1805" t="s">
        <v>1750</v>
      </c>
      <c r="L16" s="2449"/>
      <c r="M16" s="2454"/>
    </row>
    <row r="17" spans="1:33" s="2048" customFormat="1" ht="18" customHeight="1">
      <c r="A17" s="1632" t="s">
        <v>1887</v>
      </c>
      <c r="B17" s="783" t="s">
        <v>653</v>
      </c>
      <c r="C17" s="53">
        <f ca="1">ROUND(F17*(F43+INDIRECT("'数据-取费表'!S"&amp;$G$1))/10000,0)</f>
        <v>143</v>
      </c>
      <c r="D17" s="783" t="s">
        <v>1751</v>
      </c>
      <c r="E17" s="783" t="s">
        <v>1752</v>
      </c>
      <c r="F17" s="56">
        <f>'数据-取费表'!B35</f>
        <v>150</v>
      </c>
      <c r="G17" s="1578"/>
      <c r="H17" s="1633" t="s">
        <v>1830</v>
      </c>
      <c r="I17" s="783" t="s">
        <v>656</v>
      </c>
      <c r="J17" s="53">
        <f ca="1">ROUND(IF(项目基本情况!B11="自然人",J6*M17/(1+'数据-取费表'!C42),J18+J19+J20),0)</f>
        <v>265</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31</v>
      </c>
      <c r="D18" s="783" t="s">
        <v>1746</v>
      </c>
      <c r="E18" s="783" t="s">
        <v>1747</v>
      </c>
      <c r="F18" s="808">
        <f>'数据-取费表'!B36</f>
        <v>1.4999999999999999E-2</v>
      </c>
      <c r="G18" s="1578"/>
      <c r="H18" s="1632" t="s">
        <v>1884</v>
      </c>
      <c r="I18" s="783" t="s">
        <v>1755</v>
      </c>
      <c r="J18" s="53">
        <f ca="1">ROUND(J6*M18/(1+'数据-取费表'!C42),1)</f>
        <v>0</v>
      </c>
      <c r="K18" s="2447" t="s">
        <v>1756</v>
      </c>
      <c r="L18" s="783" t="s">
        <v>1747</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2327</v>
      </c>
      <c r="D19" s="260" t="s">
        <v>1757</v>
      </c>
      <c r="E19" s="1966"/>
      <c r="F19" s="56"/>
      <c r="G19" s="1577"/>
      <c r="H19" s="1632" t="s">
        <v>1885</v>
      </c>
      <c r="I19" s="783" t="s">
        <v>1758</v>
      </c>
      <c r="J19" s="53">
        <f ca="1">IF(K19="按租金收入计税",ROUND(J6*M19/(1+'数据-取费表'!C42),1),ROUND(C29*F33*0.7,1))</f>
        <v>263.89999999999998</v>
      </c>
      <c r="K19" s="810" t="s">
        <v>665</v>
      </c>
      <c r="L19" s="783" t="s">
        <v>1747</v>
      </c>
      <c r="M19" s="808">
        <f>IF(K19="按租金收入计税",'数据-取费表'!B51,'数据-取费表'!B50)</f>
        <v>1.2E-2</v>
      </c>
    </row>
    <row r="20" spans="1:33" s="2048" customFormat="1" ht="18" customHeight="1">
      <c r="A20" s="1633" t="s">
        <v>1889</v>
      </c>
      <c r="B20" s="783" t="s">
        <v>666</v>
      </c>
      <c r="C20" s="53">
        <f ca="1">ROUND(C19*F20,0)</f>
        <v>47</v>
      </c>
      <c r="D20" s="811" t="s">
        <v>1759</v>
      </c>
      <c r="E20" s="783" t="s">
        <v>1747</v>
      </c>
      <c r="F20" s="808">
        <f>'数据-取费表'!B37</f>
        <v>0.02</v>
      </c>
      <c r="G20" s="1578"/>
      <c r="H20" s="1635" t="s">
        <v>1880</v>
      </c>
      <c r="I20" s="340" t="s">
        <v>1760</v>
      </c>
      <c r="J20" s="54">
        <f ca="1">ROUND(M20*M21/10000,0)</f>
        <v>1</v>
      </c>
      <c r="K20" s="813" t="s">
        <v>1761</v>
      </c>
      <c r="L20" s="783" t="s">
        <v>1762</v>
      </c>
      <c r="M20" s="639">
        <f>'数据-取费表'!B52</f>
        <v>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0.02</v>
      </c>
      <c r="G21" s="1578"/>
      <c r="H21" s="2469"/>
      <c r="I21" s="792"/>
      <c r="J21" s="69"/>
      <c r="K21" s="815"/>
      <c r="L21" s="783" t="s">
        <v>1766</v>
      </c>
      <c r="M21" s="784">
        <f ca="1">INDIRECT("'数据-取费表'!r"&amp;$G$1)</f>
        <v>2864.37</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47</v>
      </c>
      <c r="K22" s="2447" t="s">
        <v>1769</v>
      </c>
      <c r="L22" s="783" t="s">
        <v>1747</v>
      </c>
      <c r="M22" s="816">
        <f ca="1">INDIRECT("'数据-取费表'!Ak"&amp;$G$1)</f>
        <v>1.4999999999999999E-2</v>
      </c>
    </row>
    <row r="23" spans="1:33" s="2048" customFormat="1" ht="18" customHeight="1">
      <c r="A23" s="1632" t="s">
        <v>1831</v>
      </c>
      <c r="B23" s="783" t="s">
        <v>2535</v>
      </c>
      <c r="C23" s="53">
        <f ca="1">ROUND(IF('数据-取费表'!B22&lt;=1,(C19+C20)*F24*F23/2,(C19+C20)*(POWER((1+F24),F23/2)-1)),0)</f>
        <v>171</v>
      </c>
      <c r="D23" s="2534" t="str">
        <f>IF(F23&lt;=1,"(建造成本+管理费用)×利率×(建设周期÷2)","(建造成本+管理费用)×((1+利率)^(建设周期÷2)-1)")</f>
        <v>(建造成本+管理费用)×((1+利率)^(建设周期÷2)-1)</v>
      </c>
      <c r="E23" s="783" t="s">
        <v>1770</v>
      </c>
      <c r="F23" s="639">
        <f>'数据-取费表'!B20</f>
        <v>3</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1.4E-3</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1" t="s">
        <v>2822</v>
      </c>
      <c r="J25" s="791">
        <f ca="1">J5-J16</f>
        <v>-312</v>
      </c>
      <c r="K25" s="2511" t="s">
        <v>1777</v>
      </c>
      <c r="L25" s="2512"/>
      <c r="M25" s="2513"/>
    </row>
    <row r="26" spans="1:33" ht="18" customHeight="1">
      <c r="A26" s="1632" t="s">
        <v>1831</v>
      </c>
      <c r="B26" s="783" t="s">
        <v>2438</v>
      </c>
      <c r="C26" s="53">
        <f ca="1">ROUND((C19+C20)*F26,0)</f>
        <v>356</v>
      </c>
      <c r="D26" s="811" t="s">
        <v>1778</v>
      </c>
      <c r="E26" s="794" t="s">
        <v>1779</v>
      </c>
      <c r="F26" s="793">
        <f ca="1">INDIRECT("'数据-取费表'!q"&amp;$G$1)</f>
        <v>0.15</v>
      </c>
      <c r="G26" s="1577"/>
      <c r="H26" s="2465" t="s">
        <v>1780</v>
      </c>
      <c r="I26" s="2216" t="s">
        <v>2827</v>
      </c>
      <c r="J26" s="782">
        <f ca="1">IF(J5&lt;&gt;0,ROUND(J25*(1-((1+M28)/(1+M26))^M27)/(M26-M28),0),0)</f>
        <v>0</v>
      </c>
      <c r="K26" s="813" t="s">
        <v>1781</v>
      </c>
      <c r="L26" s="783" t="s">
        <v>2419</v>
      </c>
      <c r="M26" s="793">
        <f ca="1">INDIRECT("'数据-取费表'!I"&amp;$G$1)</f>
        <v>0.06</v>
      </c>
    </row>
    <row r="27" spans="1:33" ht="18" customHeight="1">
      <c r="A27" s="1632" t="s">
        <v>1832</v>
      </c>
      <c r="B27" s="783" t="s">
        <v>686</v>
      </c>
      <c r="C27" s="53">
        <f ca="1">ROUND(F21*F26,4)</f>
        <v>3.0000000000000001E-3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5.2400000000000002E-2</v>
      </c>
      <c r="D28" s="811" t="s">
        <v>2299</v>
      </c>
      <c r="E28" s="783" t="s">
        <v>1785</v>
      </c>
      <c r="F28" s="808">
        <f>'数据-取费表'!B41</f>
        <v>5.5000000000000007E-2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3142</v>
      </c>
      <c r="D29" s="2508"/>
      <c r="E29" s="2509"/>
      <c r="F29" s="2510"/>
      <c r="G29" s="1578"/>
      <c r="H29" s="822" t="s">
        <v>1787</v>
      </c>
      <c r="I29" s="823" t="s">
        <v>1788</v>
      </c>
      <c r="J29" s="824">
        <f ca="1">ROUND(J26/(1+F40)^F41,0)</f>
        <v>0</v>
      </c>
      <c r="K29" s="825" t="s">
        <v>1789</v>
      </c>
      <c r="L29" s="826"/>
      <c r="M29" s="827">
        <f ca="1">INDIRECT("'数据-取费表'!k"&amp;$G$1)</f>
        <v>9450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213</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156.6</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ROUND(C6*F32/(1+'数据-取费表'!C42),1)</f>
        <v>48.8</v>
      </c>
      <c r="D32" s="1961" t="s">
        <v>1795</v>
      </c>
      <c r="E32" s="783" t="s">
        <v>1796</v>
      </c>
      <c r="F32" s="808">
        <f>'数据-取费表'!B41</f>
        <v>5.5000000000000007E-2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106.4</v>
      </c>
      <c r="D33" s="810" t="s">
        <v>3051</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1.4</v>
      </c>
      <c r="D34" s="813" t="s">
        <v>1799</v>
      </c>
      <c r="E34" s="783" t="s">
        <v>1800</v>
      </c>
      <c r="F34" s="639">
        <f>'数据-取费表'!B52</f>
        <v>5</v>
      </c>
      <c r="G34" s="2046"/>
      <c r="H34" s="2049"/>
      <c r="I34" s="834" t="s">
        <v>1813</v>
      </c>
      <c r="J34" s="835"/>
      <c r="K34" s="2064"/>
      <c r="L34" s="2063"/>
      <c r="M34" s="2063"/>
    </row>
    <row r="35" spans="1:18" ht="18" customHeight="1">
      <c r="A35" s="814"/>
      <c r="B35" s="792"/>
      <c r="C35" s="69"/>
      <c r="D35" s="815"/>
      <c r="E35" s="783" t="s">
        <v>1801</v>
      </c>
      <c r="F35" s="784">
        <f ca="1">INDIRECT("'数据-取费表'!r"&amp;$G$1)</f>
        <v>2864.37</v>
      </c>
      <c r="G35" s="2046"/>
      <c r="H35" s="2049"/>
      <c r="I35" s="836" t="s">
        <v>1814</v>
      </c>
      <c r="J35" s="837">
        <f ca="1">ROUND(C13*J36,0)</f>
        <v>0</v>
      </c>
      <c r="K35" s="2062"/>
      <c r="L35" s="2061"/>
      <c r="M35" s="2061"/>
    </row>
    <row r="36" spans="1:18" ht="18" customHeight="1">
      <c r="A36" s="1633" t="s">
        <v>1889</v>
      </c>
      <c r="B36" s="783" t="s">
        <v>1802</v>
      </c>
      <c r="C36" s="53">
        <f ca="1">ROUND(C29*F36,1)</f>
        <v>47.1</v>
      </c>
      <c r="D36" s="1961" t="s">
        <v>1803</v>
      </c>
      <c r="E36" s="783" t="s">
        <v>1796</v>
      </c>
      <c r="F36" s="816">
        <f ca="1">INDIRECT("'数据-取费表'!Ak"&amp;$G$1)</f>
        <v>1.4999999999999999E-2</v>
      </c>
      <c r="G36" s="2046"/>
      <c r="H36" s="2061"/>
      <c r="I36" s="838" t="s">
        <v>1815</v>
      </c>
      <c r="J36" s="839">
        <f ca="1">INDIRECT("'数据-取费表'!j"&amp;$G$1)</f>
        <v>0</v>
      </c>
      <c r="K36" s="2066"/>
      <c r="L36" s="2061"/>
      <c r="M36" s="2061"/>
    </row>
    <row r="37" spans="1:18" ht="18" customHeight="1">
      <c r="A37" s="1633" t="s">
        <v>1890</v>
      </c>
      <c r="B37" s="783" t="s">
        <v>679</v>
      </c>
      <c r="C37" s="53">
        <f ca="1">ROUND(C13*F37,1)</f>
        <v>0</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9.3000000000000007</v>
      </c>
      <c r="D38" s="2508" t="s">
        <v>1805</v>
      </c>
      <c r="E38" s="2509" t="s">
        <v>1796</v>
      </c>
      <c r="F38" s="2505">
        <f ca="1">INDIRECT("'数据-取费表'!Am"&amp;$G$1)</f>
        <v>0.01</v>
      </c>
      <c r="G38" s="2046"/>
      <c r="H38" s="2061"/>
      <c r="I38" s="842" t="s">
        <v>1817</v>
      </c>
      <c r="J38" s="843"/>
      <c r="K38" s="2067"/>
      <c r="L38" s="2061"/>
      <c r="M38" s="2061"/>
    </row>
    <row r="39" spans="1:18" ht="24.6" customHeight="1" thickTop="1">
      <c r="A39" s="1813" t="s">
        <v>1894</v>
      </c>
      <c r="B39" s="2961" t="s">
        <v>2822</v>
      </c>
      <c r="C39" s="791">
        <f ca="1">C5-C30</f>
        <v>719</v>
      </c>
      <c r="D39" s="2511" t="s">
        <v>1806</v>
      </c>
      <c r="E39" s="2512"/>
      <c r="F39" s="2513"/>
      <c r="G39" s="2046"/>
      <c r="H39" s="2061"/>
      <c r="I39" s="836" t="s">
        <v>1818</v>
      </c>
      <c r="J39" s="844">
        <f ca="1">ROUND(J35/C39,3)</f>
        <v>0</v>
      </c>
      <c r="K39" s="2067"/>
      <c r="L39" s="2061"/>
      <c r="M39" s="2061"/>
    </row>
    <row r="40" spans="1:18" ht="18" customHeight="1">
      <c r="A40" s="780" t="s">
        <v>1895</v>
      </c>
      <c r="B40" s="2216" t="s">
        <v>2301</v>
      </c>
      <c r="C40" s="782">
        <f ca="1">ROUND(C39*(1-((1+F42)/(1+F40))^F41)/(F40-F42),0)</f>
        <v>15582</v>
      </c>
      <c r="D40" s="813" t="s">
        <v>1807</v>
      </c>
      <c r="E40" s="783" t="s">
        <v>2419</v>
      </c>
      <c r="F40" s="793">
        <f ca="1">INDIRECT("'数据-取费表'!I"&amp;$G$1)</f>
        <v>0.06</v>
      </c>
      <c r="G40" s="2046"/>
      <c r="H40" s="2046"/>
      <c r="I40" s="836" t="s">
        <v>1819</v>
      </c>
      <c r="J40" s="844">
        <f ca="1">1-J39</f>
        <v>1</v>
      </c>
      <c r="K40" s="2067"/>
      <c r="L40" s="2046"/>
      <c r="M40" s="2046"/>
    </row>
    <row r="41" spans="1:18" ht="18" customHeight="1">
      <c r="A41" s="785"/>
      <c r="B41" s="786"/>
      <c r="C41" s="787"/>
      <c r="D41" s="820" t="s">
        <v>1808</v>
      </c>
      <c r="E41" s="783" t="s">
        <v>2965</v>
      </c>
      <c r="F41" s="821">
        <f ca="1">IF(INDIRECT("'数据-取费表'!af"&amp;$G$1)=0,INDIRECT("'数据-取费表'!ae"&amp;$G$1),INDIRECT("'数据-取费表'!af"&amp;$G$1))</f>
        <v>36.58</v>
      </c>
      <c r="G41" s="2046"/>
      <c r="H41" s="1972"/>
      <c r="I41" s="842" t="s">
        <v>1820</v>
      </c>
      <c r="J41" s="845"/>
      <c r="K41" s="2066"/>
      <c r="L41" s="1972"/>
      <c r="M41" s="1972"/>
    </row>
    <row r="42" spans="1:18" ht="18" customHeight="1">
      <c r="A42" s="789"/>
      <c r="B42" s="790"/>
      <c r="C42" s="791"/>
      <c r="D42" s="815"/>
      <c r="E42" s="783" t="s">
        <v>1809</v>
      </c>
      <c r="F42" s="793">
        <f ca="1">INDIRECT("'数据-取费表'!v"&amp;$G$1)</f>
        <v>0.03</v>
      </c>
      <c r="G42" s="2046"/>
      <c r="H42" s="1972"/>
      <c r="I42" s="846" t="s">
        <v>1821</v>
      </c>
      <c r="J42" s="844">
        <f ca="1">ROUND(C13/C40,3)</f>
        <v>0</v>
      </c>
      <c r="K42" s="2066"/>
      <c r="L42" s="1972"/>
      <c r="M42" s="1972"/>
    </row>
    <row r="43" spans="1:18" ht="18" customHeight="1" thickBot="1">
      <c r="A43" s="822" t="s">
        <v>1787</v>
      </c>
      <c r="B43" s="823" t="s">
        <v>1810</v>
      </c>
      <c r="C43" s="824">
        <f ca="1">ROUND(C40*10000/F43,0)</f>
        <v>16489</v>
      </c>
      <c r="D43" s="825" t="s">
        <v>1811</v>
      </c>
      <c r="E43" s="826" t="s">
        <v>1812</v>
      </c>
      <c r="F43" s="827">
        <f ca="1">INDIRECT("'数据-取费表'!k"&amp;$G$1)</f>
        <v>9450</v>
      </c>
      <c r="G43" s="2046"/>
      <c r="H43" s="1972"/>
      <c r="I43" s="846" t="s">
        <v>1822</v>
      </c>
      <c r="J43" s="847">
        <f ca="1">1-J42</f>
        <v>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-16302</v>
      </c>
      <c r="D46" s="2069"/>
      <c r="E46" s="2069"/>
      <c r="F46" s="2069"/>
      <c r="I46" s="2341" t="s">
        <v>2343</v>
      </c>
      <c r="J46" s="2342"/>
      <c r="K46" s="2343"/>
      <c r="L46" s="3104">
        <f ca="1">IF(OR(M47="住宅",D1="土地（套用方法）"),0,IF(L48&gt;J51,L60,J60))</f>
        <v>1257</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3052</v>
      </c>
      <c r="K47" s="3101" t="s">
        <v>2349</v>
      </c>
      <c r="L47" s="3105">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2537</v>
      </c>
      <c r="B48" s="2606" t="s">
        <v>2538</v>
      </c>
      <c r="C48" s="2337">
        <f ca="1">ROUND(F48*F50*F49*(1-F51)/10000,0)</f>
        <v>0</v>
      </c>
      <c r="D48" s="2338" t="s">
        <v>636</v>
      </c>
      <c r="E48" s="2339" t="s">
        <v>2296</v>
      </c>
      <c r="F48" s="2340"/>
      <c r="G48" s="2074"/>
      <c r="I48" s="3074" t="s">
        <v>2345</v>
      </c>
      <c r="J48" s="2345" t="s">
        <v>2350</v>
      </c>
      <c r="K48" s="3102" t="s">
        <v>2351</v>
      </c>
      <c r="L48" s="1892">
        <f ca="1">INDIRECT("'数据-取费表'!f"&amp;$G$1)</f>
        <v>36.58</v>
      </c>
      <c r="O48" s="2361" t="s">
        <v>2379</v>
      </c>
      <c r="P48" s="2362" t="s">
        <v>2405</v>
      </c>
      <c r="Q48" s="2363">
        <f ca="1">C40+J29</f>
        <v>15582</v>
      </c>
      <c r="R48" s="2362" t="s">
        <v>2380</v>
      </c>
    </row>
    <row r="49" spans="1:18" s="2043" customFormat="1" ht="18" customHeight="1" thickBot="1">
      <c r="A49" s="785"/>
      <c r="B49" s="786"/>
      <c r="C49" s="787"/>
      <c r="D49" s="788"/>
      <c r="E49" s="783" t="s">
        <v>1739</v>
      </c>
      <c r="F49" s="784">
        <f ca="1">F7</f>
        <v>9450</v>
      </c>
      <c r="G49" s="2074"/>
      <c r="H49" s="2077"/>
      <c r="I49" s="3074" t="s">
        <v>2346</v>
      </c>
      <c r="J49" s="2346">
        <v>2019</v>
      </c>
      <c r="K49" s="3103" t="s">
        <v>2352</v>
      </c>
      <c r="L49" s="2347"/>
      <c r="O49" s="2361" t="s">
        <v>2381</v>
      </c>
      <c r="P49" s="2362" t="s">
        <v>2406</v>
      </c>
      <c r="Q49" s="2363">
        <f ca="1">J60</f>
        <v>1257</v>
      </c>
      <c r="R49" s="2362" t="s">
        <v>2382</v>
      </c>
    </row>
    <row r="50" spans="1:18" s="2043" customFormat="1" ht="18" customHeight="1" thickBot="1">
      <c r="A50" s="785"/>
      <c r="B50" s="786"/>
      <c r="C50" s="787"/>
      <c r="D50" s="788"/>
      <c r="E50" s="783" t="s">
        <v>1740</v>
      </c>
      <c r="F50" s="784">
        <f ca="1">F8</f>
        <v>365</v>
      </c>
      <c r="G50" s="2079"/>
      <c r="H50" s="2077"/>
      <c r="I50" s="3074" t="s">
        <v>2347</v>
      </c>
      <c r="J50" s="3099">
        <f>SUMPRODUCT((I63:I65=J47)*(J62:L62=J48)*(J63:L65))</f>
        <v>60</v>
      </c>
      <c r="K50" s="3103" t="s">
        <v>2353</v>
      </c>
      <c r="L50" s="2347"/>
      <c r="O50" s="2364" t="s">
        <v>2383</v>
      </c>
      <c r="P50" s="2362" t="s">
        <v>2407</v>
      </c>
      <c r="Q50" s="2363">
        <f ca="1">C29</f>
        <v>3142</v>
      </c>
      <c r="R50" s="2362" t="s">
        <v>2380</v>
      </c>
    </row>
    <row r="51" spans="1:18" s="2043" customFormat="1" ht="18" customHeight="1" thickBot="1">
      <c r="A51" s="785"/>
      <c r="B51" s="786"/>
      <c r="C51" s="787"/>
      <c r="D51" s="788"/>
      <c r="E51" s="783" t="s">
        <v>640</v>
      </c>
      <c r="F51" s="2334"/>
      <c r="H51" s="2077"/>
      <c r="I51" s="3096" t="s">
        <v>2348</v>
      </c>
      <c r="J51" s="3100">
        <f>IF(J49="",J50,J49+J50-YEAR('数据-取费表'!B2))</f>
        <v>59</v>
      </c>
      <c r="K51" s="3074" t="s">
        <v>2354</v>
      </c>
      <c r="L51" s="3106">
        <f ca="1">ROUND(-PV(INDIRECT("'数据-取费表'!h"&amp;$G$1),L48,(C39-C13*J36),0),0)</f>
        <v>12784</v>
      </c>
      <c r="O51" s="2364" t="s">
        <v>2384</v>
      </c>
      <c r="P51" s="2362" t="s">
        <v>2385</v>
      </c>
      <c r="Q51" s="2365">
        <f ca="1">J58</f>
        <v>0.4</v>
      </c>
      <c r="R51" s="2366"/>
    </row>
    <row r="52" spans="1:18" s="2043" customFormat="1" ht="18" customHeight="1" thickBot="1">
      <c r="A52" s="780" t="s">
        <v>2536</v>
      </c>
      <c r="B52" s="2457" t="s">
        <v>2459</v>
      </c>
      <c r="C52" s="798">
        <f ca="1">ROUND(IF(F52="押一",C48/12*F11,IF(F52="押二",C48/12*2*F11,IF(F52="押三",C48/12*3*F11,C53*F11))),0)</f>
        <v>0</v>
      </c>
      <c r="D52" s="2464" t="s">
        <v>2976</v>
      </c>
      <c r="E52" s="2461" t="s">
        <v>2464</v>
      </c>
      <c r="F52" s="2584"/>
      <c r="I52" s="3097" t="s">
        <v>2421</v>
      </c>
      <c r="J52" s="2348"/>
      <c r="K52" s="3097"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8" t="s">
        <v>2979</v>
      </c>
      <c r="J53" s="3177">
        <f ca="1">IF(M47="住宅",IF(D1="——",MAX(J51,L48),MAX(J51,L48-'数据-取费表'!B20)),IF(D1="——",MIN(J51,L48),MIN(J51,L48-'数据-取费表'!B20)))</f>
        <v>36.58</v>
      </c>
      <c r="K53" s="3488" t="s">
        <v>2967</v>
      </c>
      <c r="L53" s="3489"/>
      <c r="O53" s="2364" t="s">
        <v>2388</v>
      </c>
      <c r="P53" s="2362" t="s">
        <v>2389</v>
      </c>
      <c r="Q53" s="2363">
        <f ca="1">J53</f>
        <v>36.58</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16839</v>
      </c>
      <c r="R54" s="2366" t="s">
        <v>2392</v>
      </c>
    </row>
    <row r="55" spans="1:18" s="2043" customFormat="1" ht="18" customHeight="1" thickTop="1" thickBot="1">
      <c r="A55" s="796">
        <v>2</v>
      </c>
      <c r="B55" s="797" t="s">
        <v>644</v>
      </c>
      <c r="C55" s="798">
        <f ca="1">C13</f>
        <v>0</v>
      </c>
      <c r="D55" s="794"/>
      <c r="E55" s="794"/>
      <c r="F55" s="799"/>
      <c r="I55" s="3109" t="s">
        <v>2355</v>
      </c>
      <c r="J55" s="3049">
        <f ca="1">ROUND(IF(J47="钢混",J57/J50,1-(1-2%)*(J50-J57)/J50),3)</f>
        <v>0.374</v>
      </c>
      <c r="K55" s="3110" t="s">
        <v>2356</v>
      </c>
      <c r="L55" s="2349"/>
      <c r="O55" s="2367" t="s">
        <v>2411</v>
      </c>
      <c r="P55" s="1577"/>
      <c r="Q55" s="1588"/>
      <c r="R55" s="1577"/>
    </row>
    <row r="56" spans="1:18" s="2043" customFormat="1" ht="42.75" customHeight="1" thickBot="1">
      <c r="A56" s="1634"/>
      <c r="B56" s="2215" t="s">
        <v>2302</v>
      </c>
      <c r="C56" s="53">
        <f ca="1">C29</f>
        <v>3142</v>
      </c>
      <c r="D56" s="2602"/>
      <c r="E56" s="783"/>
      <c r="F56" s="808"/>
      <c r="I56" s="3111" t="s">
        <v>2357</v>
      </c>
      <c r="J56" s="3121"/>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49</v>
      </c>
      <c r="D57" s="26" t="s">
        <v>1750</v>
      </c>
      <c r="E57" s="2603"/>
      <c r="F57" s="56"/>
      <c r="I57" s="3112" t="s">
        <v>2358</v>
      </c>
      <c r="J57" s="3113">
        <f ca="1">IF(OR(M47="住宅",J51&lt;L48,J56="是"),"——",J51-L48)</f>
        <v>22.42</v>
      </c>
      <c r="K57" s="3074" t="s">
        <v>2363</v>
      </c>
      <c r="L57" s="1892" t="str">
        <f ca="1">IF(L48&lt;J51,"——",IF(L55="比较法",L49,IF(L55="基准地价",L50,L51)))</f>
        <v>——</v>
      </c>
      <c r="O57" s="2361" t="s">
        <v>2379</v>
      </c>
      <c r="P57" s="2362" t="s">
        <v>2409</v>
      </c>
      <c r="Q57" s="2363">
        <f ca="1">C40+J29</f>
        <v>15582</v>
      </c>
      <c r="R57" s="2362" t="s">
        <v>2380</v>
      </c>
    </row>
    <row r="58" spans="1:18" s="2043" customFormat="1" ht="28.5" customHeight="1" thickBot="1">
      <c r="A58" s="1633" t="s">
        <v>1824</v>
      </c>
      <c r="B58" s="783" t="s">
        <v>656</v>
      </c>
      <c r="C58" s="53">
        <f ca="1">ROUND(IF(项目基本情况!B11="自然人",C47*F58,C59+C60+C61),1)</f>
        <v>1.4</v>
      </c>
      <c r="D58" s="2601" t="s">
        <v>657</v>
      </c>
      <c r="E58" s="2602" t="s">
        <v>690</v>
      </c>
      <c r="F58" s="809" t="str">
        <f ca="1">IF(项目基本情况!B11="企业","",IF(INDIRECT("'数据-取费表'!c"&amp;$G$1)="住宅",5%,IF(F48*F49*F50/12/(1+'数据-取费表'!C42)&gt;20000,12%,7%)))</f>
        <v/>
      </c>
      <c r="I58" s="3112" t="s">
        <v>2359</v>
      </c>
      <c r="J58" s="3050">
        <f ca="1">IF(J55&lt;0.4,0.4,J55)</f>
        <v>0.4</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2602" t="s">
        <v>1756</v>
      </c>
      <c r="E59" s="783" t="s">
        <v>1747</v>
      </c>
      <c r="F59" s="808">
        <f t="shared" ref="F59:F65" si="0">F32</f>
        <v>5.5000000000000007E-2</v>
      </c>
      <c r="I59" s="3112" t="s">
        <v>2360</v>
      </c>
      <c r="J59" s="3113">
        <f ca="1">IF(OR(M47="住宅",J51&lt;L48,J56="是"),"——",ROUND(C29*J58,0))</f>
        <v>1257</v>
      </c>
      <c r="K59" s="3074"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4" t="s">
        <v>2361</v>
      </c>
      <c r="J60" s="3115">
        <f ca="1">IF(OR(M47="住宅",J51&lt;L48,J56="是"),"0",ROUND(J59/(1+J52)^J53,0))</f>
        <v>1257</v>
      </c>
      <c r="K60" s="3116" t="s">
        <v>2366</v>
      </c>
      <c r="L60" s="3115">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1.4</v>
      </c>
      <c r="D61" s="813" t="s">
        <v>669</v>
      </c>
      <c r="E61" s="783" t="s">
        <v>670</v>
      </c>
      <c r="F61" s="639">
        <f t="shared" si="0"/>
        <v>5</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2864.37</v>
      </c>
      <c r="I62" s="3117" t="s">
        <v>2367</v>
      </c>
      <c r="J62" s="3118" t="s">
        <v>2368</v>
      </c>
      <c r="K62" s="3118" t="s">
        <v>2369</v>
      </c>
      <c r="L62" s="3118" t="s">
        <v>2350</v>
      </c>
      <c r="M62" s="3119" t="s">
        <v>2944</v>
      </c>
      <c r="O62" s="2364" t="s">
        <v>2388</v>
      </c>
      <c r="P62" s="2362" t="str">
        <f>K59</f>
        <v>建筑物剩余耐用年限下的土地年期修正系数Kn</v>
      </c>
      <c r="Q62" s="2363" t="e">
        <f ca="1">L59</f>
        <v>#DIV/0!</v>
      </c>
      <c r="R62" s="2366" t="s">
        <v>2397</v>
      </c>
    </row>
    <row r="63" spans="1:18" s="2043" customFormat="1" ht="15.75" thickBot="1">
      <c r="A63" s="1633" t="s">
        <v>1889</v>
      </c>
      <c r="B63" s="783" t="s">
        <v>676</v>
      </c>
      <c r="C63" s="53">
        <f ca="1">ROUND(C56*F63,1)</f>
        <v>47.1</v>
      </c>
      <c r="D63" s="2602" t="s">
        <v>1803</v>
      </c>
      <c r="E63" s="783" t="s">
        <v>1747</v>
      </c>
      <c r="F63" s="816">
        <f t="shared" ca="1" si="0"/>
        <v>1.4999999999999999E-2</v>
      </c>
      <c r="I63" s="3117" t="s">
        <v>2370</v>
      </c>
      <c r="J63" s="3118">
        <v>70</v>
      </c>
      <c r="K63" s="3118">
        <v>50</v>
      </c>
      <c r="L63" s="3118">
        <v>80</v>
      </c>
      <c r="M63" s="3120">
        <v>0.02</v>
      </c>
      <c r="O63" s="2361" t="s">
        <v>2391</v>
      </c>
      <c r="P63" s="2362" t="s">
        <v>2408</v>
      </c>
      <c r="Q63" s="2363">
        <f ca="1">Q57+Q58</f>
        <v>15582</v>
      </c>
      <c r="R63" s="2366" t="s">
        <v>2392</v>
      </c>
    </row>
    <row r="64" spans="1:18" s="2043" customFormat="1" ht="16.5" thickBot="1">
      <c r="A64" s="1633" t="s">
        <v>1890</v>
      </c>
      <c r="B64" s="783" t="s">
        <v>679</v>
      </c>
      <c r="C64" s="53">
        <f ca="1">ROUND(C55*F64,1)</f>
        <v>0</v>
      </c>
      <c r="D64" s="2602" t="s">
        <v>680</v>
      </c>
      <c r="E64" s="783" t="s">
        <v>1747</v>
      </c>
      <c r="F64" s="817">
        <f t="shared" ca="1" si="0"/>
        <v>1.5E-3</v>
      </c>
      <c r="I64" s="3117" t="s">
        <v>2371</v>
      </c>
      <c r="J64" s="3118">
        <v>50</v>
      </c>
      <c r="K64" s="3118">
        <v>35</v>
      </c>
      <c r="L64" s="3118">
        <v>60</v>
      </c>
      <c r="M64" s="845">
        <v>0</v>
      </c>
      <c r="O64" s="2367" t="s">
        <v>2415</v>
      </c>
      <c r="P64" s="1577"/>
      <c r="Q64" s="1588"/>
      <c r="R64" s="1577"/>
    </row>
    <row r="65" spans="1:18" s="2043" customFormat="1" ht="15.75" thickBot="1">
      <c r="A65" s="1633" t="s">
        <v>1891</v>
      </c>
      <c r="B65" s="783" t="s">
        <v>666</v>
      </c>
      <c r="C65" s="53">
        <f ca="1">ROUND(C47*F65,1)</f>
        <v>0</v>
      </c>
      <c r="D65" s="2602" t="s">
        <v>683</v>
      </c>
      <c r="E65" s="783" t="s">
        <v>1747</v>
      </c>
      <c r="F65" s="793">
        <f t="shared" ca="1" si="0"/>
        <v>0.01</v>
      </c>
      <c r="I65" s="3117" t="s">
        <v>2372</v>
      </c>
      <c r="J65" s="3118">
        <v>40</v>
      </c>
      <c r="K65" s="3118">
        <v>30</v>
      </c>
      <c r="L65" s="3118">
        <v>50</v>
      </c>
      <c r="M65" s="3120">
        <v>0.02</v>
      </c>
      <c r="O65" s="2358" t="s">
        <v>2375</v>
      </c>
      <c r="P65" s="2359" t="s">
        <v>2376</v>
      </c>
      <c r="Q65" s="2360" t="s">
        <v>2377</v>
      </c>
      <c r="R65" s="2359" t="s">
        <v>2378</v>
      </c>
    </row>
    <row r="66" spans="1:18" s="2043" customFormat="1" ht="24.75" thickBot="1">
      <c r="A66" s="796" t="s">
        <v>1776</v>
      </c>
      <c r="B66" s="2962" t="s">
        <v>2822</v>
      </c>
      <c r="C66" s="798">
        <f ca="1">C47-C57</f>
        <v>-49</v>
      </c>
      <c r="D66" s="2601" t="s">
        <v>700</v>
      </c>
      <c r="E66" s="2600"/>
      <c r="F66" s="819"/>
      <c r="K66" s="2070"/>
      <c r="O66" s="2361" t="s">
        <v>2379</v>
      </c>
      <c r="P66" s="2362" t="s">
        <v>2409</v>
      </c>
      <c r="Q66" s="2363">
        <f ca="1">C40+J29</f>
        <v>15582</v>
      </c>
      <c r="R66" s="2362" t="s">
        <v>2380</v>
      </c>
    </row>
    <row r="67" spans="1:18" s="2043" customFormat="1" ht="20.25" thickBot="1">
      <c r="A67" s="780" t="s">
        <v>1780</v>
      </c>
      <c r="B67" s="2216" t="s">
        <v>2301</v>
      </c>
      <c r="C67" s="782">
        <f ca="1">ROUND(C66*(1-((1+F69)/(1+F67))^F68)/(F67-F69),0)</f>
        <v>-720</v>
      </c>
      <c r="D67" s="813" t="s">
        <v>704</v>
      </c>
      <c r="E67" s="783" t="s">
        <v>705</v>
      </c>
      <c r="F67" s="793">
        <f ca="1">F40</f>
        <v>0.06</v>
      </c>
      <c r="K67" s="2070"/>
      <c r="O67" s="2361" t="s">
        <v>2381</v>
      </c>
      <c r="P67" s="2362" t="s">
        <v>2412</v>
      </c>
      <c r="Q67" s="2363">
        <f ca="1">L60</f>
        <v>0</v>
      </c>
      <c r="R67" s="2366" t="s">
        <v>2414</v>
      </c>
    </row>
    <row r="68" spans="1:18" ht="21.75" thickBot="1">
      <c r="A68" s="785"/>
      <c r="B68" s="786"/>
      <c r="C68" s="787"/>
      <c r="D68" s="820" t="s">
        <v>1808</v>
      </c>
      <c r="E68" s="783" t="s">
        <v>1784</v>
      </c>
      <c r="F68" s="821">
        <f ca="1">F41</f>
        <v>36.58</v>
      </c>
      <c r="O68" s="2364" t="s">
        <v>2383</v>
      </c>
      <c r="P68" s="2362" t="s">
        <v>2413</v>
      </c>
      <c r="Q68" s="2368">
        <f ca="1">L51</f>
        <v>12784</v>
      </c>
      <c r="R68" s="2369" t="s">
        <v>2416</v>
      </c>
    </row>
    <row r="69" spans="1:18" ht="20.25" thickBot="1">
      <c r="A69" s="789"/>
      <c r="B69" s="790"/>
      <c r="C69" s="791"/>
      <c r="D69" s="815"/>
      <c r="E69" s="783" t="s">
        <v>710</v>
      </c>
      <c r="F69" s="2334"/>
      <c r="O69" s="2364" t="s">
        <v>2384</v>
      </c>
      <c r="P69" s="2370" t="s">
        <v>2398</v>
      </c>
      <c r="Q69" s="2363">
        <f ca="1">ROUND(Q70-Q71*Q72,0)</f>
        <v>719</v>
      </c>
      <c r="R69" s="2366"/>
    </row>
    <row r="70" spans="1:18" ht="15.75" thickBot="1">
      <c r="A70" s="822" t="s">
        <v>1787</v>
      </c>
      <c r="B70" s="823" t="s">
        <v>1810</v>
      </c>
      <c r="C70" s="824">
        <f ca="1">ROUND(C67*10000/F70,0)</f>
        <v>-762</v>
      </c>
      <c r="D70" s="825" t="s">
        <v>1811</v>
      </c>
      <c r="E70" s="826" t="s">
        <v>1812</v>
      </c>
      <c r="F70" s="827">
        <f ca="1">F43</f>
        <v>9450</v>
      </c>
      <c r="O70" s="2364" t="s">
        <v>2399</v>
      </c>
      <c r="P70" s="2370" t="s">
        <v>2400</v>
      </c>
      <c r="Q70" s="2363">
        <f ca="1">C39</f>
        <v>719</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建筑物剩余耐用年限下的土地年期修正系数Kn</v>
      </c>
      <c r="Q75" s="2363" t="e">
        <f ca="1">L59</f>
        <v>#DIV/0!</v>
      </c>
      <c r="R75" s="2366" t="s">
        <v>2397</v>
      </c>
    </row>
    <row r="76" spans="1:18" ht="15.75" thickBot="1">
      <c r="O76" s="2361" t="s">
        <v>2391</v>
      </c>
      <c r="P76" s="2362" t="s">
        <v>2408</v>
      </c>
      <c r="Q76" s="2363">
        <f ca="1">Q66+Q67</f>
        <v>15582</v>
      </c>
      <c r="R76" s="2366"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90" t="s">
        <v>2471</v>
      </c>
      <c r="B1" s="3491"/>
      <c r="C1" s="3492"/>
      <c r="D1" s="3493">
        <f>SUM(I10,I15,I20,I21,I23)</f>
        <v>0</v>
      </c>
      <c r="E1" s="3493"/>
      <c r="F1" s="3493"/>
      <c r="G1" s="3493"/>
      <c r="H1" s="3493"/>
      <c r="I1" s="3494"/>
    </row>
    <row r="2" spans="1:9">
      <c r="A2" s="3495" t="s">
        <v>2472</v>
      </c>
      <c r="B2" s="3496" t="s">
        <v>2473</v>
      </c>
      <c r="C2" s="3496"/>
      <c r="D2" s="2470" t="s">
        <v>2474</v>
      </c>
      <c r="E2" s="2470" t="s">
        <v>2475</v>
      </c>
      <c r="F2" s="2470" t="s">
        <v>2476</v>
      </c>
      <c r="G2" s="2470" t="s">
        <v>2477</v>
      </c>
      <c r="H2" s="2470" t="s">
        <v>2478</v>
      </c>
      <c r="I2" s="2471" t="s">
        <v>2479</v>
      </c>
    </row>
    <row r="3" spans="1:9">
      <c r="A3" s="3495"/>
      <c r="B3" s="3496" t="s">
        <v>2480</v>
      </c>
      <c r="C3" s="3496"/>
      <c r="D3" s="2472"/>
      <c r="E3" s="2470"/>
      <c r="F3" s="2473"/>
      <c r="G3" s="2473"/>
      <c r="H3" s="2474"/>
      <c r="I3" s="2475">
        <f>ROUND(D3*E3*F3*G3*H3/10000,0)</f>
        <v>0</v>
      </c>
    </row>
    <row r="4" spans="1:9">
      <c r="A4" s="3495"/>
      <c r="B4" s="3496" t="s">
        <v>2481</v>
      </c>
      <c r="C4" s="3496"/>
      <c r="D4" s="2472"/>
      <c r="E4" s="2470"/>
      <c r="F4" s="2473"/>
      <c r="G4" s="2473"/>
      <c r="H4" s="2474"/>
      <c r="I4" s="2475">
        <f t="shared" ref="I4:I9" si="0">ROUND(D4*E4*F4*G4*H4/10000,0)</f>
        <v>0</v>
      </c>
    </row>
    <row r="5" spans="1:9">
      <c r="A5" s="3495"/>
      <c r="B5" s="3496" t="s">
        <v>2482</v>
      </c>
      <c r="C5" s="3496"/>
      <c r="D5" s="2472"/>
      <c r="E5" s="2470"/>
      <c r="F5" s="2473"/>
      <c r="G5" s="2473"/>
      <c r="H5" s="2474"/>
      <c r="I5" s="2475">
        <f t="shared" si="0"/>
        <v>0</v>
      </c>
    </row>
    <row r="6" spans="1:9">
      <c r="A6" s="3495"/>
      <c r="B6" s="3496" t="s">
        <v>2483</v>
      </c>
      <c r="C6" s="3496"/>
      <c r="D6" s="2472"/>
      <c r="E6" s="2470"/>
      <c r="F6" s="2473"/>
      <c r="G6" s="2473"/>
      <c r="H6" s="2474"/>
      <c r="I6" s="2475">
        <f t="shared" si="0"/>
        <v>0</v>
      </c>
    </row>
    <row r="7" spans="1:9">
      <c r="A7" s="3495"/>
      <c r="B7" s="3496" t="s">
        <v>2484</v>
      </c>
      <c r="C7" s="3496"/>
      <c r="D7" s="2472"/>
      <c r="E7" s="2470"/>
      <c r="F7" s="2473"/>
      <c r="G7" s="2473"/>
      <c r="H7" s="2474"/>
      <c r="I7" s="2475">
        <f t="shared" si="0"/>
        <v>0</v>
      </c>
    </row>
    <row r="8" spans="1:9">
      <c r="A8" s="3495"/>
      <c r="B8" s="3496" t="s">
        <v>2485</v>
      </c>
      <c r="C8" s="3496"/>
      <c r="D8" s="2472"/>
      <c r="E8" s="2470"/>
      <c r="F8" s="2473"/>
      <c r="G8" s="2473"/>
      <c r="H8" s="2474"/>
      <c r="I8" s="2475">
        <f t="shared" si="0"/>
        <v>0</v>
      </c>
    </row>
    <row r="9" spans="1:9">
      <c r="A9" s="3495"/>
      <c r="B9" s="3496" t="s">
        <v>2486</v>
      </c>
      <c r="C9" s="3496"/>
      <c r="D9" s="2472"/>
      <c r="E9" s="2470"/>
      <c r="F9" s="2473"/>
      <c r="G9" s="2473"/>
      <c r="H9" s="2474"/>
      <c r="I9" s="2475">
        <f t="shared" si="0"/>
        <v>0</v>
      </c>
    </row>
    <row r="10" spans="1:9">
      <c r="A10" s="3495"/>
      <c r="B10" s="3497" t="s">
        <v>2487</v>
      </c>
      <c r="C10" s="3497"/>
      <c r="D10" s="2476">
        <v>527</v>
      </c>
      <c r="E10" s="2476" t="e">
        <f>ROUND(D1*10000/D10/H9,0)</f>
        <v>#DIV/0!</v>
      </c>
      <c r="F10" s="2477"/>
      <c r="G10" s="2477"/>
      <c r="H10" s="2478"/>
      <c r="I10" s="2479">
        <f>SUM(I3:I9)</f>
        <v>0</v>
      </c>
    </row>
    <row r="11" spans="1:9" ht="14.25">
      <c r="A11" s="3495" t="s">
        <v>2488</v>
      </c>
      <c r="B11" s="3496" t="s">
        <v>2489</v>
      </c>
      <c r="C11" s="3496"/>
      <c r="D11" s="2472" t="s">
        <v>2490</v>
      </c>
      <c r="E11" s="2472" t="s">
        <v>2491</v>
      </c>
      <c r="F11" s="2473" t="s">
        <v>2492</v>
      </c>
      <c r="G11" s="2473" t="s">
        <v>2493</v>
      </c>
      <c r="H11" s="2480" t="s">
        <v>2494</v>
      </c>
      <c r="I11" s="2471" t="s">
        <v>2495</v>
      </c>
    </row>
    <row r="12" spans="1:9">
      <c r="A12" s="3495"/>
      <c r="B12" s="3496" t="s">
        <v>2496</v>
      </c>
      <c r="C12" s="3496"/>
      <c r="D12" s="2472"/>
      <c r="E12" s="2472"/>
      <c r="F12" s="2473"/>
      <c r="G12" s="2474"/>
      <c r="H12" s="2481"/>
      <c r="I12" s="2471">
        <f>ROUND(D12*E12*F12*G12/10000,0)</f>
        <v>0</v>
      </c>
    </row>
    <row r="13" spans="1:9">
      <c r="A13" s="3495"/>
      <c r="B13" s="3496" t="s">
        <v>2497</v>
      </c>
      <c r="C13" s="3496"/>
      <c r="D13" s="2472"/>
      <c r="E13" s="2472"/>
      <c r="F13" s="2473"/>
      <c r="G13" s="2474"/>
      <c r="H13" s="2481"/>
      <c r="I13" s="2471">
        <f>ROUND(D13*E13*F13*G13/10000,0)</f>
        <v>0</v>
      </c>
    </row>
    <row r="14" spans="1:9">
      <c r="A14" s="3495"/>
      <c r="B14" s="3496" t="s">
        <v>2498</v>
      </c>
      <c r="C14" s="3496"/>
      <c r="D14" s="2472"/>
      <c r="E14" s="2472"/>
      <c r="F14" s="2473"/>
      <c r="G14" s="2474"/>
      <c r="H14" s="2481"/>
      <c r="I14" s="2471">
        <f>ROUND(D14*E14*F14*G14/10000,0)</f>
        <v>0</v>
      </c>
    </row>
    <row r="15" spans="1:9">
      <c r="A15" s="3495"/>
      <c r="B15" s="3497" t="s">
        <v>2487</v>
      </c>
      <c r="C15" s="3497"/>
      <c r="D15" s="2476"/>
      <c r="E15" s="2476">
        <f>SUM(E12:E14)</f>
        <v>0</v>
      </c>
      <c r="F15" s="2477"/>
      <c r="G15" s="2474"/>
      <c r="H15" s="2481"/>
      <c r="I15" s="2482">
        <f>SUM(I12:I14)</f>
        <v>0</v>
      </c>
    </row>
    <row r="16" spans="1:9" ht="24">
      <c r="A16" s="3495" t="s">
        <v>2499</v>
      </c>
      <c r="B16" s="3496" t="s">
        <v>2500</v>
      </c>
      <c r="C16" s="3496"/>
      <c r="D16" s="2472" t="s">
        <v>2501</v>
      </c>
      <c r="E16" s="2483" t="s">
        <v>2502</v>
      </c>
      <c r="F16" s="2473" t="s">
        <v>2503</v>
      </c>
      <c r="G16" s="2474" t="s">
        <v>2493</v>
      </c>
      <c r="H16" s="2480" t="s">
        <v>2494</v>
      </c>
      <c r="I16" s="2471" t="s">
        <v>2495</v>
      </c>
    </row>
    <row r="17" spans="1:9" ht="14.25">
      <c r="A17" s="3495"/>
      <c r="B17" s="3496" t="s">
        <v>2504</v>
      </c>
      <c r="C17" s="3496"/>
      <c r="D17" s="2472"/>
      <c r="E17" s="2472"/>
      <c r="F17" s="2473"/>
      <c r="G17" s="2474"/>
      <c r="H17" s="2484"/>
      <c r="I17" s="2485">
        <f>ROUND(D17*E17*F17*G17/10000,0)</f>
        <v>0</v>
      </c>
    </row>
    <row r="18" spans="1:9" ht="14.25">
      <c r="A18" s="3495"/>
      <c r="B18" s="3496" t="s">
        <v>2505</v>
      </c>
      <c r="C18" s="3496"/>
      <c r="D18" s="2472"/>
      <c r="E18" s="2472"/>
      <c r="F18" s="2473"/>
      <c r="G18" s="2474"/>
      <c r="H18" s="2484"/>
      <c r="I18" s="2485">
        <f>ROUND(D18*E18*F18*G18/10000,0)</f>
        <v>0</v>
      </c>
    </row>
    <row r="19" spans="1:9" ht="14.25">
      <c r="A19" s="3495"/>
      <c r="B19" s="3496" t="s">
        <v>2506</v>
      </c>
      <c r="C19" s="3496"/>
      <c r="D19" s="2472"/>
      <c r="E19" s="2472"/>
      <c r="F19" s="2473"/>
      <c r="G19" s="2474"/>
      <c r="H19" s="2484"/>
      <c r="I19" s="2485">
        <f>ROUND(D19*E19*F19*G19/10000,0)</f>
        <v>0</v>
      </c>
    </row>
    <row r="20" spans="1:9">
      <c r="A20" s="3495"/>
      <c r="B20" s="3497" t="s">
        <v>2487</v>
      </c>
      <c r="C20" s="3497"/>
      <c r="D20" s="2476">
        <f>SUM(D17:D19)</f>
        <v>0</v>
      </c>
      <c r="E20" s="2476"/>
      <c r="F20" s="2477"/>
      <c r="G20" s="2474"/>
      <c r="H20" s="2481"/>
      <c r="I20" s="2482">
        <f>SUM(I17:I19)</f>
        <v>0</v>
      </c>
    </row>
    <row r="21" spans="1:9">
      <c r="A21" s="3495" t="s">
        <v>2507</v>
      </c>
      <c r="B21" s="3499"/>
      <c r="C21" s="3499"/>
      <c r="D21" s="3499"/>
      <c r="E21" s="3499"/>
      <c r="F21" s="3499"/>
      <c r="G21" s="3499"/>
      <c r="H21" s="2486">
        <v>0.1</v>
      </c>
      <c r="I21" s="2479">
        <f>ROUND(I10*H21,0)</f>
        <v>0</v>
      </c>
    </row>
    <row r="22" spans="1:9" ht="14.25">
      <c r="A22" s="3500" t="s">
        <v>2508</v>
      </c>
      <c r="B22" s="3501"/>
      <c r="C22" s="3502"/>
      <c r="D22" s="2487" t="s">
        <v>2509</v>
      </c>
      <c r="E22" s="2487" t="s">
        <v>2510</v>
      </c>
      <c r="F22" s="2488" t="s">
        <v>2511</v>
      </c>
      <c r="G22" s="2488" t="s">
        <v>2512</v>
      </c>
      <c r="H22" s="2480" t="s">
        <v>2513</v>
      </c>
      <c r="I22" s="2471" t="s">
        <v>2514</v>
      </c>
    </row>
    <row r="23" spans="1:9" ht="14.25" thickBot="1">
      <c r="A23" s="3503"/>
      <c r="B23" s="3504"/>
      <c r="C23" s="3505"/>
      <c r="D23" s="2489"/>
      <c r="E23" s="2489"/>
      <c r="F23" s="2489"/>
      <c r="G23" s="2490"/>
      <c r="H23" s="2491"/>
      <c r="I23" s="2492">
        <f>ROUND(E23*D23*F23*(1-G23)/10000,0)</f>
        <v>0</v>
      </c>
    </row>
    <row r="26" spans="1:9">
      <c r="A26" s="2493" t="s">
        <v>2515</v>
      </c>
      <c r="B26" s="2493"/>
      <c r="C26" s="2493"/>
      <c r="D26" s="2493"/>
      <c r="E26" s="3506">
        <f>C27-C30-C31-C32</f>
        <v>0</v>
      </c>
      <c r="F26" s="3506"/>
      <c r="G26" s="3506"/>
      <c r="H26" s="2991" t="s">
        <v>2843</v>
      </c>
    </row>
    <row r="27" spans="1:9">
      <c r="A27" s="2494">
        <v>1</v>
      </c>
      <c r="B27" s="2495" t="s">
        <v>2516</v>
      </c>
      <c r="C27" s="2495"/>
      <c r="D27" s="2495"/>
      <c r="E27" s="3507"/>
      <c r="F27" s="3507"/>
      <c r="G27" s="3507"/>
    </row>
    <row r="28" spans="1:9">
      <c r="A28" s="2496" t="s">
        <v>2517</v>
      </c>
      <c r="B28" s="2495" t="s">
        <v>2518</v>
      </c>
      <c r="C28" s="2495"/>
      <c r="D28" s="2495"/>
      <c r="E28" s="3507"/>
      <c r="F28" s="3507"/>
      <c r="G28" s="3507"/>
    </row>
    <row r="29" spans="1:9">
      <c r="A29" s="2496" t="s">
        <v>2519</v>
      </c>
      <c r="B29" s="2495" t="s">
        <v>2460</v>
      </c>
      <c r="C29" s="2495"/>
      <c r="D29" s="2495"/>
      <c r="E29" s="2495" t="s">
        <v>2520</v>
      </c>
      <c r="F29" s="2495"/>
      <c r="G29" s="2495"/>
    </row>
    <row r="30" spans="1:9">
      <c r="A30" s="2494">
        <v>2</v>
      </c>
      <c r="B30" s="2495" t="s">
        <v>2521</v>
      </c>
      <c r="C30" s="2495">
        <f>C27*D30</f>
        <v>0</v>
      </c>
      <c r="D30" s="2497">
        <v>0.2</v>
      </c>
      <c r="E30" s="2495" t="s">
        <v>2522</v>
      </c>
      <c r="F30" s="2495"/>
      <c r="G30" s="2495"/>
    </row>
    <row r="31" spans="1:9">
      <c r="A31" s="2494">
        <v>3</v>
      </c>
      <c r="B31" s="2495" t="s">
        <v>2523</v>
      </c>
      <c r="C31" s="2495">
        <f>C25*D31</f>
        <v>0</v>
      </c>
      <c r="D31" s="2497">
        <v>0.15</v>
      </c>
      <c r="E31" s="2495" t="s">
        <v>2524</v>
      </c>
      <c r="F31" s="2495"/>
      <c r="G31" s="2495"/>
    </row>
    <row r="32" spans="1:9">
      <c r="A32" s="2494">
        <v>4</v>
      </c>
      <c r="B32" s="2495" t="s">
        <v>2525</v>
      </c>
      <c r="C32" s="2495">
        <f>C27*D32</f>
        <v>0</v>
      </c>
      <c r="D32" s="2497">
        <v>0.05</v>
      </c>
      <c r="E32" s="3498"/>
      <c r="F32" s="3498"/>
      <c r="G32" s="3498"/>
    </row>
    <row r="33" spans="1:7" hidden="1">
      <c r="A33" s="3508" t="s">
        <v>2526</v>
      </c>
      <c r="B33" s="3509"/>
      <c r="C33" s="3509"/>
      <c r="D33" s="3510"/>
      <c r="E33" s="3506"/>
      <c r="F33" s="3506"/>
      <c r="G33" s="3506"/>
    </row>
    <row r="34" spans="1:7" hidden="1">
      <c r="A34" s="2498">
        <v>1</v>
      </c>
      <c r="B34" s="2495" t="s">
        <v>2527</v>
      </c>
      <c r="C34" s="2495"/>
      <c r="D34" s="2495"/>
      <c r="E34" s="3507"/>
      <c r="F34" s="3507"/>
      <c r="G34" s="3507"/>
    </row>
    <row r="35" spans="1:7" hidden="1">
      <c r="A35" s="2498">
        <v>2</v>
      </c>
      <c r="B35" s="2495" t="s">
        <v>2528</v>
      </c>
      <c r="C35" s="2495"/>
      <c r="D35" s="2495"/>
      <c r="E35" s="3507"/>
      <c r="F35" s="3507"/>
      <c r="G35" s="3507"/>
    </row>
    <row r="36" spans="1:7" hidden="1">
      <c r="A36" s="2498">
        <v>3</v>
      </c>
      <c r="B36" s="2495" t="s">
        <v>2529</v>
      </c>
      <c r="C36" s="2495"/>
      <c r="D36" s="2495"/>
      <c r="E36" s="3507"/>
      <c r="F36" s="3507"/>
      <c r="G36" s="3507"/>
    </row>
    <row r="37" spans="1:7" hidden="1">
      <c r="A37" s="2498">
        <v>4</v>
      </c>
      <c r="B37" s="2495" t="s">
        <v>2530</v>
      </c>
      <c r="C37" s="2495"/>
      <c r="D37" s="2495"/>
      <c r="E37" s="3507"/>
      <c r="F37" s="3507"/>
      <c r="G37" s="3507"/>
    </row>
    <row r="38" spans="1:7" hidden="1">
      <c r="A38" s="3508" t="s">
        <v>2531</v>
      </c>
      <c r="B38" s="3509"/>
      <c r="C38" s="3509"/>
      <c r="D38" s="3510"/>
      <c r="E38" s="3506"/>
      <c r="F38" s="3506"/>
      <c r="G38" s="35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2440</v>
      </c>
      <c r="B8" s="2435" t="s">
        <v>2442</v>
      </c>
      <c r="C8" s="2436"/>
      <c r="D8" s="748"/>
      <c r="E8" s="749"/>
      <c r="F8" s="749"/>
      <c r="G8" s="750"/>
    </row>
    <row r="9" spans="1:25" s="2167" customFormat="1" ht="13.5" customHeight="1">
      <c r="A9" s="2432" t="s">
        <v>2441</v>
      </c>
      <c r="B9" s="2435" t="s">
        <v>2443</v>
      </c>
      <c r="C9" s="2436"/>
      <c r="D9" s="748"/>
      <c r="E9" s="749"/>
      <c r="F9" s="749"/>
      <c r="G9" s="750"/>
    </row>
    <row r="10" spans="1:25" s="2167" customFormat="1" ht="36">
      <c r="A10" s="2432">
        <v>2</v>
      </c>
      <c r="B10" s="747" t="s">
        <v>613</v>
      </c>
      <c r="C10" s="748">
        <f>C11+C14+C15</f>
        <v>0</v>
      </c>
      <c r="D10" s="759">
        <f>'数据-汇总表'!E3</f>
        <v>508675</v>
      </c>
      <c r="E10" s="748">
        <f>'数据-取费表'!B31</f>
        <v>0</v>
      </c>
      <c r="F10" s="760"/>
      <c r="G10" s="758" t="s">
        <v>614</v>
      </c>
    </row>
    <row r="11" spans="1:25" s="2167" customFormat="1" ht="13.5" customHeight="1">
      <c r="A11" s="2432" t="s">
        <v>2440</v>
      </c>
      <c r="B11" s="751" t="s">
        <v>610</v>
      </c>
      <c r="C11" s="752">
        <f>'数据-取费表'!B29</f>
        <v>0</v>
      </c>
      <c r="D11" s="753"/>
      <c r="E11" s="752"/>
      <c r="F11" s="754"/>
      <c r="G11" s="2441" t="s">
        <v>2451</v>
      </c>
    </row>
    <row r="12" spans="1:25" s="2167" customFormat="1" ht="13.5" customHeight="1">
      <c r="A12" s="2439" t="s">
        <v>2448</v>
      </c>
      <c r="B12" s="755" t="s">
        <v>611</v>
      </c>
      <c r="C12" s="756">
        <f>ROUND(D12*E12/10000,0)</f>
        <v>2552</v>
      </c>
      <c r="D12" s="757">
        <f>'数据-汇总表'!E5</f>
        <v>392610</v>
      </c>
      <c r="E12" s="756">
        <f>'数据-取费表'!B27</f>
        <v>65</v>
      </c>
      <c r="F12" s="754"/>
      <c r="G12" s="758"/>
    </row>
    <row r="13" spans="1:25" s="2167" customFormat="1" ht="13.5" customHeight="1">
      <c r="A13" s="2439" t="s">
        <v>2447</v>
      </c>
      <c r="B13" s="755" t="s">
        <v>612</v>
      </c>
      <c r="C13" s="756">
        <f>ROUND(D13*E13/10000,0)</f>
        <v>754</v>
      </c>
      <c r="D13" s="757">
        <f>'数据-汇总表'!E6</f>
        <v>116065</v>
      </c>
      <c r="E13" s="756">
        <f>'数据-取费表'!B28</f>
        <v>65</v>
      </c>
      <c r="F13" s="754"/>
      <c r="G13" s="758"/>
    </row>
    <row r="14" spans="1:25" s="2167" customFormat="1" ht="13.5" customHeight="1">
      <c r="A14" s="2432" t="s">
        <v>2441</v>
      </c>
      <c r="B14" s="2438" t="s">
        <v>2444</v>
      </c>
      <c r="C14" s="2436"/>
      <c r="D14" s="757"/>
      <c r="E14" s="756"/>
      <c r="F14" s="2437"/>
      <c r="G14" s="2440" t="s">
        <v>2449</v>
      </c>
    </row>
    <row r="15" spans="1:25" s="2167" customFormat="1" ht="13.5" customHeight="1">
      <c r="A15" s="2432" t="s">
        <v>2446</v>
      </c>
      <c r="B15" s="2438" t="s">
        <v>2445</v>
      </c>
      <c r="C15" s="2436"/>
      <c r="D15" s="757"/>
      <c r="E15" s="756"/>
      <c r="F15" s="2437"/>
      <c r="G15" s="2440" t="s">
        <v>2450</v>
      </c>
    </row>
    <row r="16" spans="1:25" s="2168" customFormat="1" ht="48">
      <c r="A16" s="2432">
        <v>3</v>
      </c>
      <c r="B16" s="747" t="s">
        <v>615</v>
      </c>
      <c r="C16" s="2436"/>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0.09</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0.89900000000000002</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6" t="s">
        <v>719</v>
      </c>
      <c r="C1" s="2587" t="s">
        <v>720</v>
      </c>
      <c r="D1" s="2588"/>
      <c r="E1" s="2589"/>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t="e">
        <f>C49</f>
        <v>#DIV/0!</v>
      </c>
      <c r="C3" s="851" t="s">
        <v>722</v>
      </c>
      <c r="D3" s="850">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3411" t="s">
        <v>522</v>
      </c>
      <c r="D4" s="3412"/>
      <c r="E4" s="3446" t="s">
        <v>523</v>
      </c>
      <c r="F4" s="3447"/>
      <c r="G4" s="3411" t="s">
        <v>524</v>
      </c>
      <c r="H4" s="3412"/>
      <c r="I4" s="3411" t="s">
        <v>525</v>
      </c>
      <c r="J4" s="3412"/>
      <c r="K4" s="852" t="s">
        <v>526</v>
      </c>
      <c r="L4" s="2117"/>
      <c r="M4" s="2118"/>
      <c r="N4" s="2118"/>
      <c r="O4" s="2118"/>
      <c r="P4" s="3413" t="s">
        <v>527</v>
      </c>
      <c r="Q4" s="3414"/>
      <c r="R4" s="3419" t="s">
        <v>523</v>
      </c>
      <c r="S4" s="3420"/>
      <c r="T4" s="3419" t="s">
        <v>524</v>
      </c>
      <c r="U4" s="3420"/>
      <c r="V4" s="3406" t="s">
        <v>525</v>
      </c>
      <c r="W4" s="3406"/>
      <c r="X4" s="1552"/>
      <c r="Y4" s="3419" t="s">
        <v>527</v>
      </c>
      <c r="Z4" s="3420"/>
      <c r="AA4" s="3408" t="s">
        <v>523</v>
      </c>
      <c r="AB4" s="3408" t="s">
        <v>524</v>
      </c>
      <c r="AC4" s="3408" t="s">
        <v>525</v>
      </c>
    </row>
    <row r="5" spans="1:29" ht="15">
      <c r="A5" s="514"/>
      <c r="B5" s="515"/>
      <c r="C5" s="3427" t="s">
        <v>2931</v>
      </c>
      <c r="D5" s="3428"/>
      <c r="E5" s="3448" t="s">
        <v>2932</v>
      </c>
      <c r="F5" s="3449"/>
      <c r="G5" s="3427" t="s">
        <v>2933</v>
      </c>
      <c r="H5" s="3428"/>
      <c r="I5" s="3427" t="s">
        <v>2934</v>
      </c>
      <c r="J5" s="3428"/>
      <c r="K5" s="853"/>
      <c r="L5" s="2117"/>
      <c r="M5" s="2118"/>
      <c r="N5" s="2118"/>
      <c r="O5" s="2118"/>
      <c r="P5" s="3415"/>
      <c r="Q5" s="3416"/>
      <c r="R5" s="3421"/>
      <c r="S5" s="3422"/>
      <c r="T5" s="3421"/>
      <c r="U5" s="3422"/>
      <c r="V5" s="3406"/>
      <c r="W5" s="3406"/>
      <c r="X5" s="1552"/>
      <c r="Y5" s="3421"/>
      <c r="Z5" s="3422"/>
      <c r="AA5" s="3409"/>
      <c r="AB5" s="3409"/>
      <c r="AC5" s="3409"/>
    </row>
    <row r="6" spans="1:29" ht="15.75" thickBot="1">
      <c r="A6" s="516"/>
      <c r="B6" s="517"/>
      <c r="C6" s="3425" t="s">
        <v>2935</v>
      </c>
      <c r="D6" s="3426"/>
      <c r="E6" s="3444" t="s">
        <v>2935</v>
      </c>
      <c r="F6" s="3445"/>
      <c r="G6" s="3425" t="s">
        <v>2935</v>
      </c>
      <c r="H6" s="3426"/>
      <c r="I6" s="3425" t="s">
        <v>2935</v>
      </c>
      <c r="J6" s="3426"/>
      <c r="K6" s="853" t="s">
        <v>528</v>
      </c>
      <c r="L6" s="2117"/>
      <c r="M6" s="2118"/>
      <c r="N6" s="2118"/>
      <c r="O6" s="2118"/>
      <c r="P6" s="3417"/>
      <c r="Q6" s="3418"/>
      <c r="R6" s="3421"/>
      <c r="S6" s="3422"/>
      <c r="T6" s="3423"/>
      <c r="U6" s="3424"/>
      <c r="V6" s="3406"/>
      <c r="W6" s="3406"/>
      <c r="X6" s="1552"/>
      <c r="Y6" s="3423"/>
      <c r="Z6" s="3424"/>
      <c r="AA6" s="3410"/>
      <c r="AB6" s="3410"/>
      <c r="AC6" s="3410"/>
    </row>
    <row r="7" spans="1:29" s="1215" customFormat="1" ht="15.75" thickBot="1">
      <c r="A7" s="2866"/>
      <c r="B7" s="2873" t="s">
        <v>529</v>
      </c>
      <c r="C7" s="518">
        <f>'数据-取费表'!B2</f>
        <v>43833</v>
      </c>
      <c r="D7" s="519">
        <v>100</v>
      </c>
      <c r="E7" s="520"/>
      <c r="F7" s="521">
        <f>SUMIF(58:58,YEAR(E7)&amp;"-"&amp;MONTH(E7),59:59)</f>
        <v>0</v>
      </c>
      <c r="G7" s="522"/>
      <c r="H7" s="519">
        <f>SUMIF(58:58,YEAR(G7)&amp;"-"&amp;MONTH(G7),59:59)</f>
        <v>0</v>
      </c>
      <c r="I7" s="522"/>
      <c r="J7" s="519">
        <f>SUMIF(58:58,YEAR(I7)&amp;"-"&amp;MONTH(I7),59:59)</f>
        <v>0</v>
      </c>
      <c r="K7" s="854"/>
      <c r="L7" s="2119"/>
      <c r="M7" s="2120"/>
      <c r="N7" s="2120"/>
      <c r="O7" s="2120"/>
      <c r="P7" s="3437" t="s">
        <v>530</v>
      </c>
      <c r="Q7" s="3439"/>
      <c r="R7" s="1553" t="s">
        <v>13</v>
      </c>
      <c r="S7" s="1554">
        <f t="shared" ref="S7:S15" si="0">F7</f>
        <v>0</v>
      </c>
      <c r="T7" s="1553" t="s">
        <v>13</v>
      </c>
      <c r="U7" s="1554">
        <f t="shared" ref="U7:U15" si="1">H7</f>
        <v>0</v>
      </c>
      <c r="V7" s="1553" t="s">
        <v>13</v>
      </c>
      <c r="W7" s="1554">
        <f t="shared" ref="W7:W15" si="2">J7</f>
        <v>0</v>
      </c>
      <c r="X7" s="1555"/>
      <c r="Y7" s="3437" t="s">
        <v>530</v>
      </c>
      <c r="Z7" s="3438"/>
      <c r="AA7" s="1556" t="e">
        <f>D7/F7</f>
        <v>#DIV/0!</v>
      </c>
      <c r="AB7" s="1556" t="e">
        <f>D7/H7</f>
        <v>#DIV/0!</v>
      </c>
      <c r="AC7" s="1556" t="e">
        <f>D7/J7</f>
        <v>#DIV/0!</v>
      </c>
    </row>
    <row r="8" spans="1:29" s="1215" customFormat="1" ht="15.75" thickBot="1">
      <c r="A8" s="2867"/>
      <c r="B8" s="2874" t="s">
        <v>531</v>
      </c>
      <c r="C8" s="524" t="s">
        <v>576</v>
      </c>
      <c r="D8" s="519">
        <v>100</v>
      </c>
      <c r="E8" s="855"/>
      <c r="F8" s="521">
        <f>SUMIF(61:61,E8,62:62)-SUMIF(61:61,C8,62:62)+100</f>
        <v>0</v>
      </c>
      <c r="G8" s="524"/>
      <c r="H8" s="519">
        <f>SUMIF(61:61,G8,62:62)-SUMIF(61:61,C8,62:62)+100</f>
        <v>0</v>
      </c>
      <c r="I8" s="855"/>
      <c r="J8" s="519">
        <f>SUMIF(61:61,I8,62:62)-SUMIF(61:61,C8,62:62)+100</f>
        <v>0</v>
      </c>
      <c r="K8" s="854"/>
      <c r="L8" s="2119"/>
      <c r="M8" s="2120"/>
      <c r="N8" s="2120"/>
      <c r="O8" s="2120"/>
      <c r="P8" s="3437" t="s">
        <v>533</v>
      </c>
      <c r="Q8" s="3438"/>
      <c r="R8" s="1553" t="s">
        <v>13</v>
      </c>
      <c r="S8" s="1554">
        <f t="shared" si="0"/>
        <v>0</v>
      </c>
      <c r="T8" s="1553" t="s">
        <v>13</v>
      </c>
      <c r="U8" s="1554">
        <f t="shared" si="1"/>
        <v>0</v>
      </c>
      <c r="V8" s="1553" t="s">
        <v>13</v>
      </c>
      <c r="W8" s="1554">
        <f t="shared" si="2"/>
        <v>0</v>
      </c>
      <c r="X8" s="1555"/>
      <c r="Y8" s="3437" t="s">
        <v>533</v>
      </c>
      <c r="Z8" s="3438"/>
      <c r="AA8" s="1556" t="e">
        <f t="shared" ref="AA8:AA46" si="3">D8/F8</f>
        <v>#DIV/0!</v>
      </c>
      <c r="AB8" s="1556" t="e">
        <f t="shared" ref="AB8:AB46" si="4">D8/H8</f>
        <v>#DIV/0!</v>
      </c>
      <c r="AC8" s="1556" t="e">
        <f t="shared" ref="AC8:AC46" si="5">D8/J8</f>
        <v>#DIV/0!</v>
      </c>
    </row>
    <row r="9" spans="1:29" s="1215" customFormat="1" ht="15">
      <c r="A9" s="2868"/>
      <c r="B9" s="2875" t="s">
        <v>2756</v>
      </c>
      <c r="C9" s="856"/>
      <c r="D9" s="253">
        <v>100</v>
      </c>
      <c r="E9" s="857"/>
      <c r="F9" s="858">
        <f>SUMIF(63:63,E9,64:64)-SUMIF(63:63,C9,64:64)+100</f>
        <v>100</v>
      </c>
      <c r="G9" s="859"/>
      <c r="H9" s="253">
        <f>SUMIF(63:63,G9,64:64)-SUMIF(63:63,C9,64:64)+100</f>
        <v>100</v>
      </c>
      <c r="I9" s="859"/>
      <c r="J9" s="253">
        <f>SUMIF(63:63,I9,64:64)-SUMIF(63:63,C9,64:64)+100</f>
        <v>100</v>
      </c>
      <c r="K9" s="854"/>
      <c r="L9" s="2119"/>
      <c r="M9" s="2120"/>
      <c r="N9" s="2120"/>
      <c r="O9" s="2121"/>
      <c r="P9" s="3405" t="s">
        <v>535</v>
      </c>
      <c r="Q9" s="1146" t="str">
        <f t="shared" ref="Q9:Q15" si="6">B9</f>
        <v>用途</v>
      </c>
      <c r="R9" s="1553" t="s">
        <v>8</v>
      </c>
      <c r="S9" s="1554">
        <f t="shared" si="0"/>
        <v>100</v>
      </c>
      <c r="T9" s="1553" t="s">
        <v>8</v>
      </c>
      <c r="U9" s="1554">
        <f t="shared" si="1"/>
        <v>100</v>
      </c>
      <c r="V9" s="1553" t="s">
        <v>8</v>
      </c>
      <c r="W9" s="1554">
        <f t="shared" si="2"/>
        <v>100</v>
      </c>
      <c r="X9" s="1555"/>
      <c r="Y9" s="3351"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1"/>
      <c r="F10" s="862">
        <f>SUMIF(65:65,E10,66:66)-SUMIF(65:65,C10,66:66)+100</f>
        <v>100</v>
      </c>
      <c r="G10" s="860"/>
      <c r="H10" s="254">
        <f>SUMIF(65:65,G10,66:66)-SUMIF(65:65,C10,66:66)+100</f>
        <v>100</v>
      </c>
      <c r="I10" s="860"/>
      <c r="J10" s="254">
        <f>SUMIF(65:65,I10,66:66)-SUMIF(65:65,C10,66:66)+100</f>
        <v>100</v>
      </c>
      <c r="K10" s="863"/>
      <c r="L10" s="2122"/>
      <c r="M10" s="2162"/>
      <c r="N10" s="2162"/>
      <c r="O10" s="2123"/>
      <c r="P10" s="3405"/>
      <c r="Q10" s="1146" t="str">
        <f t="shared" si="6"/>
        <v>土地使用年限（年）</v>
      </c>
      <c r="R10" s="1553" t="s">
        <v>8</v>
      </c>
      <c r="S10" s="1554">
        <f t="shared" si="0"/>
        <v>100</v>
      </c>
      <c r="T10" s="1553" t="s">
        <v>8</v>
      </c>
      <c r="U10" s="1554">
        <f t="shared" si="1"/>
        <v>100</v>
      </c>
      <c r="V10" s="1553" t="s">
        <v>8</v>
      </c>
      <c r="W10" s="1554">
        <f t="shared" si="2"/>
        <v>100</v>
      </c>
      <c r="X10" s="1555"/>
      <c r="Y10" s="3351"/>
      <c r="Z10" s="1145" t="str">
        <f t="shared" si="7"/>
        <v>土地使用年限（年）</v>
      </c>
      <c r="AA10" s="1556">
        <f t="shared" si="3"/>
        <v>1</v>
      </c>
      <c r="AB10" s="1556">
        <f t="shared" si="4"/>
        <v>1</v>
      </c>
      <c r="AC10" s="1556">
        <f t="shared" si="5"/>
        <v>1</v>
      </c>
    </row>
    <row r="11" spans="1:29" ht="15">
      <c r="A11" s="2870"/>
      <c r="B11" s="2874"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4"/>
      <c r="M11" s="2118"/>
      <c r="N11" s="2118"/>
      <c r="O11" s="2125"/>
      <c r="P11" s="3405"/>
      <c r="Q11" s="1146" t="str">
        <f t="shared" si="6"/>
        <v>容积率</v>
      </c>
      <c r="R11" s="1553" t="s">
        <v>11</v>
      </c>
      <c r="S11" s="1554" t="e">
        <f t="shared" si="0"/>
        <v>#N/A</v>
      </c>
      <c r="T11" s="1553" t="s">
        <v>11</v>
      </c>
      <c r="U11" s="1554" t="e">
        <f t="shared" si="1"/>
        <v>#N/A</v>
      </c>
      <c r="V11" s="1553" t="s">
        <v>11</v>
      </c>
      <c r="W11" s="1554" t="e">
        <f t="shared" si="2"/>
        <v>#N/A</v>
      </c>
      <c r="X11" s="1555"/>
      <c r="Y11" s="3351"/>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405"/>
      <c r="Q12" s="1146">
        <f t="shared" si="6"/>
        <v>111</v>
      </c>
      <c r="R12" s="1553" t="s">
        <v>11</v>
      </c>
      <c r="S12" s="1554">
        <f t="shared" si="0"/>
        <v>100</v>
      </c>
      <c r="T12" s="1553" t="s">
        <v>11</v>
      </c>
      <c r="U12" s="1554">
        <f t="shared" si="1"/>
        <v>100</v>
      </c>
      <c r="V12" s="1553" t="s">
        <v>11</v>
      </c>
      <c r="W12" s="1554">
        <f t="shared" si="2"/>
        <v>100</v>
      </c>
      <c r="X12" s="1555"/>
      <c r="Y12" s="3351"/>
      <c r="Z12" s="1145">
        <f t="shared" si="7"/>
        <v>111</v>
      </c>
      <c r="AA12" s="1556">
        <f>D12/F12</f>
        <v>1</v>
      </c>
      <c r="AB12" s="1556">
        <f>D12/H12</f>
        <v>1</v>
      </c>
      <c r="AC12" s="1556">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405"/>
      <c r="Q13" s="1146">
        <f t="shared" si="6"/>
        <v>111</v>
      </c>
      <c r="R13" s="1553" t="s">
        <v>11</v>
      </c>
      <c r="S13" s="1554">
        <f t="shared" si="0"/>
        <v>100</v>
      </c>
      <c r="T13" s="1553" t="s">
        <v>11</v>
      </c>
      <c r="U13" s="1554">
        <f t="shared" si="1"/>
        <v>100</v>
      </c>
      <c r="V13" s="1553" t="s">
        <v>11</v>
      </c>
      <c r="W13" s="1554">
        <f t="shared" si="2"/>
        <v>100</v>
      </c>
      <c r="X13" s="1555"/>
      <c r="Y13" s="3351"/>
      <c r="Z13" s="1145">
        <f t="shared" si="7"/>
        <v>111</v>
      </c>
      <c r="AA13" s="1556">
        <f t="shared" si="3"/>
        <v>1</v>
      </c>
      <c r="AB13" s="1556">
        <f t="shared" si="4"/>
        <v>1</v>
      </c>
      <c r="AC13" s="1556">
        <f t="shared" si="5"/>
        <v>1</v>
      </c>
    </row>
    <row r="14" spans="1:29" ht="15.75"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405"/>
      <c r="Q14" s="1146">
        <f t="shared" si="6"/>
        <v>111</v>
      </c>
      <c r="R14" s="1553" t="s">
        <v>11</v>
      </c>
      <c r="S14" s="1554">
        <f t="shared" si="0"/>
        <v>100</v>
      </c>
      <c r="T14" s="1553" t="s">
        <v>11</v>
      </c>
      <c r="U14" s="1554">
        <f t="shared" si="1"/>
        <v>100</v>
      </c>
      <c r="V14" s="1553" t="s">
        <v>11</v>
      </c>
      <c r="W14" s="1554">
        <f t="shared" si="2"/>
        <v>100</v>
      </c>
      <c r="X14" s="1555"/>
      <c r="Y14" s="3351"/>
      <c r="Z14" s="1145">
        <f t="shared" si="7"/>
        <v>111</v>
      </c>
      <c r="AA14" s="1556">
        <f t="shared" si="3"/>
        <v>1</v>
      </c>
      <c r="AB14" s="1556">
        <f t="shared" si="4"/>
        <v>1</v>
      </c>
      <c r="AC14" s="1556">
        <f t="shared" si="5"/>
        <v>1</v>
      </c>
    </row>
    <row r="15" spans="1:29" ht="99.75">
      <c r="A15" s="2864" t="s">
        <v>2754</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6"/>
      <c r="M15" s="2118"/>
      <c r="N15" s="2118"/>
      <c r="O15" s="2125"/>
      <c r="P15" s="3440" t="s">
        <v>540</v>
      </c>
      <c r="Q15" s="1557" t="str">
        <f t="shared" si="6"/>
        <v>居住社区成熟度</v>
      </c>
      <c r="R15" s="1558" t="s">
        <v>11</v>
      </c>
      <c r="S15" s="1559">
        <f t="shared" si="0"/>
        <v>100</v>
      </c>
      <c r="T15" s="1558" t="s">
        <v>11</v>
      </c>
      <c r="U15" s="1559">
        <f t="shared" si="1"/>
        <v>100</v>
      </c>
      <c r="V15" s="1558" t="s">
        <v>11</v>
      </c>
      <c r="W15" s="1559">
        <f t="shared" si="2"/>
        <v>100</v>
      </c>
      <c r="X15" s="1552"/>
      <c r="Y15" s="3440" t="s">
        <v>540</v>
      </c>
      <c r="Z15" s="1560" t="str">
        <f t="shared" si="7"/>
        <v>居住社区成熟度</v>
      </c>
      <c r="AA15" s="1561">
        <f t="shared" si="3"/>
        <v>1</v>
      </c>
      <c r="AB15" s="1561">
        <f t="shared" si="4"/>
        <v>1</v>
      </c>
      <c r="AC15" s="1561">
        <f t="shared" si="5"/>
        <v>1</v>
      </c>
    </row>
    <row r="16" spans="1:29" ht="15">
      <c r="A16" s="531"/>
      <c r="B16" s="868"/>
      <c r="C16" s="575"/>
      <c r="D16" s="554"/>
      <c r="E16" s="555"/>
      <c r="F16" s="556"/>
      <c r="G16" s="557"/>
      <c r="H16" s="558"/>
      <c r="I16" s="555"/>
      <c r="J16" s="554"/>
      <c r="K16" s="869"/>
      <c r="L16" s="2126"/>
      <c r="M16" s="2118"/>
      <c r="N16" s="2118"/>
      <c r="O16" s="2125"/>
      <c r="P16" s="3441"/>
      <c r="Q16" s="1557"/>
      <c r="R16" s="1558"/>
      <c r="S16" s="1559"/>
      <c r="T16" s="1558"/>
      <c r="U16" s="1559"/>
      <c r="V16" s="1558"/>
      <c r="W16" s="1559"/>
      <c r="X16" s="1552"/>
      <c r="Y16" s="3441"/>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6"/>
      <c r="M17" s="2118"/>
      <c r="N17" s="2118"/>
      <c r="O17" s="2125"/>
      <c r="P17" s="3441"/>
      <c r="Q17" s="1557" t="str">
        <f>B17</f>
        <v>交通便捷度</v>
      </c>
      <c r="R17" s="1558" t="s">
        <v>11</v>
      </c>
      <c r="S17" s="1559">
        <f>F17</f>
        <v>100</v>
      </c>
      <c r="T17" s="1558" t="s">
        <v>11</v>
      </c>
      <c r="U17" s="1559">
        <f>H17</f>
        <v>100</v>
      </c>
      <c r="V17" s="1558" t="s">
        <v>11</v>
      </c>
      <c r="W17" s="1559">
        <f>J17</f>
        <v>100</v>
      </c>
      <c r="X17" s="1552"/>
      <c r="Y17" s="3441"/>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69"/>
      <c r="L18" s="2126"/>
      <c r="M18" s="2118"/>
      <c r="N18" s="2118"/>
      <c r="O18" s="2125"/>
      <c r="P18" s="3441"/>
      <c r="Q18" s="1557"/>
      <c r="R18" s="1558"/>
      <c r="S18" s="1559"/>
      <c r="T18" s="1558"/>
      <c r="U18" s="1559"/>
      <c r="V18" s="1558"/>
      <c r="W18" s="1559"/>
      <c r="X18" s="1552"/>
      <c r="Y18" s="3441"/>
      <c r="Z18" s="1560"/>
      <c r="AA18" s="1561">
        <v>1</v>
      </c>
      <c r="AB18" s="1561">
        <v>1</v>
      </c>
      <c r="AC18" s="1561">
        <v>1</v>
      </c>
    </row>
    <row r="19" spans="1:29" ht="42.75">
      <c r="A19" s="531"/>
      <c r="B19" s="2563"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6"/>
      <c r="M19" s="2118"/>
      <c r="N19" s="2118"/>
      <c r="O19" s="2125"/>
      <c r="P19" s="3441"/>
      <c r="Q19" s="1557" t="str">
        <f>B19</f>
        <v>公共配套设施</v>
      </c>
      <c r="R19" s="1558" t="s">
        <v>11</v>
      </c>
      <c r="S19" s="1559">
        <f>F19</f>
        <v>100</v>
      </c>
      <c r="T19" s="1558" t="s">
        <v>11</v>
      </c>
      <c r="U19" s="1559">
        <f>H19</f>
        <v>100</v>
      </c>
      <c r="V19" s="1558" t="s">
        <v>11</v>
      </c>
      <c r="W19" s="1559">
        <f>J19</f>
        <v>100</v>
      </c>
      <c r="X19" s="1552"/>
      <c r="Y19" s="3441"/>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69"/>
      <c r="L20" s="2126"/>
      <c r="M20" s="2118"/>
      <c r="N20" s="2118"/>
      <c r="O20" s="2125"/>
      <c r="P20" s="3441"/>
      <c r="Q20" s="1557"/>
      <c r="R20" s="1558"/>
      <c r="S20" s="1559"/>
      <c r="T20" s="1558"/>
      <c r="U20" s="1559"/>
      <c r="V20" s="1558"/>
      <c r="W20" s="1559"/>
      <c r="X20" s="1552"/>
      <c r="Y20" s="3441"/>
      <c r="Z20" s="1560"/>
      <c r="AA20" s="1561">
        <v>1</v>
      </c>
      <c r="AB20" s="1561">
        <v>1</v>
      </c>
      <c r="AC20" s="1561">
        <v>1</v>
      </c>
    </row>
    <row r="21" spans="1:29" ht="28.5">
      <c r="A21" s="531"/>
      <c r="B21" s="2556"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6"/>
      <c r="M21" s="2118"/>
      <c r="N21" s="2118"/>
      <c r="O21" s="2125"/>
      <c r="P21" s="3441"/>
      <c r="Q21" s="2542" t="str">
        <f>B21</f>
        <v>基础设施水平</v>
      </c>
      <c r="R21" s="1558" t="s">
        <v>11</v>
      </c>
      <c r="S21" s="1559">
        <f>F21</f>
        <v>100</v>
      </c>
      <c r="T21" s="1558" t="s">
        <v>11</v>
      </c>
      <c r="U21" s="1559">
        <f>H21</f>
        <v>100</v>
      </c>
      <c r="V21" s="1558" t="s">
        <v>11</v>
      </c>
      <c r="W21" s="1559">
        <f>J21</f>
        <v>100</v>
      </c>
      <c r="X21" s="2544"/>
      <c r="Y21" s="3441"/>
      <c r="Z21" s="2543"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2"/>
      <c r="L22" s="2126"/>
      <c r="M22" s="2118"/>
      <c r="N22" s="2118"/>
      <c r="O22" s="2125"/>
      <c r="P22" s="3441"/>
      <c r="Q22" s="2542"/>
      <c r="R22" s="1558"/>
      <c r="S22" s="1559"/>
      <c r="T22" s="1558"/>
      <c r="U22" s="1559"/>
      <c r="V22" s="1558"/>
      <c r="W22" s="1559"/>
      <c r="X22" s="2544"/>
      <c r="Y22" s="3441"/>
      <c r="Z22" s="2543"/>
      <c r="AA22" s="1561">
        <v>1</v>
      </c>
      <c r="AB22" s="1561">
        <v>1</v>
      </c>
      <c r="AC22" s="1561">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6"/>
      <c r="M23" s="2118"/>
      <c r="N23" s="2118"/>
      <c r="O23" s="2125"/>
      <c r="P23" s="3441"/>
      <c r="Q23" s="1557" t="str">
        <f>B23</f>
        <v>自然及人文环境</v>
      </c>
      <c r="R23" s="1558" t="s">
        <v>11</v>
      </c>
      <c r="S23" s="1559">
        <f>F23</f>
        <v>100</v>
      </c>
      <c r="T23" s="1558" t="s">
        <v>11</v>
      </c>
      <c r="U23" s="1559">
        <f>H23</f>
        <v>100</v>
      </c>
      <c r="V23" s="1558" t="s">
        <v>11</v>
      </c>
      <c r="W23" s="1559">
        <f>J23</f>
        <v>100</v>
      </c>
      <c r="X23" s="1552"/>
      <c r="Y23" s="3441"/>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69"/>
      <c r="L24" s="2126"/>
      <c r="M24" s="2118"/>
      <c r="N24" s="2118"/>
      <c r="O24" s="2125"/>
      <c r="P24" s="3441"/>
      <c r="Q24" s="1557"/>
      <c r="R24" s="1558"/>
      <c r="S24" s="1559"/>
      <c r="T24" s="1558"/>
      <c r="U24" s="1559"/>
      <c r="V24" s="1558"/>
      <c r="W24" s="1559"/>
      <c r="X24" s="1552"/>
      <c r="Y24" s="3441"/>
      <c r="Z24" s="1560"/>
      <c r="AA24" s="1561">
        <v>1</v>
      </c>
      <c r="AB24" s="1561">
        <v>1</v>
      </c>
      <c r="AC24" s="1561">
        <v>1</v>
      </c>
    </row>
    <row r="25" spans="1:29" ht="15">
      <c r="A25" s="531"/>
      <c r="B25" s="1879" t="s">
        <v>2256</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441"/>
      <c r="Q25" s="1557" t="str">
        <f t="shared" ref="Q25:Q46" si="11">B25</f>
        <v>楼层-1</v>
      </c>
      <c r="R25" s="1558" t="s">
        <v>11</v>
      </c>
      <c r="S25" s="1559">
        <f>F25</f>
        <v>100</v>
      </c>
      <c r="T25" s="1558" t="s">
        <v>11</v>
      </c>
      <c r="U25" s="1559">
        <f>H25</f>
        <v>100</v>
      </c>
      <c r="V25" s="1558" t="s">
        <v>11</v>
      </c>
      <c r="W25" s="1559">
        <f>J25</f>
        <v>100</v>
      </c>
      <c r="X25" s="1552"/>
      <c r="Y25" s="3441"/>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441"/>
      <c r="Q26" s="1557" t="str">
        <f t="shared" si="11"/>
        <v>朝向</v>
      </c>
      <c r="R26" s="1558" t="s">
        <v>11</v>
      </c>
      <c r="S26" s="1559">
        <f>F26</f>
        <v>100</v>
      </c>
      <c r="T26" s="1558" t="s">
        <v>11</v>
      </c>
      <c r="U26" s="1559">
        <f>H26</f>
        <v>100</v>
      </c>
      <c r="V26" s="1558" t="s">
        <v>11</v>
      </c>
      <c r="W26" s="1559">
        <f>J26</f>
        <v>100</v>
      </c>
      <c r="X26" s="1552"/>
      <c r="Y26" s="3441"/>
      <c r="Z26" s="1560" t="str">
        <f>Q26</f>
        <v>朝向</v>
      </c>
      <c r="AA26" s="1561">
        <f t="shared" si="3"/>
        <v>1</v>
      </c>
      <c r="AB26" s="1561">
        <f t="shared" si="4"/>
        <v>1</v>
      </c>
      <c r="AC26" s="1561">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441"/>
      <c r="Q27" s="1146" t="str">
        <f t="shared" si="11"/>
        <v>道路级别</v>
      </c>
      <c r="R27" s="1553" t="s">
        <v>11</v>
      </c>
      <c r="S27" s="1554">
        <f>F27</f>
        <v>100</v>
      </c>
      <c r="T27" s="1553" t="s">
        <v>11</v>
      </c>
      <c r="U27" s="1554">
        <f>H27</f>
        <v>100</v>
      </c>
      <c r="V27" s="1553" t="s">
        <v>11</v>
      </c>
      <c r="W27" s="1554">
        <f>J27</f>
        <v>100</v>
      </c>
      <c r="X27" s="1555"/>
      <c r="Y27" s="3441"/>
      <c r="Z27" s="1145" t="str">
        <f>Q27</f>
        <v>道路级别</v>
      </c>
      <c r="AA27" s="1561">
        <f>D27/F27</f>
        <v>1</v>
      </c>
      <c r="AB27" s="1561">
        <f>D27/H27</f>
        <v>1</v>
      </c>
      <c r="AC27" s="156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441"/>
      <c r="Q28" s="1557">
        <f t="shared" si="11"/>
        <v>111</v>
      </c>
      <c r="R28" s="1558" t="s">
        <v>11</v>
      </c>
      <c r="S28" s="1559">
        <f t="shared" ref="S28:S46" si="12">F28</f>
        <v>100</v>
      </c>
      <c r="T28" s="1558" t="s">
        <v>11</v>
      </c>
      <c r="U28" s="1559">
        <f t="shared" ref="U28:U46" si="13">H28</f>
        <v>100</v>
      </c>
      <c r="V28" s="1558" t="s">
        <v>11</v>
      </c>
      <c r="W28" s="1559">
        <f t="shared" ref="W28:W46" si="14">J28</f>
        <v>100</v>
      </c>
      <c r="X28" s="1552"/>
      <c r="Y28" s="3441"/>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441"/>
      <c r="Q29" s="1557">
        <f t="shared" si="11"/>
        <v>111</v>
      </c>
      <c r="R29" s="1558" t="s">
        <v>11</v>
      </c>
      <c r="S29" s="1559">
        <f t="shared" si="12"/>
        <v>100</v>
      </c>
      <c r="T29" s="1558" t="s">
        <v>11</v>
      </c>
      <c r="U29" s="1559">
        <f t="shared" si="13"/>
        <v>100</v>
      </c>
      <c r="V29" s="1558" t="s">
        <v>11</v>
      </c>
      <c r="W29" s="1559">
        <f t="shared" si="14"/>
        <v>100</v>
      </c>
      <c r="X29" s="1552"/>
      <c r="Y29" s="3441"/>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441"/>
      <c r="Q30" s="1557">
        <f t="shared" si="11"/>
        <v>111</v>
      </c>
      <c r="R30" s="1558" t="s">
        <v>11</v>
      </c>
      <c r="S30" s="1559">
        <f t="shared" si="12"/>
        <v>100</v>
      </c>
      <c r="T30" s="1558" t="s">
        <v>11</v>
      </c>
      <c r="U30" s="1559">
        <f t="shared" si="13"/>
        <v>100</v>
      </c>
      <c r="V30" s="1558" t="s">
        <v>11</v>
      </c>
      <c r="W30" s="1559">
        <f t="shared" si="14"/>
        <v>100</v>
      </c>
      <c r="X30" s="1552"/>
      <c r="Y30" s="3441"/>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441"/>
      <c r="Q31" s="1557">
        <f t="shared" si="11"/>
        <v>111</v>
      </c>
      <c r="R31" s="1558" t="s">
        <v>11</v>
      </c>
      <c r="S31" s="1559">
        <f t="shared" si="12"/>
        <v>100</v>
      </c>
      <c r="T31" s="1558" t="s">
        <v>11</v>
      </c>
      <c r="U31" s="1559">
        <f t="shared" si="13"/>
        <v>100</v>
      </c>
      <c r="V31" s="1558" t="s">
        <v>11</v>
      </c>
      <c r="W31" s="1559">
        <f t="shared" si="14"/>
        <v>100</v>
      </c>
      <c r="X31" s="1552"/>
      <c r="Y31" s="3441"/>
      <c r="Z31" s="1560">
        <f t="shared" si="15"/>
        <v>111</v>
      </c>
      <c r="AA31" s="1561">
        <f t="shared" si="3"/>
        <v>1</v>
      </c>
      <c r="AB31" s="1561">
        <f t="shared" si="4"/>
        <v>1</v>
      </c>
      <c r="AC31" s="1561">
        <f t="shared" si="5"/>
        <v>1</v>
      </c>
    </row>
    <row r="32" spans="1:29" ht="15">
      <c r="A32" s="2861" t="s">
        <v>2755</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6"/>
      <c r="M32" s="2118"/>
      <c r="N32" s="2118"/>
      <c r="O32" s="2125"/>
      <c r="P32" s="3442" t="s">
        <v>550</v>
      </c>
      <c r="Q32" s="1557" t="str">
        <f t="shared" si="11"/>
        <v>建筑类型</v>
      </c>
      <c r="R32" s="1558" t="s">
        <v>11</v>
      </c>
      <c r="S32" s="1559">
        <f t="shared" si="12"/>
        <v>100</v>
      </c>
      <c r="T32" s="1558" t="s">
        <v>11</v>
      </c>
      <c r="U32" s="1559">
        <f t="shared" si="13"/>
        <v>100</v>
      </c>
      <c r="V32" s="1558" t="s">
        <v>11</v>
      </c>
      <c r="W32" s="1559">
        <f t="shared" si="14"/>
        <v>100</v>
      </c>
      <c r="X32" s="1552"/>
      <c r="Y32" s="3443" t="s">
        <v>550</v>
      </c>
      <c r="Z32" s="1560" t="str">
        <f t="shared" si="15"/>
        <v>建筑类型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4"/>
      <c r="M33" s="2155"/>
      <c r="N33" s="2155"/>
      <c r="O33" s="2127"/>
      <c r="P33" s="3443"/>
      <c r="Q33" s="1589" t="str">
        <f t="shared" si="11"/>
        <v>项目建筑规模</v>
      </c>
      <c r="R33" s="1562" t="s">
        <v>11</v>
      </c>
      <c r="S33" s="1563" t="e">
        <f t="shared" si="12"/>
        <v>#N/A</v>
      </c>
      <c r="T33" s="1562" t="s">
        <v>11</v>
      </c>
      <c r="U33" s="1563" t="e">
        <f t="shared" si="13"/>
        <v>#N/A</v>
      </c>
      <c r="V33" s="1562" t="s">
        <v>11</v>
      </c>
      <c r="W33" s="1563" t="e">
        <f t="shared" si="14"/>
        <v>#N/A</v>
      </c>
      <c r="X33" s="1564"/>
      <c r="Y33" s="3443"/>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6"/>
      <c r="M34" s="2118"/>
      <c r="N34" s="2118"/>
      <c r="O34" s="2125"/>
      <c r="P34" s="3443"/>
      <c r="Q34" s="1557" t="str">
        <f t="shared" si="11"/>
        <v>建筑结构</v>
      </c>
      <c r="R34" s="1558" t="s">
        <v>11</v>
      </c>
      <c r="S34" s="1559">
        <f t="shared" si="12"/>
        <v>100</v>
      </c>
      <c r="T34" s="1558" t="s">
        <v>11</v>
      </c>
      <c r="U34" s="1559">
        <f t="shared" si="13"/>
        <v>100</v>
      </c>
      <c r="V34" s="1558" t="s">
        <v>11</v>
      </c>
      <c r="W34" s="1559">
        <f t="shared" si="14"/>
        <v>100</v>
      </c>
      <c r="X34" s="1552"/>
      <c r="Y34" s="3443"/>
      <c r="Z34" s="1560" t="str">
        <f t="shared" si="15"/>
        <v>建筑结构</v>
      </c>
      <c r="AA34" s="1561">
        <f t="shared" si="3"/>
        <v>1</v>
      </c>
      <c r="AB34" s="1561">
        <f t="shared" si="4"/>
        <v>1</v>
      </c>
      <c r="AC34" s="1561">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6"/>
      <c r="M35" s="2118"/>
      <c r="N35" s="2118"/>
      <c r="O35" s="2125"/>
      <c r="P35" s="3443"/>
      <c r="Q35" s="1557" t="str">
        <f t="shared" si="11"/>
        <v>建筑品质</v>
      </c>
      <c r="R35" s="1558" t="s">
        <v>11</v>
      </c>
      <c r="S35" s="1559">
        <f t="shared" si="12"/>
        <v>100</v>
      </c>
      <c r="T35" s="1558" t="s">
        <v>11</v>
      </c>
      <c r="U35" s="1559">
        <f t="shared" si="13"/>
        <v>100</v>
      </c>
      <c r="V35" s="1558" t="s">
        <v>11</v>
      </c>
      <c r="W35" s="1559">
        <f t="shared" si="14"/>
        <v>100</v>
      </c>
      <c r="X35" s="1552"/>
      <c r="Y35" s="3443"/>
      <c r="Z35" s="1560" t="str">
        <f t="shared" si="15"/>
        <v>建筑品质</v>
      </c>
      <c r="AA35" s="1561">
        <f t="shared" si="3"/>
        <v>1</v>
      </c>
      <c r="AB35" s="1561">
        <f t="shared" si="4"/>
        <v>1</v>
      </c>
      <c r="AC35" s="1561">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443"/>
      <c r="Q36" s="1557" t="str">
        <f t="shared" si="11"/>
        <v>公共部分装修</v>
      </c>
      <c r="R36" s="1558" t="s">
        <v>11</v>
      </c>
      <c r="S36" s="1559">
        <f t="shared" si="12"/>
        <v>100</v>
      </c>
      <c r="T36" s="1558" t="s">
        <v>11</v>
      </c>
      <c r="U36" s="1559">
        <f t="shared" si="13"/>
        <v>100</v>
      </c>
      <c r="V36" s="1558" t="s">
        <v>11</v>
      </c>
      <c r="W36" s="1559">
        <f t="shared" si="14"/>
        <v>100</v>
      </c>
      <c r="X36" s="1552"/>
      <c r="Y36" s="3443"/>
      <c r="Z36" s="1560" t="str">
        <f t="shared" si="15"/>
        <v>公共部分装修</v>
      </c>
      <c r="AA36" s="1561">
        <f t="shared" si="3"/>
        <v>1</v>
      </c>
      <c r="AB36" s="1561">
        <f t="shared" si="4"/>
        <v>1</v>
      </c>
      <c r="AC36" s="1561">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9"/>
      <c r="M37" s="2120"/>
      <c r="N37" s="2120"/>
      <c r="O37" s="2121"/>
      <c r="P37" s="3443"/>
      <c r="Q37" s="1146" t="str">
        <f t="shared" si="11"/>
        <v>成新度</v>
      </c>
      <c r="R37" s="1553" t="s">
        <v>11</v>
      </c>
      <c r="S37" s="1554" t="e">
        <f t="shared" si="12"/>
        <v>#N/A</v>
      </c>
      <c r="T37" s="1553" t="s">
        <v>11</v>
      </c>
      <c r="U37" s="1554" t="e">
        <f t="shared" si="13"/>
        <v>#N/A</v>
      </c>
      <c r="V37" s="1553" t="s">
        <v>11</v>
      </c>
      <c r="W37" s="1554" t="e">
        <f t="shared" si="14"/>
        <v>#N/A</v>
      </c>
      <c r="X37" s="1555"/>
      <c r="Y37" s="3443"/>
      <c r="Z37" s="1145" t="str">
        <f t="shared" si="15"/>
        <v>成新度</v>
      </c>
      <c r="AA37" s="1556" t="e">
        <f t="shared" si="3"/>
        <v>#N/A</v>
      </c>
      <c r="AB37" s="1556" t="e">
        <f t="shared" si="4"/>
        <v>#N/A</v>
      </c>
      <c r="AC37" s="1556"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443" t="s">
        <v>550</v>
      </c>
      <c r="Q38" s="1557" t="str">
        <f t="shared" si="11"/>
        <v>物业管理</v>
      </c>
      <c r="R38" s="1558" t="s">
        <v>11</v>
      </c>
      <c r="S38" s="1559">
        <f t="shared" si="12"/>
        <v>100</v>
      </c>
      <c r="T38" s="1558" t="s">
        <v>11</v>
      </c>
      <c r="U38" s="1559">
        <f t="shared" si="13"/>
        <v>100</v>
      </c>
      <c r="V38" s="1558" t="s">
        <v>11</v>
      </c>
      <c r="W38" s="1559">
        <f t="shared" si="14"/>
        <v>100</v>
      </c>
      <c r="X38" s="1552"/>
      <c r="Y38" s="3443" t="s">
        <v>550</v>
      </c>
      <c r="Z38" s="1560" t="str">
        <f t="shared" si="15"/>
        <v>物业管理</v>
      </c>
      <c r="AA38" s="1561">
        <f t="shared" si="3"/>
        <v>1</v>
      </c>
      <c r="AB38" s="1561">
        <f t="shared" si="4"/>
        <v>1</v>
      </c>
      <c r="AC38" s="1561">
        <f t="shared" si="5"/>
        <v>1</v>
      </c>
    </row>
    <row r="39" spans="1:29" ht="15">
      <c r="A39" s="593"/>
      <c r="B39" s="1879"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6"/>
      <c r="M39" s="2118"/>
      <c r="N39" s="2118"/>
      <c r="O39" s="2125"/>
      <c r="P39" s="3443"/>
      <c r="Q39" s="1557" t="str">
        <f t="shared" si="11"/>
        <v>市政基础设施</v>
      </c>
      <c r="R39" s="1558" t="s">
        <v>11</v>
      </c>
      <c r="S39" s="1559">
        <f t="shared" si="12"/>
        <v>100</v>
      </c>
      <c r="T39" s="1558" t="s">
        <v>11</v>
      </c>
      <c r="U39" s="1559">
        <f t="shared" si="13"/>
        <v>100</v>
      </c>
      <c r="V39" s="1558" t="s">
        <v>11</v>
      </c>
      <c r="W39" s="1559">
        <f t="shared" si="14"/>
        <v>100</v>
      </c>
      <c r="X39" s="1552"/>
      <c r="Y39" s="3443"/>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443"/>
      <c r="Q40" s="1557" t="str">
        <f t="shared" si="11"/>
        <v>房型</v>
      </c>
      <c r="R40" s="1558" t="s">
        <v>11</v>
      </c>
      <c r="S40" s="1559">
        <f t="shared" si="12"/>
        <v>100</v>
      </c>
      <c r="T40" s="1558" t="s">
        <v>11</v>
      </c>
      <c r="U40" s="1559">
        <f t="shared" si="13"/>
        <v>100</v>
      </c>
      <c r="V40" s="1558" t="s">
        <v>11</v>
      </c>
      <c r="W40" s="1559">
        <f t="shared" si="14"/>
        <v>100</v>
      </c>
      <c r="X40" s="1552"/>
      <c r="Y40" s="3443"/>
      <c r="Z40" s="1560" t="str">
        <f t="shared" si="15"/>
        <v>房型</v>
      </c>
      <c r="AA40" s="1561">
        <f t="shared" si="3"/>
        <v>1</v>
      </c>
      <c r="AB40" s="1561">
        <f t="shared" si="4"/>
        <v>1</v>
      </c>
      <c r="AC40" s="1561">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443"/>
      <c r="Q41" s="1589" t="str">
        <f t="shared" si="11"/>
        <v>单套/主力户型建筑面积</v>
      </c>
      <c r="R41" s="1562" t="s">
        <v>11</v>
      </c>
      <c r="S41" s="1563">
        <f t="shared" si="12"/>
        <v>100</v>
      </c>
      <c r="T41" s="1562" t="s">
        <v>11</v>
      </c>
      <c r="U41" s="1563">
        <f t="shared" si="13"/>
        <v>100</v>
      </c>
      <c r="V41" s="1562" t="s">
        <v>11</v>
      </c>
      <c r="W41" s="1563">
        <f t="shared" si="14"/>
        <v>100</v>
      </c>
      <c r="X41" s="1564"/>
      <c r="Y41" s="3443"/>
      <c r="Z41" s="1565" t="str">
        <f t="shared" si="15"/>
        <v>单套/主力户型建筑面积</v>
      </c>
      <c r="AA41" s="1561">
        <f t="shared" si="3"/>
        <v>1</v>
      </c>
      <c r="AB41" s="1561">
        <f t="shared" si="4"/>
        <v>1</v>
      </c>
      <c r="AC41" s="1561">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6"/>
      <c r="M42" s="2118"/>
      <c r="N42" s="2118"/>
      <c r="O42" s="2125"/>
      <c r="P42" s="3443"/>
      <c r="Q42" s="1557" t="str">
        <f t="shared" si="11"/>
        <v>内部装修</v>
      </c>
      <c r="R42" s="1558" t="s">
        <v>11</v>
      </c>
      <c r="S42" s="1559">
        <f t="shared" si="12"/>
        <v>100</v>
      </c>
      <c r="T42" s="1558" t="s">
        <v>11</v>
      </c>
      <c r="U42" s="1559">
        <f t="shared" si="13"/>
        <v>100</v>
      </c>
      <c r="V42" s="1558" t="s">
        <v>11</v>
      </c>
      <c r="W42" s="1559">
        <f t="shared" si="14"/>
        <v>100</v>
      </c>
      <c r="X42" s="1552"/>
      <c r="Y42" s="3443"/>
      <c r="Z42" s="1560" t="str">
        <f t="shared" si="15"/>
        <v>内部装修</v>
      </c>
      <c r="AA42" s="1561">
        <f t="shared" si="3"/>
        <v>1</v>
      </c>
      <c r="AB42" s="1561">
        <f t="shared" si="4"/>
        <v>1</v>
      </c>
      <c r="AC42" s="1561">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6"/>
      <c r="M43" s="2118"/>
      <c r="N43" s="2118"/>
      <c r="O43" s="2125"/>
      <c r="P43" s="3443"/>
      <c r="Q43" s="1557" t="str">
        <f t="shared" si="11"/>
        <v>内部装修维护情况</v>
      </c>
      <c r="R43" s="1558" t="s">
        <v>11</v>
      </c>
      <c r="S43" s="1559">
        <f t="shared" si="12"/>
        <v>100</v>
      </c>
      <c r="T43" s="1558" t="s">
        <v>11</v>
      </c>
      <c r="U43" s="1559">
        <f t="shared" si="13"/>
        <v>100</v>
      </c>
      <c r="V43" s="1558" t="s">
        <v>11</v>
      </c>
      <c r="W43" s="1559">
        <f t="shared" si="14"/>
        <v>100</v>
      </c>
      <c r="X43" s="1552"/>
      <c r="Y43" s="3443"/>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443"/>
      <c r="Q44" s="1146">
        <f t="shared" si="11"/>
        <v>111</v>
      </c>
      <c r="R44" s="1553" t="s">
        <v>11</v>
      </c>
      <c r="S44" s="1554">
        <f t="shared" si="12"/>
        <v>100</v>
      </c>
      <c r="T44" s="1553" t="s">
        <v>11</v>
      </c>
      <c r="U44" s="1554">
        <f t="shared" si="13"/>
        <v>100</v>
      </c>
      <c r="V44" s="1553" t="s">
        <v>11</v>
      </c>
      <c r="W44" s="1554">
        <f t="shared" si="14"/>
        <v>100</v>
      </c>
      <c r="X44" s="1555"/>
      <c r="Y44" s="3443"/>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443"/>
      <c r="Q45" s="1557">
        <f t="shared" si="11"/>
        <v>111</v>
      </c>
      <c r="R45" s="1558" t="s">
        <v>11</v>
      </c>
      <c r="S45" s="1559">
        <f t="shared" si="12"/>
        <v>100</v>
      </c>
      <c r="T45" s="1558" t="s">
        <v>11</v>
      </c>
      <c r="U45" s="1559">
        <f t="shared" si="13"/>
        <v>100</v>
      </c>
      <c r="V45" s="1558" t="s">
        <v>11</v>
      </c>
      <c r="W45" s="1559">
        <f t="shared" si="14"/>
        <v>100</v>
      </c>
      <c r="X45" s="1552"/>
      <c r="Y45" s="3443"/>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513"/>
      <c r="Q46" s="1557">
        <f t="shared" si="11"/>
        <v>111</v>
      </c>
      <c r="R46" s="1558" t="s">
        <v>10</v>
      </c>
      <c r="S46" s="1559">
        <f t="shared" si="12"/>
        <v>100</v>
      </c>
      <c r="T46" s="1558" t="s">
        <v>10</v>
      </c>
      <c r="U46" s="1559">
        <f t="shared" si="13"/>
        <v>100</v>
      </c>
      <c r="V46" s="1558" t="s">
        <v>10</v>
      </c>
      <c r="W46" s="1559">
        <f t="shared" si="14"/>
        <v>100</v>
      </c>
      <c r="X46" s="1552"/>
      <c r="Y46" s="3513"/>
      <c r="Z46" s="1560">
        <f t="shared" si="15"/>
        <v>111</v>
      </c>
      <c r="AA46" s="1561">
        <f t="shared" si="3"/>
        <v>1</v>
      </c>
      <c r="AB46" s="1561">
        <f t="shared" si="4"/>
        <v>1</v>
      </c>
      <c r="AC46" s="1561">
        <f t="shared" si="5"/>
        <v>1</v>
      </c>
    </row>
    <row r="47" spans="1:29" ht="15">
      <c r="A47" s="606" t="s">
        <v>736</v>
      </c>
      <c r="B47" s="886"/>
      <c r="C47" s="2590" t="s">
        <v>9</v>
      </c>
      <c r="D47" s="2591"/>
      <c r="E47" s="2592"/>
      <c r="F47" s="2593"/>
      <c r="G47" s="2594"/>
      <c r="H47" s="2595"/>
      <c r="I47" s="2592"/>
      <c r="J47" s="2595"/>
      <c r="K47" s="1590"/>
      <c r="L47" s="2128"/>
      <c r="M47" s="2129"/>
      <c r="N47" s="2118"/>
      <c r="O47" s="2129"/>
      <c r="P47" s="3405" t="str">
        <f>A47</f>
        <v>成交单价（元/平方米）</v>
      </c>
      <c r="Q47" s="3405"/>
      <c r="R47" s="3512">
        <f>E47</f>
        <v>0</v>
      </c>
      <c r="S47" s="3512"/>
      <c r="T47" s="3512">
        <f>G47</f>
        <v>0</v>
      </c>
      <c r="U47" s="3512"/>
      <c r="V47" s="3512">
        <f>I47</f>
        <v>0</v>
      </c>
      <c r="W47" s="3512"/>
      <c r="X47" s="1544"/>
      <c r="Y47" s="1566"/>
      <c r="Z47" s="1544"/>
      <c r="AA47" s="1544"/>
      <c r="AB47" s="1544"/>
      <c r="AC47" s="1544"/>
    </row>
    <row r="48" spans="1:29" ht="15.75" thickBot="1">
      <c r="A48" s="614" t="s">
        <v>2760</v>
      </c>
      <c r="B48" s="887"/>
      <c r="C48" s="2596" t="e">
        <f>R49</f>
        <v>#DIV/0!</v>
      </c>
      <c r="D48" s="2597"/>
      <c r="E48" s="2598" t="e">
        <f>R48</f>
        <v>#DIV/0!</v>
      </c>
      <c r="F48" s="2598"/>
      <c r="G48" s="2596" t="e">
        <f>T48</f>
        <v>#DIV/0!</v>
      </c>
      <c r="H48" s="2597"/>
      <c r="I48" s="2598" t="e">
        <f>V48</f>
        <v>#DIV/0!</v>
      </c>
      <c r="J48" s="2597"/>
      <c r="K48" s="1591"/>
      <c r="L48" s="2128"/>
      <c r="M48" s="2129"/>
      <c r="N48" s="2129"/>
      <c r="O48" s="2129"/>
      <c r="P48" s="3405" t="str">
        <f>A48</f>
        <v>比较价格（元/平方米）</v>
      </c>
      <c r="Q48" s="3405"/>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1544"/>
      <c r="Y48" s="1544"/>
      <c r="Z48" s="1544"/>
      <c r="AA48" s="1544"/>
      <c r="AB48" s="1544"/>
      <c r="AC48" s="1544"/>
    </row>
    <row r="49" spans="1:29" ht="15.75" thickBot="1">
      <c r="A49" s="620" t="s">
        <v>2937</v>
      </c>
      <c r="B49" s="621"/>
      <c r="C49" s="2599" t="e">
        <f>R49</f>
        <v>#DIV/0!</v>
      </c>
      <c r="D49" s="2599"/>
      <c r="E49" s="2599"/>
      <c r="F49" s="2599"/>
      <c r="G49" s="2599"/>
      <c r="H49" s="2599"/>
      <c r="I49" s="2599"/>
      <c r="J49" s="2599"/>
      <c r="K49" s="1592"/>
      <c r="L49" s="2128"/>
      <c r="M49" s="2129"/>
      <c r="N49" s="2129"/>
      <c r="O49" s="2129"/>
      <c r="P49" s="3402" t="str">
        <f>A49</f>
        <v>估价对象XX用房的比较价格（楼面单价，元/平方米）</v>
      </c>
      <c r="Q49" s="3403"/>
      <c r="R49" s="3511" t="e">
        <f>IF(F1="售价",ROUND(AVERAGE(R48:V48),0),ROUND(AVERAGE(R48:V48),1))</f>
        <v>#DIV/0!</v>
      </c>
      <c r="S49" s="3511"/>
      <c r="T49" s="3511"/>
      <c r="U49" s="3511"/>
      <c r="V49" s="3511"/>
      <c r="W49" s="351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8" t="str">
        <f>YEAR(C7)&amp;"-"&amp;MONTH(C7)</f>
        <v>2020-1</v>
      </c>
      <c r="D58" s="2758">
        <f>EDATE(C58,-1)</f>
        <v>43800</v>
      </c>
      <c r="E58" s="2758">
        <f t="shared" ref="E58:O58" si="16">EDATE(D58,-1)</f>
        <v>43770</v>
      </c>
      <c r="F58" s="2758">
        <f t="shared" si="16"/>
        <v>43739</v>
      </c>
      <c r="G58" s="2758">
        <f t="shared" si="16"/>
        <v>43709</v>
      </c>
      <c r="H58" s="2758">
        <f t="shared" si="16"/>
        <v>43678</v>
      </c>
      <c r="I58" s="2758">
        <f t="shared" si="16"/>
        <v>43647</v>
      </c>
      <c r="J58" s="2758">
        <f t="shared" si="16"/>
        <v>43617</v>
      </c>
      <c r="K58" s="2758">
        <f t="shared" si="16"/>
        <v>43586</v>
      </c>
      <c r="L58" s="2758">
        <f t="shared" si="16"/>
        <v>43556</v>
      </c>
      <c r="M58" s="2758">
        <f t="shared" si="16"/>
        <v>43525</v>
      </c>
      <c r="N58" s="2758">
        <f t="shared" si="16"/>
        <v>43497</v>
      </c>
      <c r="O58" s="2758">
        <f t="shared" si="16"/>
        <v>43466</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717"/>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2556</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733</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3"/>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3411" t="s">
        <v>522</v>
      </c>
      <c r="D4" s="3412"/>
      <c r="E4" s="3446" t="s">
        <v>523</v>
      </c>
      <c r="F4" s="3447"/>
      <c r="G4" s="3411" t="s">
        <v>524</v>
      </c>
      <c r="H4" s="3412"/>
      <c r="I4" s="3411" t="s">
        <v>525</v>
      </c>
      <c r="J4" s="3412"/>
      <c r="K4" s="513" t="s">
        <v>526</v>
      </c>
      <c r="L4" s="2117"/>
      <c r="M4" s="2118"/>
      <c r="N4" s="2118"/>
      <c r="O4" s="2118"/>
      <c r="P4" s="3413" t="s">
        <v>527</v>
      </c>
      <c r="Q4" s="3414"/>
      <c r="R4" s="3419" t="s">
        <v>523</v>
      </c>
      <c r="S4" s="3420"/>
      <c r="T4" s="3419" t="s">
        <v>524</v>
      </c>
      <c r="U4" s="3420"/>
      <c r="V4" s="3406" t="s">
        <v>525</v>
      </c>
      <c r="W4" s="3406"/>
      <c r="X4" s="1552"/>
      <c r="Y4" s="3419" t="s">
        <v>527</v>
      </c>
      <c r="Z4" s="3420"/>
      <c r="AA4" s="3408" t="s">
        <v>523</v>
      </c>
      <c r="AB4" s="3406" t="s">
        <v>524</v>
      </c>
      <c r="AC4" s="3408" t="s">
        <v>525</v>
      </c>
    </row>
    <row r="5" spans="1:29" ht="15">
      <c r="A5" s="514"/>
      <c r="B5" s="515"/>
      <c r="C5" s="3427" t="s">
        <v>2931</v>
      </c>
      <c r="D5" s="3428"/>
      <c r="E5" s="3448" t="s">
        <v>2932</v>
      </c>
      <c r="F5" s="3449"/>
      <c r="G5" s="3427" t="s">
        <v>2933</v>
      </c>
      <c r="H5" s="3428"/>
      <c r="I5" s="3427" t="s">
        <v>2934</v>
      </c>
      <c r="J5" s="3428"/>
      <c r="K5" s="513"/>
      <c r="L5" s="2117"/>
      <c r="M5" s="2118"/>
      <c r="N5" s="2118"/>
      <c r="O5" s="2118"/>
      <c r="P5" s="3415"/>
      <c r="Q5" s="3416"/>
      <c r="R5" s="3421"/>
      <c r="S5" s="3422"/>
      <c r="T5" s="3421"/>
      <c r="U5" s="3422"/>
      <c r="V5" s="3406"/>
      <c r="W5" s="3406"/>
      <c r="X5" s="1552"/>
      <c r="Y5" s="3421"/>
      <c r="Z5" s="3422"/>
      <c r="AA5" s="3409"/>
      <c r="AB5" s="3406"/>
      <c r="AC5" s="3409"/>
    </row>
    <row r="6" spans="1:29" ht="15.75" thickBot="1">
      <c r="A6" s="516"/>
      <c r="B6" s="517"/>
      <c r="C6" s="3425" t="s">
        <v>2935</v>
      </c>
      <c r="D6" s="3426"/>
      <c r="E6" s="3444" t="s">
        <v>2935</v>
      </c>
      <c r="F6" s="3445"/>
      <c r="G6" s="3425" t="s">
        <v>2935</v>
      </c>
      <c r="H6" s="3426"/>
      <c r="I6" s="3425" t="s">
        <v>2935</v>
      </c>
      <c r="J6" s="3426"/>
      <c r="K6" s="513" t="s">
        <v>528</v>
      </c>
      <c r="L6" s="2117"/>
      <c r="M6" s="2118"/>
      <c r="N6" s="2118"/>
      <c r="O6" s="2118"/>
      <c r="P6" s="3417"/>
      <c r="Q6" s="3418"/>
      <c r="R6" s="3421"/>
      <c r="S6" s="3422"/>
      <c r="T6" s="3423"/>
      <c r="U6" s="3424"/>
      <c r="V6" s="3406"/>
      <c r="W6" s="3406"/>
      <c r="X6" s="1552"/>
      <c r="Y6" s="3423"/>
      <c r="Z6" s="3424"/>
      <c r="AA6" s="3410"/>
      <c r="AB6" s="3406"/>
      <c r="AC6" s="3410"/>
    </row>
    <row r="7" spans="1:29" s="1215" customFormat="1" ht="15.75" thickBot="1">
      <c r="A7" s="2866"/>
      <c r="B7" s="2873" t="s">
        <v>529</v>
      </c>
      <c r="C7" s="518">
        <f>'数据-取费表'!B2</f>
        <v>43833</v>
      </c>
      <c r="D7" s="519">
        <v>100</v>
      </c>
      <c r="E7" s="520"/>
      <c r="F7" s="521">
        <f>SUMIF(58:58,YEAR(E7)&amp;"-"&amp;MONTH(E7),59:59)</f>
        <v>0</v>
      </c>
      <c r="G7" s="520"/>
      <c r="H7" s="519">
        <f>SUMIF(58:58,YEAR(G7)&amp;"-"&amp;MONTH(G7),59:59)</f>
        <v>0</v>
      </c>
      <c r="I7" s="520"/>
      <c r="J7" s="519">
        <f>SUMIF(58:58,YEAR(I7)&amp;"-"&amp;MONTH(I7),59:59)</f>
        <v>0</v>
      </c>
      <c r="K7" s="523"/>
      <c r="L7" s="2119"/>
      <c r="M7" s="2120"/>
      <c r="N7" s="2120"/>
      <c r="O7" s="2120"/>
      <c r="P7" s="3437" t="s">
        <v>530</v>
      </c>
      <c r="Q7" s="3439"/>
      <c r="R7" s="1553" t="s">
        <v>8</v>
      </c>
      <c r="S7" s="1554">
        <f t="shared" ref="S7:S15" si="0">F7</f>
        <v>0</v>
      </c>
      <c r="T7" s="1553" t="s">
        <v>8</v>
      </c>
      <c r="U7" s="1554">
        <f t="shared" ref="U7:U15" si="1">H7</f>
        <v>0</v>
      </c>
      <c r="V7" s="1553" t="s">
        <v>8</v>
      </c>
      <c r="W7" s="1554">
        <f t="shared" ref="W7:W15" si="2">J7</f>
        <v>0</v>
      </c>
      <c r="X7" s="1555"/>
      <c r="Y7" s="3437" t="s">
        <v>530</v>
      </c>
      <c r="Z7" s="3438"/>
      <c r="AA7" s="1556" t="e">
        <f>D7/F7</f>
        <v>#DIV/0!</v>
      </c>
      <c r="AB7" s="1556" t="e">
        <f>D7/H7</f>
        <v>#DIV/0!</v>
      </c>
      <c r="AC7" s="1556" t="e">
        <f>D7/J7</f>
        <v>#DIV/0!</v>
      </c>
    </row>
    <row r="8" spans="1:29" s="1215" customFormat="1" ht="15.75" thickBot="1">
      <c r="A8" s="2867"/>
      <c r="B8" s="2874" t="s">
        <v>531</v>
      </c>
      <c r="C8" s="524" t="s">
        <v>576</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437" t="s">
        <v>533</v>
      </c>
      <c r="Q8" s="3438"/>
      <c r="R8" s="1553" t="s">
        <v>8</v>
      </c>
      <c r="S8" s="1554">
        <f t="shared" si="0"/>
        <v>0</v>
      </c>
      <c r="T8" s="1553" t="s">
        <v>8</v>
      </c>
      <c r="U8" s="1554">
        <f t="shared" si="1"/>
        <v>0</v>
      </c>
      <c r="V8" s="1553" t="s">
        <v>8</v>
      </c>
      <c r="W8" s="1554">
        <f t="shared" si="2"/>
        <v>0</v>
      </c>
      <c r="X8" s="1555"/>
      <c r="Y8" s="3437" t="s">
        <v>533</v>
      </c>
      <c r="Z8" s="3438"/>
      <c r="AA8" s="1556" t="e">
        <f t="shared" ref="AA8:AA46" si="3">D8/F8</f>
        <v>#DIV/0!</v>
      </c>
      <c r="AB8" s="1556" t="e">
        <f t="shared" ref="AB8:AB46" si="4">D8/H8</f>
        <v>#DIV/0!</v>
      </c>
      <c r="AC8" s="1556" t="e">
        <f t="shared" ref="AC8:AC46" si="5">D8/J8</f>
        <v>#DIV/0!</v>
      </c>
    </row>
    <row r="9" spans="1:29" s="1215" customFormat="1" ht="15">
      <c r="A9" s="2868"/>
      <c r="B9" s="2875" t="s">
        <v>2756</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405" t="s">
        <v>535</v>
      </c>
      <c r="Q9" s="1146" t="str">
        <f t="shared" ref="Q9:Q15" si="6">B9</f>
        <v>用途</v>
      </c>
      <c r="R9" s="1553" t="s">
        <v>8</v>
      </c>
      <c r="S9" s="1554">
        <f t="shared" si="0"/>
        <v>100</v>
      </c>
      <c r="T9" s="1553" t="s">
        <v>8</v>
      </c>
      <c r="U9" s="1554">
        <f t="shared" si="1"/>
        <v>100</v>
      </c>
      <c r="V9" s="1553" t="s">
        <v>8</v>
      </c>
      <c r="W9" s="1554">
        <f t="shared" si="2"/>
        <v>100</v>
      </c>
      <c r="X9" s="1555"/>
      <c r="Y9" s="3351"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405"/>
      <c r="Q10" s="1146" t="str">
        <f t="shared" si="6"/>
        <v>土地使用年限（年）</v>
      </c>
      <c r="R10" s="1553" t="s">
        <v>8</v>
      </c>
      <c r="S10" s="1554">
        <f t="shared" si="0"/>
        <v>100</v>
      </c>
      <c r="T10" s="1553" t="s">
        <v>8</v>
      </c>
      <c r="U10" s="1554">
        <f t="shared" si="1"/>
        <v>100</v>
      </c>
      <c r="V10" s="1553" t="s">
        <v>8</v>
      </c>
      <c r="W10" s="1554">
        <f t="shared" si="2"/>
        <v>100</v>
      </c>
      <c r="X10" s="1555"/>
      <c r="Y10" s="3351"/>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405"/>
      <c r="Q11" s="1146" t="str">
        <f t="shared" si="6"/>
        <v>容积率</v>
      </c>
      <c r="R11" s="1553" t="s">
        <v>8</v>
      </c>
      <c r="S11" s="1554" t="e">
        <f t="shared" si="0"/>
        <v>#N/A</v>
      </c>
      <c r="T11" s="1553" t="s">
        <v>8</v>
      </c>
      <c r="U11" s="1554" t="e">
        <f t="shared" si="1"/>
        <v>#N/A</v>
      </c>
      <c r="V11" s="1553" t="s">
        <v>8</v>
      </c>
      <c r="W11" s="1554" t="e">
        <f t="shared" si="2"/>
        <v>#N/A</v>
      </c>
      <c r="X11" s="1555"/>
      <c r="Y11" s="3351"/>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405"/>
      <c r="Q12" s="1146">
        <f t="shared" si="6"/>
        <v>111</v>
      </c>
      <c r="R12" s="1553" t="s">
        <v>8</v>
      </c>
      <c r="S12" s="1554">
        <f t="shared" si="0"/>
        <v>100</v>
      </c>
      <c r="T12" s="1553" t="s">
        <v>8</v>
      </c>
      <c r="U12" s="1554">
        <f t="shared" si="1"/>
        <v>100</v>
      </c>
      <c r="V12" s="1553" t="s">
        <v>8</v>
      </c>
      <c r="W12" s="1554">
        <f t="shared" si="2"/>
        <v>100</v>
      </c>
      <c r="X12" s="1555"/>
      <c r="Y12" s="3351"/>
      <c r="Z12" s="1145">
        <f t="shared" si="7"/>
        <v>111</v>
      </c>
      <c r="AA12" s="1556">
        <f>D12/F12</f>
        <v>1</v>
      </c>
      <c r="AB12" s="1556">
        <f>D12/H12</f>
        <v>1</v>
      </c>
      <c r="AC12" s="1556">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405"/>
      <c r="Q13" s="1146">
        <f t="shared" si="6"/>
        <v>111</v>
      </c>
      <c r="R13" s="1553" t="s">
        <v>8</v>
      </c>
      <c r="S13" s="1554">
        <f t="shared" si="0"/>
        <v>100</v>
      </c>
      <c r="T13" s="1553" t="s">
        <v>8</v>
      </c>
      <c r="U13" s="1554">
        <f t="shared" si="1"/>
        <v>100</v>
      </c>
      <c r="V13" s="1553" t="s">
        <v>8</v>
      </c>
      <c r="W13" s="1554">
        <f t="shared" si="2"/>
        <v>100</v>
      </c>
      <c r="X13" s="1555"/>
      <c r="Y13" s="3351"/>
      <c r="Z13" s="1145">
        <f t="shared" si="7"/>
        <v>111</v>
      </c>
      <c r="AA13" s="1556">
        <f t="shared" si="3"/>
        <v>1</v>
      </c>
      <c r="AB13" s="1556">
        <f t="shared" si="4"/>
        <v>1</v>
      </c>
      <c r="AC13" s="1556">
        <f t="shared" si="5"/>
        <v>1</v>
      </c>
    </row>
    <row r="14" spans="1:29" ht="15.75"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405"/>
      <c r="Q14" s="1146">
        <f t="shared" si="6"/>
        <v>111</v>
      </c>
      <c r="R14" s="1553" t="s">
        <v>8</v>
      </c>
      <c r="S14" s="1554">
        <f t="shared" si="0"/>
        <v>100</v>
      </c>
      <c r="T14" s="1553" t="s">
        <v>8</v>
      </c>
      <c r="U14" s="1554">
        <f t="shared" si="1"/>
        <v>100</v>
      </c>
      <c r="V14" s="1553" t="s">
        <v>8</v>
      </c>
      <c r="W14" s="1554">
        <f t="shared" si="2"/>
        <v>100</v>
      </c>
      <c r="X14" s="1555"/>
      <c r="Y14" s="3351"/>
      <c r="Z14" s="1145">
        <f t="shared" si="7"/>
        <v>111</v>
      </c>
      <c r="AA14" s="1556">
        <f t="shared" si="3"/>
        <v>1</v>
      </c>
      <c r="AB14" s="1556">
        <f t="shared" si="4"/>
        <v>1</v>
      </c>
      <c r="AC14" s="1556">
        <f t="shared" si="5"/>
        <v>1</v>
      </c>
    </row>
    <row r="15" spans="1:29" ht="71.25">
      <c r="A15" s="2864" t="s">
        <v>2754</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440" t="s">
        <v>540</v>
      </c>
      <c r="Q15" s="1557" t="str">
        <f t="shared" si="6"/>
        <v>商业繁华度</v>
      </c>
      <c r="R15" s="1558" t="s">
        <v>8</v>
      </c>
      <c r="S15" s="1559">
        <f t="shared" si="0"/>
        <v>100</v>
      </c>
      <c r="T15" s="1558" t="s">
        <v>8</v>
      </c>
      <c r="U15" s="1559">
        <f t="shared" si="1"/>
        <v>100</v>
      </c>
      <c r="V15" s="1558" t="s">
        <v>8</v>
      </c>
      <c r="W15" s="1559">
        <f t="shared" si="2"/>
        <v>100</v>
      </c>
      <c r="X15" s="1552"/>
      <c r="Y15" s="3440"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441"/>
      <c r="Q16" s="1557"/>
      <c r="R16" s="1558"/>
      <c r="S16" s="1559"/>
      <c r="T16" s="1558"/>
      <c r="U16" s="1559"/>
      <c r="V16" s="1558"/>
      <c r="W16" s="1559"/>
      <c r="X16" s="1552"/>
      <c r="Y16" s="3441"/>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441"/>
      <c r="Q17" s="1557" t="str">
        <f>B17</f>
        <v>交通便捷度</v>
      </c>
      <c r="R17" s="1558" t="s">
        <v>8</v>
      </c>
      <c r="S17" s="1559">
        <f>F17</f>
        <v>100</v>
      </c>
      <c r="T17" s="1558" t="s">
        <v>8</v>
      </c>
      <c r="U17" s="1559">
        <f>H17</f>
        <v>100</v>
      </c>
      <c r="V17" s="1558" t="s">
        <v>8</v>
      </c>
      <c r="W17" s="1559">
        <f>J17</f>
        <v>100</v>
      </c>
      <c r="X17" s="1552"/>
      <c r="Y17" s="3441"/>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441"/>
      <c r="Q18" s="1557"/>
      <c r="R18" s="1558"/>
      <c r="S18" s="1559"/>
      <c r="T18" s="1558"/>
      <c r="U18" s="1559"/>
      <c r="V18" s="1558"/>
      <c r="W18" s="1559"/>
      <c r="X18" s="1552"/>
      <c r="Y18" s="3441"/>
      <c r="Z18" s="1560"/>
      <c r="AA18" s="1561">
        <v>1</v>
      </c>
      <c r="AB18" s="1561">
        <v>1</v>
      </c>
      <c r="AC18" s="1561">
        <v>1</v>
      </c>
    </row>
    <row r="19" spans="1:29" ht="42.75">
      <c r="A19" s="531"/>
      <c r="B19" s="2563"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441"/>
      <c r="Q19" s="1557" t="str">
        <f>B19</f>
        <v>公共配套设施</v>
      </c>
      <c r="R19" s="1558" t="s">
        <v>8</v>
      </c>
      <c r="S19" s="1559">
        <f>F19</f>
        <v>100</v>
      </c>
      <c r="T19" s="1558" t="s">
        <v>8</v>
      </c>
      <c r="U19" s="1559">
        <f>H19</f>
        <v>100</v>
      </c>
      <c r="V19" s="1558" t="s">
        <v>8</v>
      </c>
      <c r="W19" s="1559">
        <f>J19</f>
        <v>100</v>
      </c>
      <c r="X19" s="1552"/>
      <c r="Y19" s="3441"/>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8"/>
      <c r="L20" s="2126"/>
      <c r="M20" s="2118"/>
      <c r="N20" s="2118"/>
      <c r="O20" s="2125"/>
      <c r="P20" s="3441"/>
      <c r="Q20" s="1557"/>
      <c r="R20" s="1558"/>
      <c r="S20" s="1559"/>
      <c r="T20" s="1558"/>
      <c r="U20" s="1559"/>
      <c r="V20" s="1558"/>
      <c r="W20" s="1559"/>
      <c r="X20" s="1552"/>
      <c r="Y20" s="3441"/>
      <c r="Z20" s="1560"/>
      <c r="AA20" s="1561">
        <v>1</v>
      </c>
      <c r="AB20" s="1561">
        <v>1</v>
      </c>
      <c r="AC20" s="1561">
        <v>1</v>
      </c>
    </row>
    <row r="21" spans="1:29" ht="28.5">
      <c r="A21" s="531"/>
      <c r="B21" s="2556"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441"/>
      <c r="Q21" s="2542" t="str">
        <f>B21</f>
        <v>基础设施水平</v>
      </c>
      <c r="R21" s="1558" t="s">
        <v>8</v>
      </c>
      <c r="S21" s="1559">
        <f>F21</f>
        <v>100</v>
      </c>
      <c r="T21" s="1558" t="s">
        <v>8</v>
      </c>
      <c r="U21" s="1559">
        <f>H21</f>
        <v>100</v>
      </c>
      <c r="V21" s="1558" t="s">
        <v>8</v>
      </c>
      <c r="W21" s="1559">
        <f>J21</f>
        <v>100</v>
      </c>
      <c r="X21" s="2544"/>
      <c r="Y21" s="3441"/>
      <c r="Z21" s="2543"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5"/>
      <c r="L22" s="2126"/>
      <c r="M22" s="2118"/>
      <c r="N22" s="2118"/>
      <c r="O22" s="2125"/>
      <c r="P22" s="3441"/>
      <c r="Q22" s="2542"/>
      <c r="R22" s="1558"/>
      <c r="S22" s="1559"/>
      <c r="T22" s="1558"/>
      <c r="U22" s="1559"/>
      <c r="V22" s="1558"/>
      <c r="W22" s="1559"/>
      <c r="X22" s="2544"/>
      <c r="Y22" s="3441"/>
      <c r="Z22" s="2543"/>
      <c r="AA22" s="1561">
        <v>1</v>
      </c>
      <c r="AB22" s="1561">
        <v>1</v>
      </c>
      <c r="AC22" s="1561">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441"/>
      <c r="Q23" s="1557" t="str">
        <f>B23</f>
        <v>自然及人文环境</v>
      </c>
      <c r="R23" s="1558" t="s">
        <v>8</v>
      </c>
      <c r="S23" s="1559">
        <f>F23</f>
        <v>100</v>
      </c>
      <c r="T23" s="1558" t="s">
        <v>8</v>
      </c>
      <c r="U23" s="1559">
        <f>H23</f>
        <v>100</v>
      </c>
      <c r="V23" s="1558" t="s">
        <v>8</v>
      </c>
      <c r="W23" s="1559">
        <f>J23</f>
        <v>100</v>
      </c>
      <c r="X23" s="1552"/>
      <c r="Y23" s="3441"/>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8"/>
      <c r="L24" s="2126"/>
      <c r="M24" s="2118"/>
      <c r="N24" s="2118"/>
      <c r="O24" s="2125"/>
      <c r="P24" s="3441"/>
      <c r="Q24" s="1557"/>
      <c r="R24" s="1558"/>
      <c r="S24" s="1559"/>
      <c r="T24" s="1558"/>
      <c r="U24" s="1559"/>
      <c r="V24" s="1558"/>
      <c r="W24" s="1559"/>
      <c r="X24" s="1552"/>
      <c r="Y24" s="3441"/>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441"/>
      <c r="Q25" s="1557" t="str">
        <f t="shared" ref="Q25:Q46" si="11">B25</f>
        <v>临街状况</v>
      </c>
      <c r="R25" s="1558" t="s">
        <v>8</v>
      </c>
      <c r="S25" s="1559">
        <f>F25</f>
        <v>100</v>
      </c>
      <c r="T25" s="1558" t="s">
        <v>8</v>
      </c>
      <c r="U25" s="1559">
        <f>H25</f>
        <v>100</v>
      </c>
      <c r="V25" s="1558" t="s">
        <v>8</v>
      </c>
      <c r="W25" s="1559">
        <f>J25</f>
        <v>100</v>
      </c>
      <c r="X25" s="1552"/>
      <c r="Y25" s="3441"/>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441"/>
      <c r="Q26" s="1557" t="str">
        <f t="shared" si="11"/>
        <v>平面位置/可视性</v>
      </c>
      <c r="R26" s="1558" t="s">
        <v>8</v>
      </c>
      <c r="S26" s="1559">
        <f>F26</f>
        <v>100</v>
      </c>
      <c r="T26" s="1558" t="s">
        <v>8</v>
      </c>
      <c r="U26" s="1559">
        <f>H26</f>
        <v>100</v>
      </c>
      <c r="V26" s="1558" t="s">
        <v>8</v>
      </c>
      <c r="W26" s="1559">
        <f>J26</f>
        <v>100</v>
      </c>
      <c r="X26" s="1552"/>
      <c r="Y26" s="3441"/>
      <c r="Z26" s="1560" t="str">
        <f>Q26</f>
        <v>平面位置/可视性</v>
      </c>
      <c r="AA26" s="1561">
        <f t="shared" si="3"/>
        <v>1</v>
      </c>
      <c r="AB26" s="1561">
        <f t="shared" si="4"/>
        <v>1</v>
      </c>
      <c r="AC26" s="1561">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441"/>
      <c r="Q27" s="1146" t="str">
        <f t="shared" si="11"/>
        <v>人流量</v>
      </c>
      <c r="R27" s="1553" t="s">
        <v>8</v>
      </c>
      <c r="S27" s="1554">
        <f>F27</f>
        <v>100</v>
      </c>
      <c r="T27" s="1553" t="s">
        <v>8</v>
      </c>
      <c r="U27" s="1554">
        <f>H27</f>
        <v>100</v>
      </c>
      <c r="V27" s="1553" t="s">
        <v>8</v>
      </c>
      <c r="W27" s="1554">
        <f>J27</f>
        <v>100</v>
      </c>
      <c r="X27" s="1555"/>
      <c r="Y27" s="3441"/>
      <c r="Z27" s="1145"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441"/>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41"/>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441"/>
      <c r="Q29" s="1557">
        <f t="shared" si="11"/>
        <v>111</v>
      </c>
      <c r="R29" s="1558" t="s">
        <v>8</v>
      </c>
      <c r="S29" s="1559">
        <f t="shared" si="12"/>
        <v>100</v>
      </c>
      <c r="T29" s="1558" t="s">
        <v>8</v>
      </c>
      <c r="U29" s="1559">
        <f t="shared" si="13"/>
        <v>100</v>
      </c>
      <c r="V29" s="1558" t="s">
        <v>8</v>
      </c>
      <c r="W29" s="1559">
        <f t="shared" si="14"/>
        <v>100</v>
      </c>
      <c r="X29" s="1552"/>
      <c r="Y29" s="3441"/>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441"/>
      <c r="Q30" s="1557">
        <f t="shared" si="11"/>
        <v>111</v>
      </c>
      <c r="R30" s="1558" t="s">
        <v>8</v>
      </c>
      <c r="S30" s="1559">
        <f t="shared" si="12"/>
        <v>100</v>
      </c>
      <c r="T30" s="1558" t="s">
        <v>8</v>
      </c>
      <c r="U30" s="1559">
        <f t="shared" si="13"/>
        <v>100</v>
      </c>
      <c r="V30" s="1558" t="s">
        <v>8</v>
      </c>
      <c r="W30" s="1559">
        <f t="shared" si="14"/>
        <v>100</v>
      </c>
      <c r="X30" s="1552"/>
      <c r="Y30" s="3441"/>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441"/>
      <c r="Q31" s="1557">
        <f t="shared" si="11"/>
        <v>111</v>
      </c>
      <c r="R31" s="1558" t="s">
        <v>8</v>
      </c>
      <c r="S31" s="1559">
        <f t="shared" si="12"/>
        <v>100</v>
      </c>
      <c r="T31" s="1558" t="s">
        <v>8</v>
      </c>
      <c r="U31" s="1559">
        <f t="shared" si="13"/>
        <v>100</v>
      </c>
      <c r="V31" s="1558" t="s">
        <v>8</v>
      </c>
      <c r="W31" s="1559">
        <f t="shared" si="14"/>
        <v>100</v>
      </c>
      <c r="X31" s="1552"/>
      <c r="Y31" s="3441"/>
      <c r="Z31" s="1560">
        <f t="shared" si="15"/>
        <v>111</v>
      </c>
      <c r="AA31" s="1561">
        <f t="shared" si="3"/>
        <v>1</v>
      </c>
      <c r="AB31" s="1561">
        <f t="shared" si="4"/>
        <v>1</v>
      </c>
      <c r="AC31" s="1561">
        <f t="shared" si="5"/>
        <v>1</v>
      </c>
    </row>
    <row r="32" spans="1:29" ht="15">
      <c r="A32" s="2861"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442" t="s">
        <v>550</v>
      </c>
      <c r="Q32" s="1557" t="str">
        <f t="shared" si="11"/>
        <v>商业类型</v>
      </c>
      <c r="R32" s="1558" t="s">
        <v>8</v>
      </c>
      <c r="S32" s="1559">
        <f t="shared" si="12"/>
        <v>100</v>
      </c>
      <c r="T32" s="1558" t="s">
        <v>8</v>
      </c>
      <c r="U32" s="1559">
        <f t="shared" si="13"/>
        <v>100</v>
      </c>
      <c r="V32" s="1558" t="s">
        <v>8</v>
      </c>
      <c r="W32" s="1559">
        <f t="shared" si="14"/>
        <v>100</v>
      </c>
      <c r="X32" s="1552"/>
      <c r="Y32" s="3443" t="s">
        <v>550</v>
      </c>
      <c r="Z32" s="1560" t="str">
        <f t="shared" si="15"/>
        <v>商业类型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443"/>
      <c r="Q33" s="1589" t="str">
        <f t="shared" si="11"/>
        <v>项目建筑规模</v>
      </c>
      <c r="R33" s="1562" t="s">
        <v>8</v>
      </c>
      <c r="S33" s="1563" t="e">
        <f t="shared" si="12"/>
        <v>#N/A</v>
      </c>
      <c r="T33" s="1562" t="s">
        <v>8</v>
      </c>
      <c r="U33" s="1563" t="e">
        <f t="shared" si="13"/>
        <v>#N/A</v>
      </c>
      <c r="V33" s="1562" t="s">
        <v>8</v>
      </c>
      <c r="W33" s="1563" t="e">
        <f t="shared" si="14"/>
        <v>#N/A</v>
      </c>
      <c r="X33" s="1564"/>
      <c r="Y33" s="3443"/>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443"/>
      <c r="Q34" s="1557" t="str">
        <f t="shared" si="11"/>
        <v>建筑结构</v>
      </c>
      <c r="R34" s="1558" t="s">
        <v>8</v>
      </c>
      <c r="S34" s="1559">
        <f t="shared" si="12"/>
        <v>100</v>
      </c>
      <c r="T34" s="1558" t="s">
        <v>8</v>
      </c>
      <c r="U34" s="1559">
        <f t="shared" si="13"/>
        <v>100</v>
      </c>
      <c r="V34" s="1558" t="s">
        <v>8</v>
      </c>
      <c r="W34" s="1559">
        <f t="shared" si="14"/>
        <v>100</v>
      </c>
      <c r="X34" s="1552"/>
      <c r="Y34" s="3443"/>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443"/>
      <c r="Q35" s="1557" t="str">
        <f t="shared" si="11"/>
        <v>公共部分装修</v>
      </c>
      <c r="R35" s="1558" t="s">
        <v>8</v>
      </c>
      <c r="S35" s="1559">
        <f t="shared" si="12"/>
        <v>100</v>
      </c>
      <c r="T35" s="1558" t="s">
        <v>8</v>
      </c>
      <c r="U35" s="1559">
        <f t="shared" si="13"/>
        <v>100</v>
      </c>
      <c r="V35" s="1558" t="s">
        <v>8</v>
      </c>
      <c r="W35" s="1559">
        <f t="shared" si="14"/>
        <v>100</v>
      </c>
      <c r="X35" s="1552"/>
      <c r="Y35" s="3443"/>
      <c r="Z35" s="1560" t="str">
        <f t="shared" si="15"/>
        <v>公共部分装修</v>
      </c>
      <c r="AA35" s="1561">
        <f t="shared" si="3"/>
        <v>1</v>
      </c>
      <c r="AB35" s="1561">
        <f t="shared" si="4"/>
        <v>1</v>
      </c>
      <c r="AC35" s="1561">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443"/>
      <c r="Q36" s="1557" t="str">
        <f t="shared" si="11"/>
        <v>成新度</v>
      </c>
      <c r="R36" s="1558" t="s">
        <v>8</v>
      </c>
      <c r="S36" s="1559" t="e">
        <f t="shared" si="12"/>
        <v>#N/A</v>
      </c>
      <c r="T36" s="1558" t="s">
        <v>8</v>
      </c>
      <c r="U36" s="1559" t="e">
        <f t="shared" si="13"/>
        <v>#N/A</v>
      </c>
      <c r="V36" s="1558" t="s">
        <v>8</v>
      </c>
      <c r="W36" s="1559" t="e">
        <f t="shared" si="14"/>
        <v>#N/A</v>
      </c>
      <c r="X36" s="1552"/>
      <c r="Y36" s="3443"/>
      <c r="Z36" s="1560" t="str">
        <f t="shared" si="15"/>
        <v>成新度</v>
      </c>
      <c r="AA36" s="1561" t="e">
        <f t="shared" si="3"/>
        <v>#N/A</v>
      </c>
      <c r="AB36" s="1561" t="e">
        <f t="shared" si="4"/>
        <v>#N/A</v>
      </c>
      <c r="AC36" s="1561" t="e">
        <f t="shared" si="5"/>
        <v>#N/A</v>
      </c>
    </row>
    <row r="37" spans="1:29" s="1215" customFormat="1" ht="15">
      <c r="A37" s="599"/>
      <c r="B37" s="1879"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443"/>
      <c r="Q37" s="1146" t="str">
        <f t="shared" si="11"/>
        <v>市政基础设施</v>
      </c>
      <c r="R37" s="1553" t="s">
        <v>8</v>
      </c>
      <c r="S37" s="1554">
        <f t="shared" si="12"/>
        <v>100</v>
      </c>
      <c r="T37" s="1553" t="s">
        <v>8</v>
      </c>
      <c r="U37" s="1554">
        <f t="shared" si="13"/>
        <v>100</v>
      </c>
      <c r="V37" s="1553" t="s">
        <v>8</v>
      </c>
      <c r="W37" s="1554">
        <f t="shared" si="14"/>
        <v>100</v>
      </c>
      <c r="X37" s="1555"/>
      <c r="Y37" s="3443"/>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443" t="s">
        <v>766</v>
      </c>
      <c r="Q38" s="1557" t="str">
        <f t="shared" si="11"/>
        <v>业态</v>
      </c>
      <c r="R38" s="1558" t="s">
        <v>8</v>
      </c>
      <c r="S38" s="1559">
        <f t="shared" si="12"/>
        <v>100</v>
      </c>
      <c r="T38" s="1558" t="s">
        <v>8</v>
      </c>
      <c r="U38" s="1559">
        <f t="shared" si="13"/>
        <v>100</v>
      </c>
      <c r="V38" s="1558" t="s">
        <v>8</v>
      </c>
      <c r="W38" s="1559">
        <f t="shared" si="14"/>
        <v>100</v>
      </c>
      <c r="X38" s="1552"/>
      <c r="Y38" s="3443"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43"/>
      <c r="Q39" s="1557" t="str">
        <f t="shared" si="11"/>
        <v>层高</v>
      </c>
      <c r="R39" s="1558" t="s">
        <v>8</v>
      </c>
      <c r="S39" s="1559">
        <f t="shared" si="12"/>
        <v>100</v>
      </c>
      <c r="T39" s="1558" t="s">
        <v>8</v>
      </c>
      <c r="U39" s="1559">
        <f t="shared" si="13"/>
        <v>100</v>
      </c>
      <c r="V39" s="1558" t="s">
        <v>8</v>
      </c>
      <c r="W39" s="1559">
        <f t="shared" si="14"/>
        <v>100</v>
      </c>
      <c r="X39" s="1552"/>
      <c r="Y39" s="3443"/>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443"/>
      <c r="Q40" s="1557" t="str">
        <f t="shared" si="11"/>
        <v>单套建筑面积</v>
      </c>
      <c r="R40" s="1558" t="s">
        <v>8</v>
      </c>
      <c r="S40" s="1559">
        <f t="shared" si="12"/>
        <v>100</v>
      </c>
      <c r="T40" s="1558" t="s">
        <v>8</v>
      </c>
      <c r="U40" s="1559">
        <f t="shared" si="13"/>
        <v>100</v>
      </c>
      <c r="V40" s="1558" t="s">
        <v>8</v>
      </c>
      <c r="W40" s="1559">
        <f t="shared" si="14"/>
        <v>100</v>
      </c>
      <c r="X40" s="1552"/>
      <c r="Y40" s="3443"/>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443"/>
      <c r="Q41" s="1589" t="str">
        <f t="shared" si="11"/>
        <v>进深比</v>
      </c>
      <c r="R41" s="1562" t="s">
        <v>8</v>
      </c>
      <c r="S41" s="1563">
        <f t="shared" si="12"/>
        <v>100</v>
      </c>
      <c r="T41" s="1562" t="s">
        <v>8</v>
      </c>
      <c r="U41" s="1563">
        <f t="shared" si="13"/>
        <v>100</v>
      </c>
      <c r="V41" s="1562" t="s">
        <v>8</v>
      </c>
      <c r="W41" s="1563">
        <f t="shared" si="14"/>
        <v>100</v>
      </c>
      <c r="X41" s="1564"/>
      <c r="Y41" s="3443"/>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443"/>
      <c r="Q42" s="1557" t="str">
        <f t="shared" si="11"/>
        <v>内部装修</v>
      </c>
      <c r="R42" s="1558" t="s">
        <v>8</v>
      </c>
      <c r="S42" s="1559">
        <f t="shared" si="12"/>
        <v>100</v>
      </c>
      <c r="T42" s="1558" t="s">
        <v>8</v>
      </c>
      <c r="U42" s="1559">
        <f t="shared" si="13"/>
        <v>100</v>
      </c>
      <c r="V42" s="1558" t="s">
        <v>8</v>
      </c>
      <c r="W42" s="1559">
        <f t="shared" si="14"/>
        <v>100</v>
      </c>
      <c r="X42" s="1552"/>
      <c r="Y42" s="3443"/>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443"/>
      <c r="Q43" s="1557" t="str">
        <f t="shared" si="11"/>
        <v>内部装修维护情况</v>
      </c>
      <c r="R43" s="1558" t="s">
        <v>8</v>
      </c>
      <c r="S43" s="1559">
        <f t="shared" si="12"/>
        <v>100</v>
      </c>
      <c r="T43" s="1558" t="s">
        <v>8</v>
      </c>
      <c r="U43" s="1559">
        <f t="shared" si="13"/>
        <v>100</v>
      </c>
      <c r="V43" s="1558" t="s">
        <v>8</v>
      </c>
      <c r="W43" s="1559">
        <f t="shared" si="14"/>
        <v>100</v>
      </c>
      <c r="X43" s="1552"/>
      <c r="Y43" s="3443"/>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443"/>
      <c r="Q44" s="1146">
        <f t="shared" si="11"/>
        <v>111</v>
      </c>
      <c r="R44" s="1553" t="s">
        <v>8</v>
      </c>
      <c r="S44" s="1554">
        <f t="shared" si="12"/>
        <v>100</v>
      </c>
      <c r="T44" s="1553" t="s">
        <v>8</v>
      </c>
      <c r="U44" s="1554">
        <f t="shared" si="13"/>
        <v>100</v>
      </c>
      <c r="V44" s="1553" t="s">
        <v>8</v>
      </c>
      <c r="W44" s="1554">
        <f t="shared" si="14"/>
        <v>100</v>
      </c>
      <c r="X44" s="1555"/>
      <c r="Y44" s="3443"/>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443"/>
      <c r="Q45" s="1557">
        <f t="shared" si="11"/>
        <v>111</v>
      </c>
      <c r="R45" s="1558" t="s">
        <v>8</v>
      </c>
      <c r="S45" s="1559">
        <f t="shared" si="12"/>
        <v>100</v>
      </c>
      <c r="T45" s="1558" t="s">
        <v>8</v>
      </c>
      <c r="U45" s="1559">
        <f t="shared" si="13"/>
        <v>100</v>
      </c>
      <c r="V45" s="1558" t="s">
        <v>8</v>
      </c>
      <c r="W45" s="1559">
        <f t="shared" si="14"/>
        <v>100</v>
      </c>
      <c r="X45" s="1552"/>
      <c r="Y45" s="3443"/>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513"/>
      <c r="Q46" s="1557">
        <f t="shared" si="11"/>
        <v>111</v>
      </c>
      <c r="R46" s="1558" t="s">
        <v>8</v>
      </c>
      <c r="S46" s="1559">
        <f t="shared" si="12"/>
        <v>100</v>
      </c>
      <c r="T46" s="1558" t="s">
        <v>8</v>
      </c>
      <c r="U46" s="1559">
        <f t="shared" si="13"/>
        <v>100</v>
      </c>
      <c r="V46" s="1558" t="s">
        <v>8</v>
      </c>
      <c r="W46" s="1559">
        <f t="shared" si="14"/>
        <v>100</v>
      </c>
      <c r="X46" s="1552"/>
      <c r="Y46" s="3513"/>
      <c r="Z46" s="1560">
        <f t="shared" si="15"/>
        <v>111</v>
      </c>
      <c r="AA46" s="1561">
        <f t="shared" si="3"/>
        <v>1</v>
      </c>
      <c r="AB46" s="1561">
        <f t="shared" si="4"/>
        <v>1</v>
      </c>
      <c r="AC46" s="1561">
        <f t="shared" si="5"/>
        <v>1</v>
      </c>
    </row>
    <row r="47" spans="1:29" ht="15">
      <c r="A47" s="606" t="s">
        <v>736</v>
      </c>
      <c r="B47" s="886"/>
      <c r="C47" s="2590" t="s">
        <v>1</v>
      </c>
      <c r="D47" s="2591"/>
      <c r="E47" s="2592"/>
      <c r="F47" s="2593"/>
      <c r="G47" s="2594"/>
      <c r="H47" s="2595"/>
      <c r="I47" s="2592"/>
      <c r="J47" s="2595"/>
      <c r="K47" s="1595"/>
      <c r="L47" s="2128"/>
      <c r="M47" s="2129"/>
      <c r="N47" s="2118"/>
      <c r="O47" s="2129"/>
      <c r="P47" s="3405" t="str">
        <f>A47</f>
        <v>成交单价（元/平方米）</v>
      </c>
      <c r="Q47" s="3405"/>
      <c r="R47" s="3512">
        <f>E47</f>
        <v>0</v>
      </c>
      <c r="S47" s="3512"/>
      <c r="T47" s="3512">
        <f>G47</f>
        <v>0</v>
      </c>
      <c r="U47" s="3512"/>
      <c r="V47" s="3512">
        <f>I47</f>
        <v>0</v>
      </c>
      <c r="W47" s="3512"/>
      <c r="X47" s="1544"/>
      <c r="Y47" s="1566"/>
      <c r="Z47" s="1544"/>
      <c r="AA47" s="1544"/>
      <c r="AB47" s="1544"/>
      <c r="AC47" s="1544"/>
    </row>
    <row r="48" spans="1:29" ht="15.75" thickBot="1">
      <c r="A48" s="614" t="s">
        <v>2760</v>
      </c>
      <c r="B48" s="887"/>
      <c r="C48" s="2596" t="e">
        <f>R49</f>
        <v>#DIV/0!</v>
      </c>
      <c r="D48" s="2597"/>
      <c r="E48" s="2598" t="e">
        <f>R48</f>
        <v>#DIV/0!</v>
      </c>
      <c r="F48" s="2598"/>
      <c r="G48" s="2596" t="e">
        <f>T48</f>
        <v>#DIV/0!</v>
      </c>
      <c r="H48" s="2597"/>
      <c r="I48" s="2598" t="e">
        <f>V48</f>
        <v>#DIV/0!</v>
      </c>
      <c r="J48" s="2597"/>
      <c r="K48" s="1596"/>
      <c r="L48" s="2128"/>
      <c r="M48" s="2129"/>
      <c r="N48" s="2118"/>
      <c r="O48" s="2129"/>
      <c r="P48" s="3405" t="str">
        <f>A48</f>
        <v>比较价格（元/平方米）</v>
      </c>
      <c r="Q48" s="3405"/>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1544"/>
      <c r="Y48" s="1544"/>
      <c r="Z48" s="1544"/>
      <c r="AA48" s="1544"/>
      <c r="AB48" s="1544"/>
      <c r="AC48" s="1544"/>
    </row>
    <row r="49" spans="1:29" ht="15.75" thickBot="1">
      <c r="A49" s="620" t="s">
        <v>2937</v>
      </c>
      <c r="B49" s="621"/>
      <c r="C49" s="2599" t="e">
        <f>R49</f>
        <v>#DIV/0!</v>
      </c>
      <c r="D49" s="2599"/>
      <c r="E49" s="2599"/>
      <c r="F49" s="2599"/>
      <c r="G49" s="2599"/>
      <c r="H49" s="2599"/>
      <c r="I49" s="2599"/>
      <c r="J49" s="2599"/>
      <c r="K49" s="1597"/>
      <c r="L49" s="2128"/>
      <c r="M49" s="2129"/>
      <c r="N49" s="2118"/>
      <c r="O49" s="2129"/>
      <c r="P49" s="3402" t="str">
        <f>A49</f>
        <v>估价对象XX用房的比较价格（楼面单价，元/平方米）</v>
      </c>
      <c r="Q49" s="3403"/>
      <c r="R49" s="3511" t="e">
        <f>IF(F1="售价",ROUND(AVERAGE(R48:V48),0),ROUND(AVERAGE(R48:V48),1))</f>
        <v>#DIV/0!</v>
      </c>
      <c r="S49" s="3511"/>
      <c r="T49" s="3511"/>
      <c r="U49" s="3511"/>
      <c r="V49" s="3511"/>
      <c r="W49" s="351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6" t="str">
        <f>YEAR(C7)&amp;"-"&amp;MONTH(C7)</f>
        <v>2020-1</v>
      </c>
      <c r="D58" s="2758">
        <f>EDATE(C58,-1)</f>
        <v>43800</v>
      </c>
      <c r="E58" s="2758">
        <f t="shared" ref="E58:O58" si="16">EDATE(D58,-1)</f>
        <v>43770</v>
      </c>
      <c r="F58" s="2758">
        <f t="shared" si="16"/>
        <v>43739</v>
      </c>
      <c r="G58" s="2758">
        <f t="shared" si="16"/>
        <v>43709</v>
      </c>
      <c r="H58" s="2758">
        <f t="shared" si="16"/>
        <v>43678</v>
      </c>
      <c r="I58" s="2758">
        <f t="shared" si="16"/>
        <v>43647</v>
      </c>
      <c r="J58" s="2758">
        <f t="shared" si="16"/>
        <v>43617</v>
      </c>
      <c r="K58" s="2758">
        <f t="shared" si="16"/>
        <v>43586</v>
      </c>
      <c r="L58" s="2758">
        <f t="shared" si="16"/>
        <v>43556</v>
      </c>
      <c r="M58" s="2758">
        <f t="shared" si="16"/>
        <v>43525</v>
      </c>
      <c r="N58" s="2758">
        <f t="shared" si="16"/>
        <v>43497</v>
      </c>
      <c r="O58" s="2758">
        <f t="shared" si="16"/>
        <v>43466</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2556</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3411" t="s">
        <v>522</v>
      </c>
      <c r="D4" s="3412"/>
      <c r="E4" s="3446" t="s">
        <v>523</v>
      </c>
      <c r="F4" s="3447"/>
      <c r="G4" s="3411" t="s">
        <v>524</v>
      </c>
      <c r="H4" s="3412"/>
      <c r="I4" s="3411" t="s">
        <v>525</v>
      </c>
      <c r="J4" s="3412"/>
      <c r="K4" s="513" t="s">
        <v>526</v>
      </c>
      <c r="L4" s="2117"/>
      <c r="M4" s="2118"/>
      <c r="N4" s="2118"/>
      <c r="O4" s="2118"/>
      <c r="P4" s="3515" t="s">
        <v>527</v>
      </c>
      <c r="Q4" s="3414"/>
      <c r="R4" s="3419" t="s">
        <v>523</v>
      </c>
      <c r="S4" s="3420"/>
      <c r="T4" s="3419" t="s">
        <v>524</v>
      </c>
      <c r="U4" s="3420"/>
      <c r="V4" s="3406" t="s">
        <v>525</v>
      </c>
      <c r="W4" s="3406"/>
      <c r="X4" s="1552"/>
      <c r="Y4" s="3419" t="s">
        <v>527</v>
      </c>
      <c r="Z4" s="3420"/>
      <c r="AA4" s="3408" t="s">
        <v>523</v>
      </c>
      <c r="AB4" s="3408" t="s">
        <v>524</v>
      </c>
      <c r="AC4" s="3408" t="s">
        <v>525</v>
      </c>
    </row>
    <row r="5" spans="1:29" ht="15">
      <c r="A5" s="514"/>
      <c r="B5" s="515"/>
      <c r="C5" s="3427" t="s">
        <v>2931</v>
      </c>
      <c r="D5" s="3428"/>
      <c r="E5" s="3448" t="s">
        <v>2932</v>
      </c>
      <c r="F5" s="3449"/>
      <c r="G5" s="3427" t="s">
        <v>2933</v>
      </c>
      <c r="H5" s="3428"/>
      <c r="I5" s="3427" t="s">
        <v>2934</v>
      </c>
      <c r="J5" s="3428"/>
      <c r="K5" s="513"/>
      <c r="L5" s="2117"/>
      <c r="M5" s="2118"/>
      <c r="N5" s="2118"/>
      <c r="O5" s="2118"/>
      <c r="P5" s="3516"/>
      <c r="Q5" s="3416"/>
      <c r="R5" s="3421"/>
      <c r="S5" s="3422"/>
      <c r="T5" s="3421"/>
      <c r="U5" s="3422"/>
      <c r="V5" s="3406"/>
      <c r="W5" s="3406"/>
      <c r="X5" s="1552"/>
      <c r="Y5" s="3421"/>
      <c r="Z5" s="3422"/>
      <c r="AA5" s="3409"/>
      <c r="AB5" s="3409"/>
      <c r="AC5" s="3409"/>
    </row>
    <row r="6" spans="1:29" ht="15.75" thickBot="1">
      <c r="A6" s="516"/>
      <c r="B6" s="517"/>
      <c r="C6" s="3425" t="s">
        <v>2935</v>
      </c>
      <c r="D6" s="3426"/>
      <c r="E6" s="3444" t="s">
        <v>2935</v>
      </c>
      <c r="F6" s="3445"/>
      <c r="G6" s="3425" t="s">
        <v>2935</v>
      </c>
      <c r="H6" s="3426"/>
      <c r="I6" s="3425" t="s">
        <v>2935</v>
      </c>
      <c r="J6" s="3426"/>
      <c r="K6" s="513" t="s">
        <v>528</v>
      </c>
      <c r="L6" s="2117"/>
      <c r="M6" s="2118"/>
      <c r="N6" s="2118"/>
      <c r="O6" s="2118"/>
      <c r="P6" s="3517"/>
      <c r="Q6" s="3418"/>
      <c r="R6" s="3421"/>
      <c r="S6" s="3422"/>
      <c r="T6" s="3423"/>
      <c r="U6" s="3424"/>
      <c r="V6" s="3406"/>
      <c r="W6" s="3406"/>
      <c r="X6" s="1552"/>
      <c r="Y6" s="3423"/>
      <c r="Z6" s="3424"/>
      <c r="AA6" s="3410"/>
      <c r="AB6" s="3410"/>
      <c r="AC6" s="3410"/>
    </row>
    <row r="7" spans="1:29" s="1215" customFormat="1" ht="15.75" thickBot="1">
      <c r="A7" s="2866"/>
      <c r="B7" s="2873" t="s">
        <v>529</v>
      </c>
      <c r="C7" s="518">
        <f>'数据-取费表'!B2</f>
        <v>43833</v>
      </c>
      <c r="D7" s="519">
        <v>100</v>
      </c>
      <c r="E7" s="520"/>
      <c r="F7" s="521">
        <f>SUMIF(59:59,YEAR(E7)&amp;"-"&amp;MONTH(E7),60:60)</f>
        <v>0</v>
      </c>
      <c r="G7" s="520"/>
      <c r="H7" s="519">
        <f>SUMIF(59:59,YEAR(G7)&amp;"-"&amp;MONTH(G7),60:60)</f>
        <v>0</v>
      </c>
      <c r="I7" s="520"/>
      <c r="J7" s="519">
        <f>SUMIF(59:59,YEAR(I7)&amp;"-"&amp;MONTH(I7),60:60)</f>
        <v>0</v>
      </c>
      <c r="K7" s="523"/>
      <c r="L7" s="2119"/>
      <c r="M7" s="2120"/>
      <c r="N7" s="2120"/>
      <c r="O7" s="2120"/>
      <c r="P7" s="3439" t="s">
        <v>530</v>
      </c>
      <c r="Q7" s="3439"/>
      <c r="R7" s="1553" t="s">
        <v>8</v>
      </c>
      <c r="S7" s="1554">
        <f t="shared" ref="S7:S15" si="0">F7</f>
        <v>0</v>
      </c>
      <c r="T7" s="1553" t="s">
        <v>8</v>
      </c>
      <c r="U7" s="1554">
        <f t="shared" ref="U7:U15" si="1">H7</f>
        <v>0</v>
      </c>
      <c r="V7" s="1553" t="s">
        <v>8</v>
      </c>
      <c r="W7" s="1554">
        <f t="shared" ref="W7:W15" si="2">J7</f>
        <v>0</v>
      </c>
      <c r="X7" s="1555"/>
      <c r="Y7" s="3437" t="s">
        <v>530</v>
      </c>
      <c r="Z7" s="3438"/>
      <c r="AA7" s="1556" t="e">
        <f>D7/F7</f>
        <v>#DIV/0!</v>
      </c>
      <c r="AB7" s="1556" t="e">
        <f>D7/H7</f>
        <v>#DIV/0!</v>
      </c>
      <c r="AC7" s="1556" t="e">
        <f>D7/J7</f>
        <v>#DIV/0!</v>
      </c>
    </row>
    <row r="8" spans="1:29" s="1215" customFormat="1" ht="15.75" thickBot="1">
      <c r="A8" s="2867"/>
      <c r="B8" s="2874"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439" t="s">
        <v>533</v>
      </c>
      <c r="Q8" s="3438"/>
      <c r="R8" s="1553" t="s">
        <v>8</v>
      </c>
      <c r="S8" s="1554">
        <f t="shared" si="0"/>
        <v>0</v>
      </c>
      <c r="T8" s="1553" t="s">
        <v>8</v>
      </c>
      <c r="U8" s="1554">
        <f t="shared" si="1"/>
        <v>0</v>
      </c>
      <c r="V8" s="1553" t="s">
        <v>8</v>
      </c>
      <c r="W8" s="1554">
        <f t="shared" si="2"/>
        <v>0</v>
      </c>
      <c r="X8" s="1555"/>
      <c r="Y8" s="3437" t="s">
        <v>533</v>
      </c>
      <c r="Z8" s="3438"/>
      <c r="AA8" s="1556" t="e">
        <f t="shared" ref="AA8:AA47" si="3">D8/F8</f>
        <v>#DIV/0!</v>
      </c>
      <c r="AB8" s="1556" t="e">
        <f t="shared" ref="AB8:AB47" si="4">D8/H8</f>
        <v>#DIV/0!</v>
      </c>
      <c r="AC8" s="1556" t="e">
        <f t="shared" ref="AC8:AC47" si="5">D8/J8</f>
        <v>#DIV/0!</v>
      </c>
    </row>
    <row r="9" spans="1:29" s="1215" customFormat="1" ht="15">
      <c r="A9" s="2868"/>
      <c r="B9" s="2875" t="s">
        <v>2756</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405" t="s">
        <v>535</v>
      </c>
      <c r="Q9" s="1146" t="str">
        <f t="shared" ref="Q9:Q15" si="6">B9</f>
        <v>用途</v>
      </c>
      <c r="R9" s="1553" t="s">
        <v>8</v>
      </c>
      <c r="S9" s="1554">
        <f t="shared" si="0"/>
        <v>100</v>
      </c>
      <c r="T9" s="1553" t="s">
        <v>8</v>
      </c>
      <c r="U9" s="1554">
        <f t="shared" si="1"/>
        <v>100</v>
      </c>
      <c r="V9" s="1553" t="s">
        <v>8</v>
      </c>
      <c r="W9" s="1554">
        <f t="shared" si="2"/>
        <v>100</v>
      </c>
      <c r="X9" s="1555"/>
      <c r="Y9" s="3351"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405"/>
      <c r="Q10" s="1146" t="str">
        <f t="shared" si="6"/>
        <v>土地使用年限（年）</v>
      </c>
      <c r="R10" s="1553" t="s">
        <v>8</v>
      </c>
      <c r="S10" s="1554">
        <f t="shared" si="0"/>
        <v>100</v>
      </c>
      <c r="T10" s="1553" t="s">
        <v>8</v>
      </c>
      <c r="U10" s="1554">
        <f t="shared" si="1"/>
        <v>100</v>
      </c>
      <c r="V10" s="1553" t="s">
        <v>8</v>
      </c>
      <c r="W10" s="1554">
        <f t="shared" si="2"/>
        <v>100</v>
      </c>
      <c r="X10" s="1555"/>
      <c r="Y10" s="3351"/>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405"/>
      <c r="Q11" s="1146" t="str">
        <f t="shared" si="6"/>
        <v>容积率</v>
      </c>
      <c r="R11" s="1553" t="s">
        <v>8</v>
      </c>
      <c r="S11" s="1554" t="e">
        <f t="shared" si="0"/>
        <v>#N/A</v>
      </c>
      <c r="T11" s="1553" t="s">
        <v>8</v>
      </c>
      <c r="U11" s="1554" t="e">
        <f t="shared" si="1"/>
        <v>#N/A</v>
      </c>
      <c r="V11" s="1553" t="s">
        <v>8</v>
      </c>
      <c r="W11" s="1554" t="e">
        <f t="shared" si="2"/>
        <v>#N/A</v>
      </c>
      <c r="X11" s="1555"/>
      <c r="Y11" s="3351"/>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405"/>
      <c r="Q12" s="1146">
        <f t="shared" si="6"/>
        <v>111</v>
      </c>
      <c r="R12" s="1553" t="s">
        <v>8</v>
      </c>
      <c r="S12" s="1554">
        <f t="shared" si="0"/>
        <v>100</v>
      </c>
      <c r="T12" s="1553" t="s">
        <v>8</v>
      </c>
      <c r="U12" s="1554">
        <f t="shared" si="1"/>
        <v>100</v>
      </c>
      <c r="V12" s="1553" t="s">
        <v>8</v>
      </c>
      <c r="W12" s="1554">
        <f t="shared" si="2"/>
        <v>100</v>
      </c>
      <c r="X12" s="1555"/>
      <c r="Y12" s="3351"/>
      <c r="Z12" s="1145">
        <f t="shared" si="7"/>
        <v>111</v>
      </c>
      <c r="AA12" s="1556">
        <f>D12/F12</f>
        <v>1</v>
      </c>
      <c r="AB12" s="1556">
        <f>D12/H12</f>
        <v>1</v>
      </c>
      <c r="AC12" s="1556">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405"/>
      <c r="Q13" s="1146">
        <f t="shared" si="6"/>
        <v>111</v>
      </c>
      <c r="R13" s="1553" t="s">
        <v>8</v>
      </c>
      <c r="S13" s="1554">
        <f t="shared" si="0"/>
        <v>100</v>
      </c>
      <c r="T13" s="1553" t="s">
        <v>8</v>
      </c>
      <c r="U13" s="1554">
        <f t="shared" si="1"/>
        <v>100</v>
      </c>
      <c r="V13" s="1553" t="s">
        <v>8</v>
      </c>
      <c r="W13" s="1554">
        <f t="shared" si="2"/>
        <v>100</v>
      </c>
      <c r="X13" s="1555"/>
      <c r="Y13" s="3351"/>
      <c r="Z13" s="1145">
        <f t="shared" si="7"/>
        <v>111</v>
      </c>
      <c r="AA13" s="1556">
        <f t="shared" si="3"/>
        <v>1</v>
      </c>
      <c r="AB13" s="1556">
        <f t="shared" si="4"/>
        <v>1</v>
      </c>
      <c r="AC13" s="1556">
        <f t="shared" si="5"/>
        <v>1</v>
      </c>
    </row>
    <row r="14" spans="1:29" ht="15.75"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405"/>
      <c r="Q14" s="1146">
        <f t="shared" si="6"/>
        <v>111</v>
      </c>
      <c r="R14" s="1553" t="s">
        <v>8</v>
      </c>
      <c r="S14" s="1554">
        <f t="shared" si="0"/>
        <v>100</v>
      </c>
      <c r="T14" s="1553" t="s">
        <v>8</v>
      </c>
      <c r="U14" s="1554">
        <f t="shared" si="1"/>
        <v>100</v>
      </c>
      <c r="V14" s="1553" t="s">
        <v>8</v>
      </c>
      <c r="W14" s="1554">
        <f t="shared" si="2"/>
        <v>100</v>
      </c>
      <c r="X14" s="1555"/>
      <c r="Y14" s="3351"/>
      <c r="Z14" s="1145">
        <f t="shared" si="7"/>
        <v>111</v>
      </c>
      <c r="AA14" s="1556">
        <f t="shared" si="3"/>
        <v>1</v>
      </c>
      <c r="AB14" s="1556">
        <f t="shared" si="4"/>
        <v>1</v>
      </c>
      <c r="AC14" s="1556">
        <f t="shared" si="5"/>
        <v>1</v>
      </c>
    </row>
    <row r="15" spans="1:29" ht="71.25">
      <c r="A15" s="2864" t="s">
        <v>2754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440" t="s">
        <v>540</v>
      </c>
      <c r="Q15" s="1557" t="str">
        <f t="shared" si="6"/>
        <v>办公集聚程度</v>
      </c>
      <c r="R15" s="1558" t="s">
        <v>8</v>
      </c>
      <c r="S15" s="1559">
        <f t="shared" si="0"/>
        <v>100</v>
      </c>
      <c r="T15" s="1558" t="s">
        <v>8</v>
      </c>
      <c r="U15" s="1559">
        <f t="shared" si="1"/>
        <v>100</v>
      </c>
      <c r="V15" s="1558" t="s">
        <v>8</v>
      </c>
      <c r="W15" s="1559">
        <f t="shared" si="2"/>
        <v>100</v>
      </c>
      <c r="X15" s="1552"/>
      <c r="Y15" s="3440"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3441"/>
      <c r="Q16" s="1557"/>
      <c r="R16" s="1558"/>
      <c r="S16" s="1559"/>
      <c r="T16" s="1558"/>
      <c r="U16" s="1559"/>
      <c r="V16" s="1558"/>
      <c r="W16" s="1559"/>
      <c r="X16" s="1552"/>
      <c r="Y16" s="3441"/>
      <c r="Z16" s="1560"/>
      <c r="AA16" s="1561">
        <v>1</v>
      </c>
      <c r="AB16" s="1561">
        <v>1</v>
      </c>
      <c r="AC16" s="1561">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441"/>
      <c r="Q17" s="1557" t="str">
        <f>B17</f>
        <v>交通便捷度</v>
      </c>
      <c r="R17" s="1558" t="s">
        <v>8</v>
      </c>
      <c r="S17" s="1559">
        <f>F17</f>
        <v>100</v>
      </c>
      <c r="T17" s="1558" t="s">
        <v>8</v>
      </c>
      <c r="U17" s="1559">
        <f>H17</f>
        <v>100</v>
      </c>
      <c r="V17" s="1558" t="s">
        <v>8</v>
      </c>
      <c r="W17" s="1559">
        <f>J17</f>
        <v>100</v>
      </c>
      <c r="X17" s="1552"/>
      <c r="Y17" s="3441"/>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3441"/>
      <c r="Q18" s="1557"/>
      <c r="R18" s="1558"/>
      <c r="S18" s="1559"/>
      <c r="T18" s="1558"/>
      <c r="U18" s="1559"/>
      <c r="V18" s="1558"/>
      <c r="W18" s="1559"/>
      <c r="X18" s="1552"/>
      <c r="Y18" s="3441"/>
      <c r="Z18" s="1560"/>
      <c r="AA18" s="1561">
        <v>1</v>
      </c>
      <c r="AB18" s="1561">
        <v>1</v>
      </c>
      <c r="AC18" s="1561">
        <v>1</v>
      </c>
    </row>
    <row r="19" spans="1:29" ht="42.75">
      <c r="A19" s="531"/>
      <c r="B19" s="2566" t="s">
        <v>2546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441"/>
      <c r="Q19" s="1557" t="str">
        <f>B19</f>
        <v>公共配套设施</v>
      </c>
      <c r="R19" s="1558" t="s">
        <v>8</v>
      </c>
      <c r="S19" s="1559">
        <f>F19</f>
        <v>100</v>
      </c>
      <c r="T19" s="1558" t="s">
        <v>8</v>
      </c>
      <c r="U19" s="1559">
        <f>H19</f>
        <v>100</v>
      </c>
      <c r="V19" s="1558" t="s">
        <v>8</v>
      </c>
      <c r="W19" s="1559">
        <f>J19</f>
        <v>100</v>
      </c>
      <c r="X19" s="1552"/>
      <c r="Y19" s="3441"/>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3441"/>
      <c r="Q20" s="1557"/>
      <c r="R20" s="1558"/>
      <c r="S20" s="1559"/>
      <c r="T20" s="1558"/>
      <c r="U20" s="1559"/>
      <c r="V20" s="1558"/>
      <c r="W20" s="1559"/>
      <c r="X20" s="1552"/>
      <c r="Y20" s="3441"/>
      <c r="Z20" s="1560"/>
      <c r="AA20" s="1561">
        <v>1</v>
      </c>
      <c r="AB20" s="1561">
        <v>1</v>
      </c>
      <c r="AC20" s="1561">
        <v>1</v>
      </c>
    </row>
    <row r="21" spans="1:29" ht="28.5">
      <c r="A21" s="531"/>
      <c r="B21" s="2554" t="s">
        <v>2558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441"/>
      <c r="Q21" s="2542" t="str">
        <f>B21</f>
        <v>基础设施水平</v>
      </c>
      <c r="R21" s="1558" t="s">
        <v>8</v>
      </c>
      <c r="S21" s="1559">
        <f>F21</f>
        <v>100</v>
      </c>
      <c r="T21" s="1558" t="s">
        <v>8</v>
      </c>
      <c r="U21" s="1559">
        <f>H21</f>
        <v>100</v>
      </c>
      <c r="V21" s="1558" t="s">
        <v>8</v>
      </c>
      <c r="W21" s="1559">
        <f>J21</f>
        <v>100</v>
      </c>
      <c r="X21" s="2544"/>
      <c r="Y21" s="3441"/>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3441"/>
      <c r="Q22" s="2542"/>
      <c r="R22" s="1558"/>
      <c r="S22" s="1559"/>
      <c r="T22" s="1558"/>
      <c r="U22" s="1559"/>
      <c r="V22" s="1558"/>
      <c r="W22" s="1559"/>
      <c r="X22" s="2544"/>
      <c r="Y22" s="3441"/>
      <c r="Z22" s="2543"/>
      <c r="AA22" s="1561">
        <v>1</v>
      </c>
      <c r="AB22" s="1561">
        <v>1</v>
      </c>
      <c r="AC22" s="1561">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441"/>
      <c r="Q23" s="1557" t="str">
        <f>B23</f>
        <v>环境质量</v>
      </c>
      <c r="R23" s="1558" t="s">
        <v>8</v>
      </c>
      <c r="S23" s="1559">
        <f>F23</f>
        <v>100</v>
      </c>
      <c r="T23" s="1558" t="s">
        <v>8</v>
      </c>
      <c r="U23" s="1559">
        <f>H23</f>
        <v>100</v>
      </c>
      <c r="V23" s="1558" t="s">
        <v>8</v>
      </c>
      <c r="W23" s="1559">
        <f>J23</f>
        <v>100</v>
      </c>
      <c r="X23" s="1552"/>
      <c r="Y23" s="3441"/>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3441"/>
      <c r="Q24" s="1557"/>
      <c r="R24" s="1558"/>
      <c r="S24" s="1559"/>
      <c r="T24" s="1558"/>
      <c r="U24" s="1559"/>
      <c r="V24" s="1558"/>
      <c r="W24" s="1559"/>
      <c r="X24" s="1552"/>
      <c r="Y24" s="3441"/>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441"/>
      <c r="Q25" s="1557" t="str">
        <f>B25</f>
        <v>毗邻道路的类型与等级</v>
      </c>
      <c r="R25" s="1558" t="s">
        <v>8</v>
      </c>
      <c r="S25" s="1559">
        <f>F25</f>
        <v>100</v>
      </c>
      <c r="T25" s="1558" t="s">
        <v>8</v>
      </c>
      <c r="U25" s="1559">
        <f>H25</f>
        <v>100</v>
      </c>
      <c r="V25" s="1558" t="s">
        <v>8</v>
      </c>
      <c r="W25" s="1559">
        <f>J25</f>
        <v>100</v>
      </c>
      <c r="X25" s="1552"/>
      <c r="Y25" s="3441"/>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3441"/>
      <c r="Q26" s="1557"/>
      <c r="R26" s="1558"/>
      <c r="S26" s="1559"/>
      <c r="T26" s="1558"/>
      <c r="U26" s="1559"/>
      <c r="V26" s="1558"/>
      <c r="W26" s="1559"/>
      <c r="X26" s="1552"/>
      <c r="Y26" s="3441"/>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441"/>
      <c r="Q27" s="1557" t="str">
        <f t="shared" ref="Q27:Q47" si="11">B27</f>
        <v>楼层</v>
      </c>
      <c r="R27" s="1558" t="s">
        <v>8</v>
      </c>
      <c r="S27" s="1559">
        <f>F27</f>
        <v>100</v>
      </c>
      <c r="T27" s="1558" t="s">
        <v>8</v>
      </c>
      <c r="U27" s="1559">
        <f>H27</f>
        <v>100</v>
      </c>
      <c r="V27" s="1558" t="s">
        <v>8</v>
      </c>
      <c r="W27" s="1559">
        <f>J27</f>
        <v>100</v>
      </c>
      <c r="X27" s="1552"/>
      <c r="Y27" s="3441"/>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441"/>
      <c r="Q28" s="1146" t="str">
        <f t="shared" si="11"/>
        <v>朝向</v>
      </c>
      <c r="R28" s="1553" t="s">
        <v>8</v>
      </c>
      <c r="S28" s="1554">
        <f>F28</f>
        <v>100</v>
      </c>
      <c r="T28" s="1553" t="s">
        <v>8</v>
      </c>
      <c r="U28" s="1554">
        <f>H28</f>
        <v>100</v>
      </c>
      <c r="V28" s="1553" t="s">
        <v>8</v>
      </c>
      <c r="W28" s="1554">
        <f>J28</f>
        <v>100</v>
      </c>
      <c r="X28" s="1555"/>
      <c r="Y28" s="3441"/>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441"/>
      <c r="Q29" s="1557">
        <f t="shared" si="11"/>
        <v>111</v>
      </c>
      <c r="R29" s="1558" t="s">
        <v>8</v>
      </c>
      <c r="S29" s="1559">
        <f t="shared" ref="S29:S47" si="12">F29</f>
        <v>100</v>
      </c>
      <c r="T29" s="1558" t="s">
        <v>8</v>
      </c>
      <c r="U29" s="1559">
        <f t="shared" ref="U29:U47" si="13">H29</f>
        <v>100</v>
      </c>
      <c r="V29" s="1558" t="s">
        <v>8</v>
      </c>
      <c r="W29" s="1559">
        <f t="shared" ref="W29:W47" si="14">J29</f>
        <v>100</v>
      </c>
      <c r="X29" s="1552"/>
      <c r="Y29" s="3441"/>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441"/>
      <c r="Q30" s="1557">
        <f t="shared" si="11"/>
        <v>111</v>
      </c>
      <c r="R30" s="1558" t="s">
        <v>8</v>
      </c>
      <c r="S30" s="1559">
        <f t="shared" si="12"/>
        <v>100</v>
      </c>
      <c r="T30" s="1558" t="s">
        <v>8</v>
      </c>
      <c r="U30" s="1559">
        <f t="shared" si="13"/>
        <v>100</v>
      </c>
      <c r="V30" s="1558" t="s">
        <v>8</v>
      </c>
      <c r="W30" s="1559">
        <f t="shared" si="14"/>
        <v>100</v>
      </c>
      <c r="X30" s="1552"/>
      <c r="Y30" s="3441"/>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441"/>
      <c r="Q31" s="1557">
        <f t="shared" si="11"/>
        <v>111</v>
      </c>
      <c r="R31" s="1558" t="s">
        <v>8</v>
      </c>
      <c r="S31" s="1559">
        <f t="shared" si="12"/>
        <v>100</v>
      </c>
      <c r="T31" s="1558" t="s">
        <v>8</v>
      </c>
      <c r="U31" s="1559">
        <f t="shared" si="13"/>
        <v>100</v>
      </c>
      <c r="V31" s="1558" t="s">
        <v>8</v>
      </c>
      <c r="W31" s="1559">
        <f t="shared" si="14"/>
        <v>100</v>
      </c>
      <c r="X31" s="1552"/>
      <c r="Y31" s="3441"/>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441"/>
      <c r="Q32" s="1557">
        <f t="shared" si="11"/>
        <v>111</v>
      </c>
      <c r="R32" s="1558" t="s">
        <v>8</v>
      </c>
      <c r="S32" s="1559">
        <f t="shared" si="12"/>
        <v>100</v>
      </c>
      <c r="T32" s="1558" t="s">
        <v>8</v>
      </c>
      <c r="U32" s="1559">
        <f t="shared" si="13"/>
        <v>100</v>
      </c>
      <c r="V32" s="1558" t="s">
        <v>8</v>
      </c>
      <c r="W32" s="1559">
        <f t="shared" si="14"/>
        <v>100</v>
      </c>
      <c r="X32" s="1552"/>
      <c r="Y32" s="3441"/>
      <c r="Z32" s="1560">
        <f t="shared" si="15"/>
        <v>111</v>
      </c>
      <c r="AA32" s="1561">
        <f t="shared" si="3"/>
        <v>1</v>
      </c>
      <c r="AB32" s="1561">
        <f t="shared" si="4"/>
        <v>1</v>
      </c>
      <c r="AC32" s="1561">
        <f t="shared" si="5"/>
        <v>1</v>
      </c>
    </row>
    <row r="33" spans="1:29" ht="15">
      <c r="A33" s="2861" t="s">
        <v>2755</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442" t="s">
        <v>550</v>
      </c>
      <c r="Q33" s="1557" t="str">
        <f t="shared" si="11"/>
        <v>建筑类型</v>
      </c>
      <c r="R33" s="1558" t="s">
        <v>8</v>
      </c>
      <c r="S33" s="1559">
        <f t="shared" si="12"/>
        <v>100</v>
      </c>
      <c r="T33" s="1558" t="s">
        <v>8</v>
      </c>
      <c r="U33" s="1559">
        <f t="shared" si="13"/>
        <v>100</v>
      </c>
      <c r="V33" s="1558" t="s">
        <v>8</v>
      </c>
      <c r="W33" s="1559">
        <f t="shared" si="14"/>
        <v>100</v>
      </c>
      <c r="X33" s="1552"/>
      <c r="Y33" s="3443"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443"/>
      <c r="Q34" s="1589" t="str">
        <f t="shared" si="11"/>
        <v>项目建筑规模</v>
      </c>
      <c r="R34" s="1562" t="s">
        <v>8</v>
      </c>
      <c r="S34" s="1563" t="e">
        <f t="shared" si="12"/>
        <v>#N/A</v>
      </c>
      <c r="T34" s="1562" t="s">
        <v>8</v>
      </c>
      <c r="U34" s="1563" t="e">
        <f t="shared" si="13"/>
        <v>#N/A</v>
      </c>
      <c r="V34" s="1562" t="s">
        <v>8</v>
      </c>
      <c r="W34" s="1563" t="e">
        <f t="shared" si="14"/>
        <v>#N/A</v>
      </c>
      <c r="X34" s="1564"/>
      <c r="Y34" s="3443"/>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443"/>
      <c r="Q35" s="1557" t="str">
        <f t="shared" si="11"/>
        <v>建筑结构</v>
      </c>
      <c r="R35" s="1558" t="s">
        <v>8</v>
      </c>
      <c r="S35" s="1559">
        <f t="shared" si="12"/>
        <v>100</v>
      </c>
      <c r="T35" s="1558" t="s">
        <v>8</v>
      </c>
      <c r="U35" s="1559">
        <f t="shared" si="13"/>
        <v>100</v>
      </c>
      <c r="V35" s="1558" t="s">
        <v>8</v>
      </c>
      <c r="W35" s="1559">
        <f t="shared" si="14"/>
        <v>100</v>
      </c>
      <c r="X35" s="1552"/>
      <c r="Y35" s="3443"/>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443"/>
      <c r="Q36" s="1557" t="str">
        <f t="shared" si="11"/>
        <v>公共部分装修</v>
      </c>
      <c r="R36" s="1558" t="s">
        <v>8</v>
      </c>
      <c r="S36" s="1559">
        <f t="shared" si="12"/>
        <v>100</v>
      </c>
      <c r="T36" s="1558" t="s">
        <v>8</v>
      </c>
      <c r="U36" s="1559">
        <f t="shared" si="13"/>
        <v>100</v>
      </c>
      <c r="V36" s="1558" t="s">
        <v>8</v>
      </c>
      <c r="W36" s="1559">
        <f t="shared" si="14"/>
        <v>100</v>
      </c>
      <c r="X36" s="1552"/>
      <c r="Y36" s="3443"/>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443"/>
      <c r="Q37" s="1557" t="str">
        <f t="shared" si="11"/>
        <v>成新度</v>
      </c>
      <c r="R37" s="1558" t="s">
        <v>8</v>
      </c>
      <c r="S37" s="1559" t="e">
        <f t="shared" si="12"/>
        <v>#N/A</v>
      </c>
      <c r="T37" s="1558" t="s">
        <v>8</v>
      </c>
      <c r="U37" s="1559" t="e">
        <f t="shared" si="13"/>
        <v>#N/A</v>
      </c>
      <c r="V37" s="1558" t="s">
        <v>8</v>
      </c>
      <c r="W37" s="1559" t="e">
        <f t="shared" si="14"/>
        <v>#N/A</v>
      </c>
      <c r="X37" s="1552"/>
      <c r="Y37" s="3443"/>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443"/>
      <c r="Q38" s="1146" t="str">
        <f t="shared" si="11"/>
        <v>写字楼等级</v>
      </c>
      <c r="R38" s="1553" t="s">
        <v>8</v>
      </c>
      <c r="S38" s="1554">
        <f t="shared" si="12"/>
        <v>100</v>
      </c>
      <c r="T38" s="1553" t="s">
        <v>8</v>
      </c>
      <c r="U38" s="1554">
        <f t="shared" si="13"/>
        <v>100</v>
      </c>
      <c r="V38" s="1553" t="s">
        <v>8</v>
      </c>
      <c r="W38" s="1554">
        <f t="shared" si="14"/>
        <v>100</v>
      </c>
      <c r="X38" s="1555"/>
      <c r="Y38" s="3443"/>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443" t="s">
        <v>550</v>
      </c>
      <c r="Q39" s="1557" t="str">
        <f t="shared" si="11"/>
        <v>物业管理</v>
      </c>
      <c r="R39" s="1558" t="s">
        <v>8</v>
      </c>
      <c r="S39" s="1559">
        <f t="shared" si="12"/>
        <v>100</v>
      </c>
      <c r="T39" s="1558" t="s">
        <v>8</v>
      </c>
      <c r="U39" s="1559">
        <f t="shared" si="13"/>
        <v>100</v>
      </c>
      <c r="V39" s="1558" t="s">
        <v>8</v>
      </c>
      <c r="W39" s="1559">
        <f t="shared" si="14"/>
        <v>100</v>
      </c>
      <c r="X39" s="1552"/>
      <c r="Y39" s="3443" t="s">
        <v>550</v>
      </c>
      <c r="Z39" s="1560" t="str">
        <f t="shared" si="15"/>
        <v>物业管理</v>
      </c>
      <c r="AA39" s="1561">
        <f t="shared" si="3"/>
        <v>1</v>
      </c>
      <c r="AB39" s="1561">
        <f t="shared" si="4"/>
        <v>1</v>
      </c>
      <c r="AC39" s="1561">
        <f t="shared" si="5"/>
        <v>1</v>
      </c>
    </row>
    <row r="40" spans="1:29" ht="15">
      <c r="A40" s="593"/>
      <c r="B40" s="1879"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443"/>
      <c r="Q40" s="1557" t="str">
        <f t="shared" si="11"/>
        <v>市政基础设施</v>
      </c>
      <c r="R40" s="1558" t="s">
        <v>8</v>
      </c>
      <c r="S40" s="1559">
        <f t="shared" si="12"/>
        <v>100</v>
      </c>
      <c r="T40" s="1558" t="s">
        <v>8</v>
      </c>
      <c r="U40" s="1559">
        <f t="shared" si="13"/>
        <v>100</v>
      </c>
      <c r="V40" s="1558" t="s">
        <v>8</v>
      </c>
      <c r="W40" s="1559">
        <f t="shared" si="14"/>
        <v>100</v>
      </c>
      <c r="X40" s="1552"/>
      <c r="Y40" s="3443"/>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43"/>
      <c r="Q41" s="1557" t="str">
        <f t="shared" si="11"/>
        <v>层高</v>
      </c>
      <c r="R41" s="1558" t="s">
        <v>8</v>
      </c>
      <c r="S41" s="1559">
        <f t="shared" si="12"/>
        <v>100</v>
      </c>
      <c r="T41" s="1558" t="s">
        <v>8</v>
      </c>
      <c r="U41" s="1559">
        <f t="shared" si="13"/>
        <v>100</v>
      </c>
      <c r="V41" s="1558" t="s">
        <v>8</v>
      </c>
      <c r="W41" s="1559">
        <f t="shared" si="14"/>
        <v>100</v>
      </c>
      <c r="X41" s="1552"/>
      <c r="Y41" s="3443"/>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43"/>
      <c r="Q42" s="1589" t="str">
        <f t="shared" si="11"/>
        <v>单套建筑面积</v>
      </c>
      <c r="R42" s="1562" t="s">
        <v>8</v>
      </c>
      <c r="S42" s="1563">
        <f t="shared" si="12"/>
        <v>100</v>
      </c>
      <c r="T42" s="1562" t="s">
        <v>8</v>
      </c>
      <c r="U42" s="1563">
        <f t="shared" si="13"/>
        <v>100</v>
      </c>
      <c r="V42" s="1562" t="s">
        <v>8</v>
      </c>
      <c r="W42" s="1563">
        <f t="shared" si="14"/>
        <v>100</v>
      </c>
      <c r="X42" s="1564"/>
      <c r="Y42" s="3443"/>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443"/>
      <c r="Q43" s="1557" t="str">
        <f t="shared" si="11"/>
        <v>内部装修</v>
      </c>
      <c r="R43" s="1558" t="s">
        <v>8</v>
      </c>
      <c r="S43" s="1559">
        <f t="shared" si="12"/>
        <v>100</v>
      </c>
      <c r="T43" s="1558" t="s">
        <v>8</v>
      </c>
      <c r="U43" s="1559">
        <f t="shared" si="13"/>
        <v>100</v>
      </c>
      <c r="V43" s="1558" t="s">
        <v>8</v>
      </c>
      <c r="W43" s="1559">
        <f t="shared" si="14"/>
        <v>100</v>
      </c>
      <c r="X43" s="1552"/>
      <c r="Y43" s="3443"/>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443"/>
      <c r="Q44" s="1557" t="str">
        <f t="shared" si="11"/>
        <v>内部装修维护情况</v>
      </c>
      <c r="R44" s="1558" t="s">
        <v>8</v>
      </c>
      <c r="S44" s="1559">
        <f t="shared" si="12"/>
        <v>100</v>
      </c>
      <c r="T44" s="1558" t="s">
        <v>8</v>
      </c>
      <c r="U44" s="1559">
        <f t="shared" si="13"/>
        <v>100</v>
      </c>
      <c r="V44" s="1558" t="s">
        <v>8</v>
      </c>
      <c r="W44" s="1559">
        <f t="shared" si="14"/>
        <v>100</v>
      </c>
      <c r="X44" s="1552"/>
      <c r="Y44" s="3443"/>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443"/>
      <c r="Q45" s="1146">
        <f t="shared" si="11"/>
        <v>111</v>
      </c>
      <c r="R45" s="1553" t="s">
        <v>8</v>
      </c>
      <c r="S45" s="1554">
        <f t="shared" si="12"/>
        <v>100</v>
      </c>
      <c r="T45" s="1553" t="s">
        <v>8</v>
      </c>
      <c r="U45" s="1554">
        <f t="shared" si="13"/>
        <v>100</v>
      </c>
      <c r="V45" s="1553" t="s">
        <v>8</v>
      </c>
      <c r="W45" s="1554">
        <f t="shared" si="14"/>
        <v>100</v>
      </c>
      <c r="X45" s="1555"/>
      <c r="Y45" s="3443"/>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43"/>
      <c r="Q46" s="1557">
        <f t="shared" si="11"/>
        <v>111</v>
      </c>
      <c r="R46" s="1558" t="s">
        <v>8</v>
      </c>
      <c r="S46" s="1559">
        <f t="shared" si="12"/>
        <v>100</v>
      </c>
      <c r="T46" s="1558" t="s">
        <v>8</v>
      </c>
      <c r="U46" s="1559">
        <f t="shared" si="13"/>
        <v>100</v>
      </c>
      <c r="V46" s="1558" t="s">
        <v>8</v>
      </c>
      <c r="W46" s="1559">
        <f t="shared" si="14"/>
        <v>100</v>
      </c>
      <c r="X46" s="1552"/>
      <c r="Y46" s="3443"/>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513"/>
      <c r="Q47" s="1557">
        <f t="shared" si="11"/>
        <v>111</v>
      </c>
      <c r="R47" s="1558" t="s">
        <v>8</v>
      </c>
      <c r="S47" s="1559">
        <f t="shared" si="12"/>
        <v>100</v>
      </c>
      <c r="T47" s="1558" t="s">
        <v>8</v>
      </c>
      <c r="U47" s="1559">
        <f t="shared" si="13"/>
        <v>100</v>
      </c>
      <c r="V47" s="1558" t="s">
        <v>8</v>
      </c>
      <c r="W47" s="1559">
        <f t="shared" si="14"/>
        <v>100</v>
      </c>
      <c r="X47" s="1552"/>
      <c r="Y47" s="3513"/>
      <c r="Z47" s="1560">
        <f t="shared" si="15"/>
        <v>111</v>
      </c>
      <c r="AA47" s="1561">
        <f t="shared" si="3"/>
        <v>1</v>
      </c>
      <c r="AB47" s="1561">
        <f t="shared" si="4"/>
        <v>1</v>
      </c>
      <c r="AC47" s="1561">
        <f t="shared" si="5"/>
        <v>1</v>
      </c>
    </row>
    <row r="48" spans="1:29" ht="15">
      <c r="A48" s="606" t="s">
        <v>736</v>
      </c>
      <c r="B48" s="886"/>
      <c r="C48" s="2590" t="s">
        <v>1</v>
      </c>
      <c r="D48" s="2591"/>
      <c r="E48" s="2592"/>
      <c r="F48" s="2593"/>
      <c r="G48" s="2594"/>
      <c r="H48" s="2595"/>
      <c r="I48" s="2592"/>
      <c r="J48" s="2595"/>
      <c r="K48" s="1595"/>
      <c r="L48" s="2128"/>
      <c r="M48" s="2118"/>
      <c r="N48" s="2118"/>
      <c r="O48" s="2118"/>
      <c r="P48" s="3403" t="str">
        <f>A48</f>
        <v>成交单价（元/平方米）</v>
      </c>
      <c r="Q48" s="3405"/>
      <c r="R48" s="3512">
        <f>E48</f>
        <v>0</v>
      </c>
      <c r="S48" s="3512"/>
      <c r="T48" s="3512">
        <f>G48</f>
        <v>0</v>
      </c>
      <c r="U48" s="3512"/>
      <c r="V48" s="3512">
        <f>I48</f>
        <v>0</v>
      </c>
      <c r="W48" s="3512"/>
      <c r="X48" s="1544"/>
      <c r="Y48" s="1566"/>
      <c r="Z48" s="1544"/>
      <c r="AA48" s="1544"/>
      <c r="AB48" s="1544"/>
      <c r="AC48" s="1544"/>
    </row>
    <row r="49" spans="1:29" ht="15.75" thickBot="1">
      <c r="A49" s="614" t="s">
        <v>2760</v>
      </c>
      <c r="B49" s="887"/>
      <c r="C49" s="2596" t="e">
        <f>R50</f>
        <v>#DIV/0!</v>
      </c>
      <c r="D49" s="2597"/>
      <c r="E49" s="2598" t="e">
        <f>R49</f>
        <v>#DIV/0!</v>
      </c>
      <c r="F49" s="2598"/>
      <c r="G49" s="2596" t="e">
        <f>T49</f>
        <v>#DIV/0!</v>
      </c>
      <c r="H49" s="2597"/>
      <c r="I49" s="2598" t="e">
        <f>V49</f>
        <v>#DIV/0!</v>
      </c>
      <c r="J49" s="2597"/>
      <c r="K49" s="1596"/>
      <c r="L49" s="2128"/>
      <c r="M49" s="2118"/>
      <c r="N49" s="2118"/>
      <c r="O49" s="2118"/>
      <c r="P49" s="3403" t="str">
        <f>A49</f>
        <v>比较价格（元/平方米）</v>
      </c>
      <c r="Q49" s="3405"/>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1544"/>
      <c r="Y49" s="1544"/>
      <c r="Z49" s="1544"/>
      <c r="AA49" s="1544"/>
      <c r="AB49" s="1544"/>
      <c r="AC49" s="1544"/>
    </row>
    <row r="50" spans="1:29" ht="15.75" thickBot="1">
      <c r="A50" s="620" t="s">
        <v>2937</v>
      </c>
      <c r="B50" s="621"/>
      <c r="C50" s="2599" t="e">
        <f>R50</f>
        <v>#DIV/0!</v>
      </c>
      <c r="D50" s="2599"/>
      <c r="E50" s="2599"/>
      <c r="F50" s="2599"/>
      <c r="G50" s="2599"/>
      <c r="H50" s="2599"/>
      <c r="I50" s="2599"/>
      <c r="J50" s="2599"/>
      <c r="K50" s="1597"/>
      <c r="L50" s="2128"/>
      <c r="M50" s="2118"/>
      <c r="N50" s="2118"/>
      <c r="O50" s="2118"/>
      <c r="P50" s="3514" t="str">
        <f>A50</f>
        <v>估价对象XX用房的比较价格（楼面单价，元/平方米）</v>
      </c>
      <c r="Q50" s="3403"/>
      <c r="R50" s="3511" t="e">
        <f>IF(F1="售价",ROUND(AVERAGE(R49:V49),0),ROUND(AVERAGE(R49:V49),1))</f>
        <v>#DIV/0!</v>
      </c>
      <c r="S50" s="3511"/>
      <c r="T50" s="3511"/>
      <c r="U50" s="3511"/>
      <c r="V50" s="3511"/>
      <c r="W50" s="3511"/>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756" t="str">
        <f>YEAR(C7)&amp;"-"&amp;MONTH(C7)</f>
        <v>2020-1</v>
      </c>
      <c r="D59" s="2758">
        <f>EDATE(C59,-1)</f>
        <v>43800</v>
      </c>
      <c r="E59" s="2758">
        <f t="shared" ref="E59:O59" si="16">EDATE(D59,-1)</f>
        <v>43770</v>
      </c>
      <c r="F59" s="2758">
        <f t="shared" si="16"/>
        <v>43739</v>
      </c>
      <c r="G59" s="2758">
        <f t="shared" si="16"/>
        <v>43709</v>
      </c>
      <c r="H59" s="2758">
        <f t="shared" si="16"/>
        <v>43678</v>
      </c>
      <c r="I59" s="2758">
        <f t="shared" si="16"/>
        <v>43647</v>
      </c>
      <c r="J59" s="2758">
        <f t="shared" si="16"/>
        <v>43617</v>
      </c>
      <c r="K59" s="2758">
        <f t="shared" si="16"/>
        <v>43586</v>
      </c>
      <c r="L59" s="2758">
        <f t="shared" si="16"/>
        <v>43556</v>
      </c>
      <c r="M59" s="2758">
        <f t="shared" si="16"/>
        <v>43525</v>
      </c>
      <c r="N59" s="2758">
        <f t="shared" si="16"/>
        <v>43497</v>
      </c>
      <c r="O59" s="2758">
        <f t="shared" si="16"/>
        <v>43466</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2557</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2558</v>
      </c>
      <c r="C83" s="2561" t="s">
        <v>2559</v>
      </c>
      <c r="D83" s="2561" t="s">
        <v>2560</v>
      </c>
      <c r="E83" s="2561" t="s">
        <v>2561</v>
      </c>
      <c r="F83" s="2561" t="s">
        <v>2562</v>
      </c>
      <c r="G83" s="2561" t="s">
        <v>2563</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2556</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3411" t="s">
        <v>522</v>
      </c>
      <c r="D4" s="3412"/>
      <c r="E4" s="3446" t="s">
        <v>523</v>
      </c>
      <c r="F4" s="3447"/>
      <c r="G4" s="3411" t="s">
        <v>524</v>
      </c>
      <c r="H4" s="3412"/>
      <c r="I4" s="3411" t="s">
        <v>525</v>
      </c>
      <c r="J4" s="3412"/>
      <c r="K4" s="513" t="s">
        <v>526</v>
      </c>
      <c r="L4" s="2117"/>
      <c r="M4" s="2118"/>
      <c r="N4" s="2118"/>
      <c r="O4" s="2118"/>
      <c r="P4" s="3413" t="s">
        <v>527</v>
      </c>
      <c r="Q4" s="3414"/>
      <c r="R4" s="3419" t="s">
        <v>523</v>
      </c>
      <c r="S4" s="3420"/>
      <c r="T4" s="3419" t="s">
        <v>524</v>
      </c>
      <c r="U4" s="3420"/>
      <c r="V4" s="3406" t="s">
        <v>525</v>
      </c>
      <c r="W4" s="3406"/>
      <c r="X4" s="1552"/>
      <c r="Y4" s="3419" t="s">
        <v>527</v>
      </c>
      <c r="Z4" s="3420"/>
      <c r="AA4" s="3408" t="s">
        <v>523</v>
      </c>
      <c r="AB4" s="3409" t="s">
        <v>524</v>
      </c>
      <c r="AC4" s="3408" t="s">
        <v>525</v>
      </c>
    </row>
    <row r="5" spans="1:29" ht="15">
      <c r="A5" s="514"/>
      <c r="B5" s="515"/>
      <c r="C5" s="3427" t="s">
        <v>2931</v>
      </c>
      <c r="D5" s="3428"/>
      <c r="E5" s="3448" t="s">
        <v>2932</v>
      </c>
      <c r="F5" s="3449"/>
      <c r="G5" s="3427" t="s">
        <v>2933</v>
      </c>
      <c r="H5" s="3428"/>
      <c r="I5" s="3427" t="s">
        <v>2934</v>
      </c>
      <c r="J5" s="3428"/>
      <c r="K5" s="513"/>
      <c r="L5" s="2117"/>
      <c r="M5" s="2118"/>
      <c r="N5" s="2118"/>
      <c r="O5" s="2118"/>
      <c r="P5" s="3415"/>
      <c r="Q5" s="3416"/>
      <c r="R5" s="3421"/>
      <c r="S5" s="3422"/>
      <c r="T5" s="3421"/>
      <c r="U5" s="3422"/>
      <c r="V5" s="3406"/>
      <c r="W5" s="3406"/>
      <c r="X5" s="1552"/>
      <c r="Y5" s="3421"/>
      <c r="Z5" s="3422"/>
      <c r="AA5" s="3409"/>
      <c r="AB5" s="3409"/>
      <c r="AC5" s="3409"/>
    </row>
    <row r="6" spans="1:29" ht="15.75" thickBot="1">
      <c r="A6" s="516"/>
      <c r="B6" s="517"/>
      <c r="C6" s="3425" t="s">
        <v>2935</v>
      </c>
      <c r="D6" s="3426"/>
      <c r="E6" s="3444" t="s">
        <v>2935</v>
      </c>
      <c r="F6" s="3445"/>
      <c r="G6" s="3425" t="s">
        <v>2935</v>
      </c>
      <c r="H6" s="3426"/>
      <c r="I6" s="3425" t="s">
        <v>2935</v>
      </c>
      <c r="J6" s="3426"/>
      <c r="K6" s="513" t="s">
        <v>528</v>
      </c>
      <c r="L6" s="2117"/>
      <c r="M6" s="2118"/>
      <c r="N6" s="2118"/>
      <c r="O6" s="2118"/>
      <c r="P6" s="3417"/>
      <c r="Q6" s="3418"/>
      <c r="R6" s="3421"/>
      <c r="S6" s="3422"/>
      <c r="T6" s="3423"/>
      <c r="U6" s="3424"/>
      <c r="V6" s="3406"/>
      <c r="W6" s="3406"/>
      <c r="X6" s="1552"/>
      <c r="Y6" s="3423"/>
      <c r="Z6" s="3424"/>
      <c r="AA6" s="3410"/>
      <c r="AB6" s="3410"/>
      <c r="AC6" s="3410"/>
    </row>
    <row r="7" spans="1:29" s="1215" customFormat="1" ht="15.75" thickBot="1">
      <c r="A7" s="2866"/>
      <c r="B7" s="2873" t="s">
        <v>529</v>
      </c>
      <c r="C7" s="518">
        <f>'数据-取费表'!B2</f>
        <v>43833</v>
      </c>
      <c r="D7" s="519">
        <v>100</v>
      </c>
      <c r="E7" s="520"/>
      <c r="F7" s="521">
        <f>SUMIF(52:52,YEAR(E7)&amp;"-"&amp;MONTH(E7),53:53)</f>
        <v>0</v>
      </c>
      <c r="G7" s="520"/>
      <c r="H7" s="519">
        <f>SUMIF(52:52,YEAR(G7)&amp;"-"&amp;MONTH(G7),53:53)</f>
        <v>0</v>
      </c>
      <c r="I7" s="520"/>
      <c r="J7" s="519">
        <f>SUMIF(52:52,YEAR(I7)&amp;"-"&amp;MONTH(I7),53:53)</f>
        <v>0</v>
      </c>
      <c r="K7" s="523"/>
      <c r="L7" s="2119"/>
      <c r="M7" s="2120"/>
      <c r="N7" s="2120"/>
      <c r="O7" s="2120"/>
      <c r="P7" s="3437" t="s">
        <v>530</v>
      </c>
      <c r="Q7" s="3439"/>
      <c r="R7" s="1553" t="s">
        <v>8</v>
      </c>
      <c r="S7" s="1554">
        <f t="shared" ref="S7:S15" si="0">F7</f>
        <v>0</v>
      </c>
      <c r="T7" s="1553" t="s">
        <v>8</v>
      </c>
      <c r="U7" s="1554">
        <f t="shared" ref="U7:U15" si="1">H7</f>
        <v>0</v>
      </c>
      <c r="V7" s="1553" t="s">
        <v>8</v>
      </c>
      <c r="W7" s="1554">
        <f t="shared" ref="W7:W15" si="2">J7</f>
        <v>0</v>
      </c>
      <c r="X7" s="1555"/>
      <c r="Y7" s="3437" t="s">
        <v>530</v>
      </c>
      <c r="Z7" s="3438"/>
      <c r="AA7" s="1556" t="e">
        <f>D7/F7</f>
        <v>#DIV/0!</v>
      </c>
      <c r="AB7" s="1556" t="e">
        <f>D7/H7</f>
        <v>#DIV/0!</v>
      </c>
      <c r="AC7" s="1556" t="e">
        <f>D7/J7</f>
        <v>#DIV/0!</v>
      </c>
    </row>
    <row r="8" spans="1:29" s="1215" customFormat="1" ht="15.75" thickBot="1">
      <c r="A8" s="2867"/>
      <c r="B8" s="2874"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437" t="s">
        <v>533</v>
      </c>
      <c r="Q8" s="3438"/>
      <c r="R8" s="1553" t="s">
        <v>8</v>
      </c>
      <c r="S8" s="1554">
        <f t="shared" si="0"/>
        <v>0</v>
      </c>
      <c r="T8" s="1553" t="s">
        <v>8</v>
      </c>
      <c r="U8" s="1554">
        <f t="shared" si="1"/>
        <v>0</v>
      </c>
      <c r="V8" s="1553" t="s">
        <v>8</v>
      </c>
      <c r="W8" s="1554">
        <f t="shared" si="2"/>
        <v>0</v>
      </c>
      <c r="X8" s="1555"/>
      <c r="Y8" s="3437" t="s">
        <v>533</v>
      </c>
      <c r="Z8" s="3438"/>
      <c r="AA8" s="1556" t="e">
        <f t="shared" ref="AA8:AA40" si="3">D8/F8</f>
        <v>#DIV/0!</v>
      </c>
      <c r="AB8" s="1556" t="e">
        <f t="shared" ref="AB8:AB40" si="4">D8/H8</f>
        <v>#DIV/0!</v>
      </c>
      <c r="AC8" s="1556" t="e">
        <f t="shared" ref="AC8:AC40" si="5">D8/J8</f>
        <v>#DIV/0!</v>
      </c>
    </row>
    <row r="9" spans="1:29" s="1215" customFormat="1" ht="15">
      <c r="A9" s="2868"/>
      <c r="B9" s="2875" t="s">
        <v>2756</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405" t="s">
        <v>535</v>
      </c>
      <c r="Q9" s="1146" t="str">
        <f t="shared" ref="Q9:Q15" si="6">B9</f>
        <v>用途</v>
      </c>
      <c r="R9" s="1553" t="s">
        <v>8</v>
      </c>
      <c r="S9" s="1554">
        <f t="shared" si="0"/>
        <v>100</v>
      </c>
      <c r="T9" s="1553" t="s">
        <v>8</v>
      </c>
      <c r="U9" s="1554">
        <f t="shared" si="1"/>
        <v>100</v>
      </c>
      <c r="V9" s="1553" t="s">
        <v>8</v>
      </c>
      <c r="W9" s="1554">
        <f t="shared" si="2"/>
        <v>100</v>
      </c>
      <c r="X9" s="1555"/>
      <c r="Y9" s="3351"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405"/>
      <c r="Q10" s="1146" t="str">
        <f t="shared" si="6"/>
        <v>土地使用年限（年）</v>
      </c>
      <c r="R10" s="1553" t="s">
        <v>8</v>
      </c>
      <c r="S10" s="1554">
        <f t="shared" si="0"/>
        <v>100</v>
      </c>
      <c r="T10" s="1553" t="s">
        <v>8</v>
      </c>
      <c r="U10" s="1554">
        <f t="shared" si="1"/>
        <v>100</v>
      </c>
      <c r="V10" s="1553" t="s">
        <v>8</v>
      </c>
      <c r="W10" s="1554">
        <f t="shared" si="2"/>
        <v>100</v>
      </c>
      <c r="X10" s="1555"/>
      <c r="Y10" s="3351"/>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405"/>
      <c r="Q11" s="1146" t="str">
        <f t="shared" si="6"/>
        <v>容积率</v>
      </c>
      <c r="R11" s="1553" t="s">
        <v>8</v>
      </c>
      <c r="S11" s="1554" t="e">
        <f t="shared" si="0"/>
        <v>#N/A</v>
      </c>
      <c r="T11" s="1553" t="s">
        <v>8</v>
      </c>
      <c r="U11" s="1554" t="e">
        <f t="shared" si="1"/>
        <v>#N/A</v>
      </c>
      <c r="V11" s="1553" t="s">
        <v>8</v>
      </c>
      <c r="W11" s="1554" t="e">
        <f t="shared" si="2"/>
        <v>#N/A</v>
      </c>
      <c r="X11" s="1555"/>
      <c r="Y11" s="3351"/>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405"/>
      <c r="Q12" s="1146">
        <f t="shared" si="6"/>
        <v>111</v>
      </c>
      <c r="R12" s="1553" t="s">
        <v>8</v>
      </c>
      <c r="S12" s="1554">
        <f t="shared" si="0"/>
        <v>100</v>
      </c>
      <c r="T12" s="1553" t="s">
        <v>8</v>
      </c>
      <c r="U12" s="1554">
        <f t="shared" si="1"/>
        <v>100</v>
      </c>
      <c r="V12" s="1553" t="s">
        <v>8</v>
      </c>
      <c r="W12" s="1554">
        <f t="shared" si="2"/>
        <v>100</v>
      </c>
      <c r="X12" s="1555"/>
      <c r="Y12" s="3351"/>
      <c r="Z12" s="1145">
        <f t="shared" si="7"/>
        <v>111</v>
      </c>
      <c r="AA12" s="1556">
        <f>D12/F12</f>
        <v>1</v>
      </c>
      <c r="AB12" s="1556">
        <f>D12/H12</f>
        <v>1</v>
      </c>
      <c r="AC12" s="1556">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405"/>
      <c r="Q13" s="1146">
        <f t="shared" si="6"/>
        <v>111</v>
      </c>
      <c r="R13" s="1553" t="s">
        <v>8</v>
      </c>
      <c r="S13" s="1554">
        <f t="shared" si="0"/>
        <v>100</v>
      </c>
      <c r="T13" s="1553" t="s">
        <v>8</v>
      </c>
      <c r="U13" s="1554">
        <f t="shared" si="1"/>
        <v>100</v>
      </c>
      <c r="V13" s="1553" t="s">
        <v>8</v>
      </c>
      <c r="W13" s="1554">
        <f t="shared" si="2"/>
        <v>100</v>
      </c>
      <c r="X13" s="1555"/>
      <c r="Y13" s="3351"/>
      <c r="Z13" s="1145">
        <f t="shared" si="7"/>
        <v>111</v>
      </c>
      <c r="AA13" s="1556">
        <f t="shared" si="3"/>
        <v>1</v>
      </c>
      <c r="AB13" s="1556">
        <f t="shared" si="4"/>
        <v>1</v>
      </c>
      <c r="AC13" s="1556">
        <f t="shared" si="5"/>
        <v>1</v>
      </c>
    </row>
    <row r="14" spans="1:29" ht="15.75"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405"/>
      <c r="Q14" s="1146">
        <f t="shared" si="6"/>
        <v>111</v>
      </c>
      <c r="R14" s="1553" t="s">
        <v>8</v>
      </c>
      <c r="S14" s="1554">
        <f t="shared" si="0"/>
        <v>100</v>
      </c>
      <c r="T14" s="1553" t="s">
        <v>8</v>
      </c>
      <c r="U14" s="1554">
        <f t="shared" si="1"/>
        <v>100</v>
      </c>
      <c r="V14" s="1553" t="s">
        <v>8</v>
      </c>
      <c r="W14" s="1554">
        <f t="shared" si="2"/>
        <v>100</v>
      </c>
      <c r="X14" s="1555"/>
      <c r="Y14" s="3351"/>
      <c r="Z14" s="1145">
        <f t="shared" si="7"/>
        <v>111</v>
      </c>
      <c r="AA14" s="1556">
        <f t="shared" si="3"/>
        <v>1</v>
      </c>
      <c r="AB14" s="1556">
        <f t="shared" si="4"/>
        <v>1</v>
      </c>
      <c r="AC14" s="1556">
        <f t="shared" si="5"/>
        <v>1</v>
      </c>
    </row>
    <row r="15" spans="1:29" ht="57">
      <c r="A15" s="2864"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440" t="s">
        <v>540</v>
      </c>
      <c r="Q15" s="1557" t="str">
        <f t="shared" si="6"/>
        <v>产业集聚程度</v>
      </c>
      <c r="R15" s="1558" t="s">
        <v>8</v>
      </c>
      <c r="S15" s="1559">
        <f t="shared" si="0"/>
        <v>100</v>
      </c>
      <c r="T15" s="1558" t="s">
        <v>8</v>
      </c>
      <c r="U15" s="1559">
        <f t="shared" si="1"/>
        <v>100</v>
      </c>
      <c r="V15" s="1558" t="s">
        <v>8</v>
      </c>
      <c r="W15" s="1559">
        <f t="shared" si="2"/>
        <v>100</v>
      </c>
      <c r="X15" s="1552"/>
      <c r="Y15" s="3440"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441"/>
      <c r="Q16" s="1557"/>
      <c r="R16" s="1558"/>
      <c r="S16" s="1559"/>
      <c r="T16" s="1558"/>
      <c r="U16" s="1559"/>
      <c r="V16" s="1558"/>
      <c r="W16" s="1559"/>
      <c r="X16" s="1552"/>
      <c r="Y16" s="3441"/>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441"/>
      <c r="Q17" s="1557" t="str">
        <f>B17</f>
        <v>交通便捷度</v>
      </c>
      <c r="R17" s="1558" t="s">
        <v>8</v>
      </c>
      <c r="S17" s="1559">
        <f>F17</f>
        <v>100</v>
      </c>
      <c r="T17" s="1558" t="s">
        <v>8</v>
      </c>
      <c r="U17" s="1559">
        <f>H17</f>
        <v>100</v>
      </c>
      <c r="V17" s="1558" t="s">
        <v>8</v>
      </c>
      <c r="W17" s="1559">
        <f>J17</f>
        <v>100</v>
      </c>
      <c r="X17" s="1552"/>
      <c r="Y17" s="3441"/>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441"/>
      <c r="Q18" s="1557"/>
      <c r="R18" s="1558"/>
      <c r="S18" s="1559"/>
      <c r="T18" s="1558"/>
      <c r="U18" s="1559"/>
      <c r="V18" s="1558"/>
      <c r="W18" s="1559"/>
      <c r="X18" s="1552"/>
      <c r="Y18" s="3441"/>
      <c r="Z18" s="1560"/>
      <c r="AA18" s="1561">
        <v>1</v>
      </c>
      <c r="AB18" s="1561">
        <v>1</v>
      </c>
      <c r="AC18" s="1561">
        <v>1</v>
      </c>
    </row>
    <row r="19" spans="1:29" ht="42.75">
      <c r="A19" s="531"/>
      <c r="B19" s="2566"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441"/>
      <c r="Q19" s="1557" t="str">
        <f>B19</f>
        <v>公共配套设施</v>
      </c>
      <c r="R19" s="1558" t="s">
        <v>8</v>
      </c>
      <c r="S19" s="1559">
        <f>F19</f>
        <v>100</v>
      </c>
      <c r="T19" s="1558" t="s">
        <v>8</v>
      </c>
      <c r="U19" s="1559">
        <f>H19</f>
        <v>100</v>
      </c>
      <c r="V19" s="1558" t="s">
        <v>8</v>
      </c>
      <c r="W19" s="1559">
        <f>J19</f>
        <v>100</v>
      </c>
      <c r="X19" s="1552"/>
      <c r="Y19" s="3441"/>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3441"/>
      <c r="Q20" s="1557"/>
      <c r="R20" s="1558"/>
      <c r="S20" s="1559"/>
      <c r="T20" s="1558"/>
      <c r="U20" s="1559"/>
      <c r="V20" s="1558"/>
      <c r="W20" s="1559"/>
      <c r="X20" s="1552"/>
      <c r="Y20" s="3441"/>
      <c r="Z20" s="1560"/>
      <c r="AA20" s="1561">
        <v>1</v>
      </c>
      <c r="AB20" s="1561">
        <v>1</v>
      </c>
      <c r="AC20" s="1561">
        <v>1</v>
      </c>
    </row>
    <row r="21" spans="1:29" ht="28.5">
      <c r="A21" s="531"/>
      <c r="B21" s="2554"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441"/>
      <c r="Q21" s="2542" t="str">
        <f>B21</f>
        <v>基础设施水平</v>
      </c>
      <c r="R21" s="1558" t="s">
        <v>8</v>
      </c>
      <c r="S21" s="1559">
        <f>F21</f>
        <v>100</v>
      </c>
      <c r="T21" s="1558" t="s">
        <v>8</v>
      </c>
      <c r="U21" s="1559">
        <f>H21</f>
        <v>100</v>
      </c>
      <c r="V21" s="1558" t="s">
        <v>8</v>
      </c>
      <c r="W21" s="1559">
        <f>J21</f>
        <v>100</v>
      </c>
      <c r="X21" s="2544"/>
      <c r="Y21" s="3441"/>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3441"/>
      <c r="Q22" s="2542"/>
      <c r="R22" s="1558"/>
      <c r="S22" s="1559"/>
      <c r="T22" s="1558"/>
      <c r="U22" s="1559"/>
      <c r="V22" s="1558"/>
      <c r="W22" s="1559"/>
      <c r="X22" s="2544"/>
      <c r="Y22" s="3441"/>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441"/>
      <c r="Q23" s="1557" t="str">
        <f>B23</f>
        <v>环境质量</v>
      </c>
      <c r="R23" s="1558" t="s">
        <v>8</v>
      </c>
      <c r="S23" s="1559">
        <f>F23</f>
        <v>100</v>
      </c>
      <c r="T23" s="1558" t="s">
        <v>8</v>
      </c>
      <c r="U23" s="1559">
        <f>H23</f>
        <v>100</v>
      </c>
      <c r="V23" s="1558" t="s">
        <v>8</v>
      </c>
      <c r="W23" s="1559">
        <f>J23</f>
        <v>100</v>
      </c>
      <c r="X23" s="1552"/>
      <c r="Y23" s="3441"/>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3441"/>
      <c r="Q24" s="1557"/>
      <c r="R24" s="1558"/>
      <c r="S24" s="1559"/>
      <c r="T24" s="1558"/>
      <c r="U24" s="1559"/>
      <c r="V24" s="1558"/>
      <c r="W24" s="1559"/>
      <c r="X24" s="1552"/>
      <c r="Y24" s="3441"/>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441"/>
      <c r="Q25" s="1557">
        <f>B25</f>
        <v>111</v>
      </c>
      <c r="R25" s="1558" t="s">
        <v>8</v>
      </c>
      <c r="S25" s="1559">
        <f>F25</f>
        <v>100</v>
      </c>
      <c r="T25" s="1558" t="s">
        <v>8</v>
      </c>
      <c r="U25" s="1559">
        <f>H25</f>
        <v>100</v>
      </c>
      <c r="V25" s="1558" t="s">
        <v>8</v>
      </c>
      <c r="W25" s="1559">
        <f>J25</f>
        <v>100</v>
      </c>
      <c r="X25" s="1552"/>
      <c r="Y25" s="3441"/>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441"/>
      <c r="Q26" s="1557">
        <f t="shared" ref="Q26:Q40" si="11">B26</f>
        <v>111</v>
      </c>
      <c r="R26" s="1558" t="s">
        <v>8</v>
      </c>
      <c r="S26" s="1559">
        <f>F26</f>
        <v>100</v>
      </c>
      <c r="T26" s="1558" t="s">
        <v>8</v>
      </c>
      <c r="U26" s="1559">
        <f>H26</f>
        <v>100</v>
      </c>
      <c r="V26" s="1558" t="s">
        <v>8</v>
      </c>
      <c r="W26" s="1559">
        <f>J26</f>
        <v>100</v>
      </c>
      <c r="X26" s="1552"/>
      <c r="Y26" s="3441"/>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441"/>
      <c r="Q27" s="1146">
        <f t="shared" si="11"/>
        <v>111</v>
      </c>
      <c r="R27" s="1553" t="s">
        <v>8</v>
      </c>
      <c r="S27" s="1554">
        <f>F27</f>
        <v>100</v>
      </c>
      <c r="T27" s="1553" t="s">
        <v>8</v>
      </c>
      <c r="U27" s="1554">
        <f>H27</f>
        <v>100</v>
      </c>
      <c r="V27" s="1553" t="s">
        <v>8</v>
      </c>
      <c r="W27" s="1554">
        <f>J27</f>
        <v>100</v>
      </c>
      <c r="X27" s="1555"/>
      <c r="Y27" s="3441"/>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441"/>
      <c r="Q28" s="1557">
        <f t="shared" si="11"/>
        <v>111</v>
      </c>
      <c r="R28" s="1558" t="s">
        <v>8</v>
      </c>
      <c r="S28" s="1559">
        <f t="shared" ref="S28:S40" si="12">F28</f>
        <v>100</v>
      </c>
      <c r="T28" s="1558" t="s">
        <v>8</v>
      </c>
      <c r="U28" s="1559">
        <f t="shared" ref="U28:U40" si="13">H28</f>
        <v>100</v>
      </c>
      <c r="V28" s="1558" t="s">
        <v>8</v>
      </c>
      <c r="W28" s="1559">
        <f t="shared" ref="W28:W40" si="14">J28</f>
        <v>100</v>
      </c>
      <c r="X28" s="1552"/>
      <c r="Y28" s="3441"/>
      <c r="Z28" s="1560">
        <f t="shared" ref="Z28:Z40" si="15">Q28</f>
        <v>111</v>
      </c>
      <c r="AA28" s="1561">
        <f t="shared" si="3"/>
        <v>1</v>
      </c>
      <c r="AB28" s="1561">
        <f t="shared" si="4"/>
        <v>1</v>
      </c>
      <c r="AC28" s="1561">
        <f t="shared" si="5"/>
        <v>1</v>
      </c>
    </row>
    <row r="29" spans="1:29" ht="15">
      <c r="A29" s="2861"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442" t="s">
        <v>550</v>
      </c>
      <c r="Q29" s="1557" t="str">
        <f t="shared" si="11"/>
        <v>建筑类型</v>
      </c>
      <c r="R29" s="1558" t="s">
        <v>8</v>
      </c>
      <c r="S29" s="1559">
        <f t="shared" si="12"/>
        <v>100</v>
      </c>
      <c r="T29" s="1558" t="s">
        <v>8</v>
      </c>
      <c r="U29" s="1559">
        <f t="shared" si="13"/>
        <v>100</v>
      </c>
      <c r="V29" s="1558" t="s">
        <v>8</v>
      </c>
      <c r="W29" s="1559">
        <f t="shared" si="14"/>
        <v>100</v>
      </c>
      <c r="X29" s="1552"/>
      <c r="Y29" s="3443"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443"/>
      <c r="Q30" s="1589" t="str">
        <f t="shared" si="11"/>
        <v>项目建筑规模</v>
      </c>
      <c r="R30" s="1562" t="s">
        <v>8</v>
      </c>
      <c r="S30" s="1563" t="e">
        <f t="shared" si="12"/>
        <v>#N/A</v>
      </c>
      <c r="T30" s="1562" t="s">
        <v>8</v>
      </c>
      <c r="U30" s="1563" t="e">
        <f t="shared" si="13"/>
        <v>#N/A</v>
      </c>
      <c r="V30" s="1562" t="s">
        <v>8</v>
      </c>
      <c r="W30" s="1563" t="e">
        <f t="shared" si="14"/>
        <v>#N/A</v>
      </c>
      <c r="X30" s="1564"/>
      <c r="Y30" s="3443"/>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443"/>
      <c r="Q31" s="1557" t="str">
        <f t="shared" si="11"/>
        <v>建筑结构</v>
      </c>
      <c r="R31" s="1558" t="s">
        <v>8</v>
      </c>
      <c r="S31" s="1559">
        <f t="shared" si="12"/>
        <v>100</v>
      </c>
      <c r="T31" s="1558" t="s">
        <v>8</v>
      </c>
      <c r="U31" s="1559">
        <f t="shared" si="13"/>
        <v>100</v>
      </c>
      <c r="V31" s="1558" t="s">
        <v>8</v>
      </c>
      <c r="W31" s="1559">
        <f t="shared" si="14"/>
        <v>100</v>
      </c>
      <c r="X31" s="1552"/>
      <c r="Y31" s="3443"/>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443"/>
      <c r="Q32" s="1557" t="str">
        <f t="shared" si="11"/>
        <v>公共部分装修</v>
      </c>
      <c r="R32" s="1558" t="s">
        <v>8</v>
      </c>
      <c r="S32" s="1559">
        <f t="shared" si="12"/>
        <v>100</v>
      </c>
      <c r="T32" s="1558" t="s">
        <v>8</v>
      </c>
      <c r="U32" s="1559">
        <f t="shared" si="13"/>
        <v>100</v>
      </c>
      <c r="V32" s="1558" t="s">
        <v>8</v>
      </c>
      <c r="W32" s="1559">
        <f t="shared" si="14"/>
        <v>100</v>
      </c>
      <c r="X32" s="1552"/>
      <c r="Y32" s="3443"/>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443"/>
      <c r="Q33" s="1557" t="str">
        <f t="shared" si="11"/>
        <v>成新度</v>
      </c>
      <c r="R33" s="1558" t="s">
        <v>8</v>
      </c>
      <c r="S33" s="1559" t="e">
        <f t="shared" si="12"/>
        <v>#N/A</v>
      </c>
      <c r="T33" s="1558" t="s">
        <v>8</v>
      </c>
      <c r="U33" s="1559" t="e">
        <f t="shared" si="13"/>
        <v>#N/A</v>
      </c>
      <c r="V33" s="1558" t="s">
        <v>8</v>
      </c>
      <c r="W33" s="1559" t="e">
        <f t="shared" si="14"/>
        <v>#N/A</v>
      </c>
      <c r="X33" s="1552"/>
      <c r="Y33" s="3443"/>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443"/>
      <c r="Q34" s="1146" t="str">
        <f t="shared" si="11"/>
        <v>物业管理</v>
      </c>
      <c r="R34" s="1553" t="s">
        <v>8</v>
      </c>
      <c r="S34" s="1554">
        <f t="shared" si="12"/>
        <v>100</v>
      </c>
      <c r="T34" s="1553" t="s">
        <v>8</v>
      </c>
      <c r="U34" s="1554">
        <f t="shared" si="13"/>
        <v>100</v>
      </c>
      <c r="V34" s="1553" t="s">
        <v>8</v>
      </c>
      <c r="W34" s="1554">
        <f t="shared" si="14"/>
        <v>100</v>
      </c>
      <c r="X34" s="1555"/>
      <c r="Y34" s="3443"/>
      <c r="Z34" s="1145" t="str">
        <f t="shared" si="15"/>
        <v>物业管理</v>
      </c>
      <c r="AA34" s="1556">
        <f t="shared" si="3"/>
        <v>1</v>
      </c>
      <c r="AB34" s="1556">
        <f t="shared" si="4"/>
        <v>1</v>
      </c>
      <c r="AC34" s="1556">
        <f t="shared" si="5"/>
        <v>1</v>
      </c>
    </row>
    <row r="35" spans="1:29" ht="15">
      <c r="A35" s="593"/>
      <c r="B35" s="1879"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443" t="s">
        <v>550</v>
      </c>
      <c r="Q35" s="1557" t="str">
        <f t="shared" si="11"/>
        <v>市政基础设施</v>
      </c>
      <c r="R35" s="1558" t="s">
        <v>8</v>
      </c>
      <c r="S35" s="1559">
        <f t="shared" si="12"/>
        <v>100</v>
      </c>
      <c r="T35" s="1558" t="s">
        <v>8</v>
      </c>
      <c r="U35" s="1559">
        <f t="shared" si="13"/>
        <v>100</v>
      </c>
      <c r="V35" s="1558" t="s">
        <v>8</v>
      </c>
      <c r="W35" s="1559">
        <f t="shared" si="14"/>
        <v>100</v>
      </c>
      <c r="X35" s="1552"/>
      <c r="Y35" s="3443"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443"/>
      <c r="Q36" s="1557" t="str">
        <f t="shared" si="11"/>
        <v>内部装修</v>
      </c>
      <c r="R36" s="1558" t="s">
        <v>8</v>
      </c>
      <c r="S36" s="1559">
        <f t="shared" si="12"/>
        <v>100</v>
      </c>
      <c r="T36" s="1558" t="s">
        <v>8</v>
      </c>
      <c r="U36" s="1559">
        <f t="shared" si="13"/>
        <v>100</v>
      </c>
      <c r="V36" s="1558" t="s">
        <v>8</v>
      </c>
      <c r="W36" s="1559">
        <f t="shared" si="14"/>
        <v>100</v>
      </c>
      <c r="X36" s="1552"/>
      <c r="Y36" s="3443"/>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443"/>
      <c r="Q37" s="1557" t="str">
        <f t="shared" si="11"/>
        <v>内部装修状况</v>
      </c>
      <c r="R37" s="1558" t="s">
        <v>8</v>
      </c>
      <c r="S37" s="1559">
        <f t="shared" si="12"/>
        <v>100</v>
      </c>
      <c r="T37" s="1558" t="s">
        <v>8</v>
      </c>
      <c r="U37" s="1559">
        <f t="shared" si="13"/>
        <v>100</v>
      </c>
      <c r="V37" s="1558" t="s">
        <v>8</v>
      </c>
      <c r="W37" s="1559">
        <f t="shared" si="14"/>
        <v>100</v>
      </c>
      <c r="X37" s="1552"/>
      <c r="Y37" s="3443"/>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443"/>
      <c r="Q38" s="1589">
        <f t="shared" si="11"/>
        <v>111</v>
      </c>
      <c r="R38" s="1562" t="s">
        <v>8</v>
      </c>
      <c r="S38" s="1563">
        <f t="shared" si="12"/>
        <v>100</v>
      </c>
      <c r="T38" s="1562" t="s">
        <v>8</v>
      </c>
      <c r="U38" s="1563">
        <f t="shared" si="13"/>
        <v>100</v>
      </c>
      <c r="V38" s="1562" t="s">
        <v>8</v>
      </c>
      <c r="W38" s="1563">
        <f t="shared" si="14"/>
        <v>100</v>
      </c>
      <c r="X38" s="1564"/>
      <c r="Y38" s="3443"/>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443"/>
      <c r="Q39" s="1557">
        <f t="shared" si="11"/>
        <v>111</v>
      </c>
      <c r="R39" s="1558" t="s">
        <v>8</v>
      </c>
      <c r="S39" s="1559">
        <f t="shared" si="12"/>
        <v>100</v>
      </c>
      <c r="T39" s="1558" t="s">
        <v>8</v>
      </c>
      <c r="U39" s="1559">
        <f t="shared" si="13"/>
        <v>100</v>
      </c>
      <c r="V39" s="1558" t="s">
        <v>8</v>
      </c>
      <c r="W39" s="1559">
        <f t="shared" si="14"/>
        <v>100</v>
      </c>
      <c r="X39" s="1552"/>
      <c r="Y39" s="3443"/>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513"/>
      <c r="Q40" s="1557">
        <f t="shared" si="11"/>
        <v>111</v>
      </c>
      <c r="R40" s="1558" t="s">
        <v>8</v>
      </c>
      <c r="S40" s="1559">
        <f t="shared" si="12"/>
        <v>100</v>
      </c>
      <c r="T40" s="1558" t="s">
        <v>8</v>
      </c>
      <c r="U40" s="1559">
        <f t="shared" si="13"/>
        <v>100</v>
      </c>
      <c r="V40" s="1558" t="s">
        <v>8</v>
      </c>
      <c r="W40" s="1559">
        <f t="shared" si="14"/>
        <v>100</v>
      </c>
      <c r="X40" s="1552"/>
      <c r="Y40" s="3513"/>
      <c r="Z40" s="1560">
        <f t="shared" si="15"/>
        <v>111</v>
      </c>
      <c r="AA40" s="1561">
        <f t="shared" si="3"/>
        <v>1</v>
      </c>
      <c r="AB40" s="1561">
        <f t="shared" si="4"/>
        <v>1</v>
      </c>
      <c r="AC40" s="1561">
        <f t="shared" si="5"/>
        <v>1</v>
      </c>
    </row>
    <row r="41" spans="1:29" ht="15">
      <c r="A41" s="606" t="s">
        <v>736</v>
      </c>
      <c r="B41" s="886"/>
      <c r="C41" s="2590" t="s">
        <v>1</v>
      </c>
      <c r="D41" s="2591"/>
      <c r="E41" s="2592"/>
      <c r="F41" s="2593"/>
      <c r="G41" s="2594"/>
      <c r="H41" s="2595"/>
      <c r="I41" s="2592"/>
      <c r="J41" s="2595"/>
      <c r="K41" s="1595"/>
      <c r="L41" s="2128"/>
      <c r="M41" s="2129"/>
      <c r="N41" s="2118"/>
      <c r="O41" s="2129"/>
      <c r="P41" s="3405" t="str">
        <f>A41</f>
        <v>成交单价（元/平方米）</v>
      </c>
      <c r="Q41" s="3405"/>
      <c r="R41" s="3512">
        <f>E41</f>
        <v>0</v>
      </c>
      <c r="S41" s="3512"/>
      <c r="T41" s="3512">
        <f>G41</f>
        <v>0</v>
      </c>
      <c r="U41" s="3512"/>
      <c r="V41" s="3512">
        <f>I41</f>
        <v>0</v>
      </c>
      <c r="W41" s="3512"/>
      <c r="X41" s="1544"/>
      <c r="Y41" s="1566"/>
      <c r="Z41" s="1544"/>
      <c r="AA41" s="1544"/>
      <c r="AB41" s="1544"/>
      <c r="AC41" s="1544"/>
    </row>
    <row r="42" spans="1:29" ht="15.75" thickBot="1">
      <c r="A42" s="614" t="s">
        <v>2760</v>
      </c>
      <c r="B42" s="887"/>
      <c r="C42" s="2596" t="e">
        <f>R43</f>
        <v>#DIV/0!</v>
      </c>
      <c r="D42" s="2597"/>
      <c r="E42" s="2598" t="e">
        <f>R42</f>
        <v>#DIV/0!</v>
      </c>
      <c r="F42" s="2598"/>
      <c r="G42" s="2596" t="e">
        <f>T42</f>
        <v>#DIV/0!</v>
      </c>
      <c r="H42" s="2597"/>
      <c r="I42" s="2598" t="e">
        <f>V42</f>
        <v>#DIV/0!</v>
      </c>
      <c r="J42" s="2597"/>
      <c r="K42" s="1596"/>
      <c r="L42" s="2128"/>
      <c r="M42" s="2129"/>
      <c r="N42" s="2118"/>
      <c r="O42" s="2129"/>
      <c r="P42" s="3405" t="str">
        <f>A42</f>
        <v>比较价格（元/平方米）</v>
      </c>
      <c r="Q42" s="3405"/>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1544"/>
      <c r="Y42" s="1544"/>
      <c r="Z42" s="1544"/>
      <c r="AA42" s="1544"/>
      <c r="AB42" s="1544"/>
      <c r="AC42" s="1544"/>
    </row>
    <row r="43" spans="1:29" ht="15.75" thickBot="1">
      <c r="A43" s="620" t="s">
        <v>2937</v>
      </c>
      <c r="B43" s="621"/>
      <c r="C43" s="2599" t="e">
        <f>R43</f>
        <v>#DIV/0!</v>
      </c>
      <c r="D43" s="2599"/>
      <c r="E43" s="2599"/>
      <c r="F43" s="2599"/>
      <c r="G43" s="2599"/>
      <c r="H43" s="2599"/>
      <c r="I43" s="2599"/>
      <c r="J43" s="2599"/>
      <c r="K43" s="1597"/>
      <c r="L43" s="2128"/>
      <c r="M43" s="2129"/>
      <c r="N43" s="2129"/>
      <c r="O43" s="2129"/>
      <c r="P43" s="3402" t="str">
        <f>A43</f>
        <v>估价对象XX用房的比较价格（楼面单价，元/平方米）</v>
      </c>
      <c r="Q43" s="3403"/>
      <c r="R43" s="3511" t="e">
        <f>IF(F1="售价",ROUND(AVERAGE(R42:V42),0),ROUND(AVERAGE(R42:V42),1))</f>
        <v>#DIV/0!</v>
      </c>
      <c r="S43" s="3511"/>
      <c r="T43" s="3511"/>
      <c r="U43" s="3511"/>
      <c r="V43" s="3511"/>
      <c r="W43" s="3511"/>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4" t="s">
        <v>529</v>
      </c>
      <c r="B52" s="645"/>
      <c r="C52" s="2756" t="str">
        <f>YEAR(C7)&amp;"-"&amp;MONTH(C7)</f>
        <v>2020-1</v>
      </c>
      <c r="D52" s="2758">
        <f>EDATE(C52,-1)</f>
        <v>43800</v>
      </c>
      <c r="E52" s="2758">
        <f t="shared" ref="E52:O52" si="16">EDATE(D52,-1)</f>
        <v>43770</v>
      </c>
      <c r="F52" s="2758">
        <f t="shared" si="16"/>
        <v>43739</v>
      </c>
      <c r="G52" s="2758">
        <f t="shared" si="16"/>
        <v>43709</v>
      </c>
      <c r="H52" s="2758">
        <f t="shared" si="16"/>
        <v>43678</v>
      </c>
      <c r="I52" s="2758">
        <f t="shared" si="16"/>
        <v>43647</v>
      </c>
      <c r="J52" s="2758">
        <f t="shared" si="16"/>
        <v>43617</v>
      </c>
      <c r="K52" s="2758">
        <f t="shared" si="16"/>
        <v>43586</v>
      </c>
      <c r="L52" s="2758">
        <f t="shared" si="16"/>
        <v>43556</v>
      </c>
      <c r="M52" s="2758">
        <f t="shared" si="16"/>
        <v>43525</v>
      </c>
      <c r="N52" s="2758">
        <f t="shared" si="16"/>
        <v>43497</v>
      </c>
      <c r="O52" s="2758">
        <f t="shared" si="16"/>
        <v>43466</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2557</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2558</v>
      </c>
      <c r="C76" s="2561" t="s">
        <v>2559</v>
      </c>
      <c r="D76" s="2561" t="s">
        <v>2560</v>
      </c>
      <c r="E76" s="2561" t="s">
        <v>2561</v>
      </c>
      <c r="F76" s="2561" t="s">
        <v>2562</v>
      </c>
      <c r="G76" s="2561" t="s">
        <v>2563</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2556</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411" t="s">
        <v>798</v>
      </c>
      <c r="D4" s="3412"/>
      <c r="E4" s="3411" t="s">
        <v>799</v>
      </c>
      <c r="F4" s="3412"/>
      <c r="G4" s="3411" t="s">
        <v>800</v>
      </c>
      <c r="H4" s="3412"/>
      <c r="I4" s="3411" t="s">
        <v>801</v>
      </c>
      <c r="J4" s="3412"/>
      <c r="K4" s="513" t="s">
        <v>802</v>
      </c>
      <c r="L4" s="2117"/>
      <c r="M4" s="2118"/>
      <c r="N4" s="2118"/>
      <c r="O4" s="2118"/>
      <c r="P4" s="3413" t="s">
        <v>803</v>
      </c>
      <c r="Q4" s="3414"/>
      <c r="R4" s="3419" t="s">
        <v>799</v>
      </c>
      <c r="S4" s="3420"/>
      <c r="T4" s="3419" t="s">
        <v>800</v>
      </c>
      <c r="U4" s="3420"/>
      <c r="V4" s="3406" t="s">
        <v>801</v>
      </c>
      <c r="W4" s="3406"/>
      <c r="X4" s="1552"/>
      <c r="Y4" s="3419" t="s">
        <v>803</v>
      </c>
      <c r="Z4" s="3420"/>
      <c r="AA4" s="3408" t="s">
        <v>799</v>
      </c>
      <c r="AB4" s="3409" t="s">
        <v>800</v>
      </c>
      <c r="AC4" s="3408" t="s">
        <v>801</v>
      </c>
    </row>
    <row r="5" spans="1:29" ht="15">
      <c r="A5" s="514"/>
      <c r="B5" s="515"/>
      <c r="C5" s="3427" t="s">
        <v>2931</v>
      </c>
      <c r="D5" s="3428"/>
      <c r="E5" s="3427" t="s">
        <v>2932</v>
      </c>
      <c r="F5" s="3428"/>
      <c r="G5" s="3427" t="s">
        <v>2933</v>
      </c>
      <c r="H5" s="3428"/>
      <c r="I5" s="3427" t="s">
        <v>2934</v>
      </c>
      <c r="J5" s="3428"/>
      <c r="K5" s="513"/>
      <c r="L5" s="2117"/>
      <c r="M5" s="2118"/>
      <c r="N5" s="2118"/>
      <c r="O5" s="2118"/>
      <c r="P5" s="3415"/>
      <c r="Q5" s="3416"/>
      <c r="R5" s="3421"/>
      <c r="S5" s="3422"/>
      <c r="T5" s="3421"/>
      <c r="U5" s="3422"/>
      <c r="V5" s="3406"/>
      <c r="W5" s="3406"/>
      <c r="X5" s="1552"/>
      <c r="Y5" s="3421"/>
      <c r="Z5" s="3422"/>
      <c r="AA5" s="3409"/>
      <c r="AB5" s="3409"/>
      <c r="AC5" s="3409"/>
    </row>
    <row r="6" spans="1:29" ht="15.75" thickBot="1">
      <c r="A6" s="516"/>
      <c r="B6" s="517"/>
      <c r="C6" s="3425" t="s">
        <v>2935</v>
      </c>
      <c r="D6" s="3426"/>
      <c r="E6" s="3430" t="s">
        <v>2935</v>
      </c>
      <c r="F6" s="3431"/>
      <c r="G6" s="3425" t="s">
        <v>2935</v>
      </c>
      <c r="H6" s="3426"/>
      <c r="I6" s="3425" t="s">
        <v>2935</v>
      </c>
      <c r="J6" s="3426"/>
      <c r="K6" s="513" t="s">
        <v>528</v>
      </c>
      <c r="L6" s="2117"/>
      <c r="M6" s="2118"/>
      <c r="N6" s="2118"/>
      <c r="O6" s="2118"/>
      <c r="P6" s="3417"/>
      <c r="Q6" s="3418"/>
      <c r="R6" s="3421"/>
      <c r="S6" s="3422"/>
      <c r="T6" s="3423"/>
      <c r="U6" s="3424"/>
      <c r="V6" s="3406"/>
      <c r="W6" s="3406"/>
      <c r="X6" s="1552"/>
      <c r="Y6" s="3423"/>
      <c r="Z6" s="3424"/>
      <c r="AA6" s="3410"/>
      <c r="AB6" s="3410"/>
      <c r="AC6" s="3410"/>
    </row>
    <row r="7" spans="1:29" s="1215" customFormat="1" ht="15.75" thickBot="1">
      <c r="A7" s="2866"/>
      <c r="B7" s="2873" t="s">
        <v>529</v>
      </c>
      <c r="C7" s="518">
        <f>'数据-取费表'!B2</f>
        <v>43833</v>
      </c>
      <c r="D7" s="519">
        <v>100</v>
      </c>
      <c r="E7" s="520"/>
      <c r="F7" s="521">
        <f>SUMIF(48:48,YEAR(E7)&amp;"-"&amp;MONTH(E7),49:49)</f>
        <v>0</v>
      </c>
      <c r="G7" s="522"/>
      <c r="H7" s="519">
        <f>SUMIF(48:48,YEAR(G7)&amp;"-"&amp;MONTH(G7),49:49)</f>
        <v>0</v>
      </c>
      <c r="I7" s="522"/>
      <c r="J7" s="519">
        <f>SUMIF(48:48,YEAR(I7)&amp;"-"&amp;MONTH(I7),49:49)</f>
        <v>0</v>
      </c>
      <c r="K7" s="523"/>
      <c r="L7" s="2119"/>
      <c r="M7" s="2120"/>
      <c r="N7" s="2120"/>
      <c r="O7" s="2120"/>
      <c r="P7" s="3437" t="s">
        <v>530</v>
      </c>
      <c r="Q7" s="3439"/>
      <c r="R7" s="1553" t="s">
        <v>8</v>
      </c>
      <c r="S7" s="1554">
        <f t="shared" ref="S7:S14" si="0">F7</f>
        <v>0</v>
      </c>
      <c r="T7" s="1553" t="s">
        <v>8</v>
      </c>
      <c r="U7" s="1554">
        <f t="shared" ref="U7:U14" si="1">H7</f>
        <v>0</v>
      </c>
      <c r="V7" s="1553" t="s">
        <v>8</v>
      </c>
      <c r="W7" s="1554">
        <f t="shared" ref="W7:W14" si="2">J7</f>
        <v>0</v>
      </c>
      <c r="X7" s="1555"/>
      <c r="Y7" s="3437" t="s">
        <v>530</v>
      </c>
      <c r="Z7" s="3438"/>
      <c r="AA7" s="1556" t="e">
        <f>D7/F7</f>
        <v>#DIV/0!</v>
      </c>
      <c r="AB7" s="1556" t="e">
        <f>D7/H7</f>
        <v>#DIV/0!</v>
      </c>
      <c r="AC7" s="1556" t="e">
        <f>D7/J7</f>
        <v>#DIV/0!</v>
      </c>
    </row>
    <row r="8" spans="1:29" s="1215" customFormat="1" ht="15.75" thickBot="1">
      <c r="A8" s="2867"/>
      <c r="B8" s="2874"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437" t="s">
        <v>533</v>
      </c>
      <c r="Q8" s="3438"/>
      <c r="R8" s="1553" t="s">
        <v>8</v>
      </c>
      <c r="S8" s="1554">
        <f t="shared" si="0"/>
        <v>0</v>
      </c>
      <c r="T8" s="1553" t="s">
        <v>8</v>
      </c>
      <c r="U8" s="1554">
        <f t="shared" si="1"/>
        <v>0</v>
      </c>
      <c r="V8" s="1553" t="s">
        <v>8</v>
      </c>
      <c r="W8" s="1554">
        <f t="shared" si="2"/>
        <v>0</v>
      </c>
      <c r="X8" s="1555"/>
      <c r="Y8" s="3437" t="s">
        <v>533</v>
      </c>
      <c r="Z8" s="3438"/>
      <c r="AA8" s="1556" t="e">
        <f t="shared" ref="AA8:AA36" si="3">D8/F8</f>
        <v>#DIV/0!</v>
      </c>
      <c r="AB8" s="1556" t="e">
        <f t="shared" ref="AB8:AB36" si="4">D8/H8</f>
        <v>#DIV/0!</v>
      </c>
      <c r="AC8" s="1556" t="e">
        <f t="shared" ref="AC8:AC36" si="5">D8/J8</f>
        <v>#DIV/0!</v>
      </c>
    </row>
    <row r="9" spans="1:29" s="1215" customFormat="1" ht="15">
      <c r="A9" s="2868"/>
      <c r="B9" s="2875" t="s">
        <v>2756</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405" t="s">
        <v>535</v>
      </c>
      <c r="Q9" s="1146" t="str">
        <f t="shared" ref="Q9:Q14" si="6">B9</f>
        <v>用途</v>
      </c>
      <c r="R9" s="1553" t="s">
        <v>8</v>
      </c>
      <c r="S9" s="1554">
        <f t="shared" si="0"/>
        <v>100</v>
      </c>
      <c r="T9" s="1553" t="s">
        <v>8</v>
      </c>
      <c r="U9" s="1554">
        <f t="shared" si="1"/>
        <v>100</v>
      </c>
      <c r="V9" s="1553" t="s">
        <v>8</v>
      </c>
      <c r="W9" s="1554">
        <f t="shared" si="2"/>
        <v>100</v>
      </c>
      <c r="X9" s="1555"/>
      <c r="Y9" s="3351" t="s">
        <v>536</v>
      </c>
      <c r="Z9" s="1145" t="str">
        <f t="shared" ref="Z9:Z14" si="7">Q9</f>
        <v>用途</v>
      </c>
      <c r="AA9" s="1556">
        <f t="shared" si="3"/>
        <v>1</v>
      </c>
      <c r="AB9" s="1556">
        <f t="shared" si="4"/>
        <v>1</v>
      </c>
      <c r="AC9" s="1556">
        <f t="shared" si="5"/>
        <v>1</v>
      </c>
    </row>
    <row r="10" spans="1:29" s="1333" customFormat="1" ht="27">
      <c r="A10" s="2869"/>
      <c r="B10" s="2874" t="s">
        <v>2757</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405"/>
      <c r="Q10" s="1146" t="str">
        <f t="shared" si="6"/>
        <v>土地使用年限（年）</v>
      </c>
      <c r="R10" s="1553" t="s">
        <v>8</v>
      </c>
      <c r="S10" s="1554">
        <f t="shared" si="0"/>
        <v>100</v>
      </c>
      <c r="T10" s="1553" t="s">
        <v>8</v>
      </c>
      <c r="U10" s="1554">
        <f t="shared" si="1"/>
        <v>100</v>
      </c>
      <c r="V10" s="1553" t="s">
        <v>8</v>
      </c>
      <c r="W10" s="1554">
        <f t="shared" si="2"/>
        <v>100</v>
      </c>
      <c r="X10" s="1555"/>
      <c r="Y10" s="3351"/>
      <c r="Z10" s="1145" t="str">
        <f t="shared" si="7"/>
        <v>土地使用年限（年）</v>
      </c>
      <c r="AA10" s="1556">
        <f t="shared" si="3"/>
        <v>1</v>
      </c>
      <c r="AB10" s="1556">
        <f t="shared" si="4"/>
        <v>1</v>
      </c>
      <c r="AC10" s="1556">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405"/>
      <c r="Q11" s="1146">
        <f t="shared" si="6"/>
        <v>111</v>
      </c>
      <c r="R11" s="1553" t="s">
        <v>8</v>
      </c>
      <c r="S11" s="1554">
        <f t="shared" si="0"/>
        <v>100</v>
      </c>
      <c r="T11" s="1553" t="s">
        <v>8</v>
      </c>
      <c r="U11" s="1554">
        <f t="shared" si="1"/>
        <v>100</v>
      </c>
      <c r="V11" s="1553" t="s">
        <v>8</v>
      </c>
      <c r="W11" s="1554">
        <f t="shared" si="2"/>
        <v>100</v>
      </c>
      <c r="X11" s="1555"/>
      <c r="Y11" s="3351"/>
      <c r="Z11" s="1145">
        <f t="shared" si="7"/>
        <v>111</v>
      </c>
      <c r="AA11" s="1556">
        <f t="shared" si="3"/>
        <v>1</v>
      </c>
      <c r="AB11" s="1556">
        <f t="shared" si="4"/>
        <v>1</v>
      </c>
      <c r="AC11" s="1556">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405"/>
      <c r="Q12" s="1146">
        <f t="shared" si="6"/>
        <v>111</v>
      </c>
      <c r="R12" s="1553" t="s">
        <v>8</v>
      </c>
      <c r="S12" s="1554">
        <f t="shared" si="0"/>
        <v>100</v>
      </c>
      <c r="T12" s="1553" t="s">
        <v>8</v>
      </c>
      <c r="U12" s="1554">
        <f t="shared" si="1"/>
        <v>100</v>
      </c>
      <c r="V12" s="1553" t="s">
        <v>8</v>
      </c>
      <c r="W12" s="1554">
        <f t="shared" si="2"/>
        <v>100</v>
      </c>
      <c r="X12" s="1555"/>
      <c r="Y12" s="3351"/>
      <c r="Z12" s="1145">
        <f t="shared" si="7"/>
        <v>111</v>
      </c>
      <c r="AA12" s="1556">
        <f>D12/F12</f>
        <v>1</v>
      </c>
      <c r="AB12" s="1556">
        <f>D12/H12</f>
        <v>1</v>
      </c>
      <c r="AC12" s="1556">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405"/>
      <c r="Q13" s="1146">
        <f t="shared" si="6"/>
        <v>111</v>
      </c>
      <c r="R13" s="1553" t="s">
        <v>8</v>
      </c>
      <c r="S13" s="1554">
        <f t="shared" si="0"/>
        <v>100</v>
      </c>
      <c r="T13" s="1553" t="s">
        <v>8</v>
      </c>
      <c r="U13" s="1554">
        <f t="shared" si="1"/>
        <v>100</v>
      </c>
      <c r="V13" s="1553" t="s">
        <v>8</v>
      </c>
      <c r="W13" s="1554">
        <f t="shared" si="2"/>
        <v>100</v>
      </c>
      <c r="X13" s="1555"/>
      <c r="Y13" s="3351"/>
      <c r="Z13" s="1145">
        <f t="shared" si="7"/>
        <v>111</v>
      </c>
      <c r="AA13" s="1556">
        <f t="shared" si="3"/>
        <v>1</v>
      </c>
      <c r="AB13" s="1556">
        <f t="shared" si="4"/>
        <v>1</v>
      </c>
      <c r="AC13" s="1556">
        <f t="shared" si="5"/>
        <v>1</v>
      </c>
    </row>
    <row r="14" spans="1:29" ht="85.5">
      <c r="A14" s="2864" t="s">
        <v>2754</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440" t="s">
        <v>540</v>
      </c>
      <c r="Q14" s="1557" t="str">
        <f t="shared" si="6"/>
        <v>交通便捷度</v>
      </c>
      <c r="R14" s="1558" t="s">
        <v>8</v>
      </c>
      <c r="S14" s="1559">
        <f t="shared" si="0"/>
        <v>100</v>
      </c>
      <c r="T14" s="1558" t="s">
        <v>8</v>
      </c>
      <c r="U14" s="1559">
        <f t="shared" si="1"/>
        <v>100</v>
      </c>
      <c r="V14" s="1558" t="s">
        <v>8</v>
      </c>
      <c r="W14" s="1559">
        <f t="shared" si="2"/>
        <v>100</v>
      </c>
      <c r="X14" s="1552"/>
      <c r="Y14" s="3440"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3441"/>
      <c r="Q15" s="1557"/>
      <c r="R15" s="1558"/>
      <c r="S15" s="1559"/>
      <c r="T15" s="1558"/>
      <c r="U15" s="1559"/>
      <c r="V15" s="1558"/>
      <c r="W15" s="1559"/>
      <c r="X15" s="1552"/>
      <c r="Y15" s="3441"/>
      <c r="Z15" s="1560"/>
      <c r="AA15" s="1561">
        <v>1</v>
      </c>
      <c r="AB15" s="1561">
        <v>1</v>
      </c>
      <c r="AC15" s="1561">
        <v>1</v>
      </c>
    </row>
    <row r="16" spans="1:29" ht="42.75">
      <c r="A16" s="514"/>
      <c r="B16" s="2566"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441"/>
      <c r="Q16" s="1557" t="str">
        <f>B16</f>
        <v>公共配套设施</v>
      </c>
      <c r="R16" s="1558" t="s">
        <v>8</v>
      </c>
      <c r="S16" s="1559">
        <f>F16</f>
        <v>100</v>
      </c>
      <c r="T16" s="1558" t="s">
        <v>8</v>
      </c>
      <c r="U16" s="1559">
        <f>H16</f>
        <v>100</v>
      </c>
      <c r="V16" s="1558" t="s">
        <v>8</v>
      </c>
      <c r="W16" s="1559">
        <f>J16</f>
        <v>100</v>
      </c>
      <c r="X16" s="1552"/>
      <c r="Y16" s="3441"/>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3441"/>
      <c r="Q17" s="1557"/>
      <c r="R17" s="1558"/>
      <c r="S17" s="1559"/>
      <c r="T17" s="1558"/>
      <c r="U17" s="1559"/>
      <c r="V17" s="1558"/>
      <c r="W17" s="1559"/>
      <c r="X17" s="1552"/>
      <c r="Y17" s="3441"/>
      <c r="Z17" s="1560"/>
      <c r="AA17" s="1561">
        <v>1</v>
      </c>
      <c r="AB17" s="1561">
        <v>1</v>
      </c>
      <c r="AC17" s="1561">
        <v>1</v>
      </c>
    </row>
    <row r="18" spans="1:29" ht="28.5">
      <c r="A18" s="514"/>
      <c r="B18" s="2554"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441"/>
      <c r="Q18" s="2542" t="str">
        <f>B18</f>
        <v>基础设施水平</v>
      </c>
      <c r="R18" s="1558" t="s">
        <v>8</v>
      </c>
      <c r="S18" s="1559">
        <f>F18</f>
        <v>100</v>
      </c>
      <c r="T18" s="1558" t="s">
        <v>8</v>
      </c>
      <c r="U18" s="1559">
        <f>H18</f>
        <v>100</v>
      </c>
      <c r="V18" s="1558" t="s">
        <v>8</v>
      </c>
      <c r="W18" s="1559">
        <f>J18</f>
        <v>100</v>
      </c>
      <c r="X18" s="2544"/>
      <c r="Y18" s="3441"/>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3441"/>
      <c r="Q19" s="2542"/>
      <c r="R19" s="1558"/>
      <c r="S19" s="1559"/>
      <c r="T19" s="1558"/>
      <c r="U19" s="1559"/>
      <c r="V19" s="1558"/>
      <c r="W19" s="1559"/>
      <c r="X19" s="2544"/>
      <c r="Y19" s="3441"/>
      <c r="Z19" s="2543"/>
      <c r="AA19" s="1561">
        <v>1</v>
      </c>
      <c r="AB19" s="1561">
        <v>1</v>
      </c>
      <c r="AC19" s="1561">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441"/>
      <c r="Q20" s="1557" t="str">
        <f>B20</f>
        <v>自然及人文环境</v>
      </c>
      <c r="R20" s="1558" t="s">
        <v>8</v>
      </c>
      <c r="S20" s="1559">
        <f>F20</f>
        <v>100</v>
      </c>
      <c r="T20" s="1558" t="s">
        <v>8</v>
      </c>
      <c r="U20" s="1559">
        <f>H20</f>
        <v>100</v>
      </c>
      <c r="V20" s="1558" t="s">
        <v>8</v>
      </c>
      <c r="W20" s="1559">
        <f>J20</f>
        <v>100</v>
      </c>
      <c r="X20" s="1552"/>
      <c r="Y20" s="3441"/>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3441"/>
      <c r="Q21" s="1557"/>
      <c r="R21" s="1558"/>
      <c r="S21" s="1559"/>
      <c r="T21" s="1558"/>
      <c r="U21" s="1559"/>
      <c r="V21" s="1558"/>
      <c r="W21" s="1559"/>
      <c r="X21" s="1552"/>
      <c r="Y21" s="3441"/>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441"/>
      <c r="Q22" s="1557" t="str">
        <f>B22</f>
        <v>楼层</v>
      </c>
      <c r="R22" s="1558" t="s">
        <v>8</v>
      </c>
      <c r="S22" s="1559">
        <f>F22</f>
        <v>100</v>
      </c>
      <c r="T22" s="1558" t="s">
        <v>8</v>
      </c>
      <c r="U22" s="1559">
        <f>H22</f>
        <v>100</v>
      </c>
      <c r="V22" s="1558" t="s">
        <v>8</v>
      </c>
      <c r="W22" s="1559">
        <f>J22</f>
        <v>100</v>
      </c>
      <c r="X22" s="1552"/>
      <c r="Y22" s="3441"/>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441"/>
      <c r="Q23" s="1557">
        <f>B23</f>
        <v>111</v>
      </c>
      <c r="R23" s="1558" t="s">
        <v>8</v>
      </c>
      <c r="S23" s="1559">
        <f>F23</f>
        <v>100</v>
      </c>
      <c r="T23" s="1558" t="s">
        <v>8</v>
      </c>
      <c r="U23" s="1559">
        <f>H23</f>
        <v>100</v>
      </c>
      <c r="V23" s="1558" t="s">
        <v>8</v>
      </c>
      <c r="W23" s="1559">
        <f>J23</f>
        <v>100</v>
      </c>
      <c r="X23" s="1552"/>
      <c r="Y23" s="3441"/>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441"/>
      <c r="Q24" s="1557">
        <f t="shared" ref="Q24:Q36" si="11">B24</f>
        <v>111</v>
      </c>
      <c r="R24" s="1558" t="s">
        <v>8</v>
      </c>
      <c r="S24" s="1559">
        <f>F24</f>
        <v>100</v>
      </c>
      <c r="T24" s="1558" t="s">
        <v>8</v>
      </c>
      <c r="U24" s="1559">
        <f>H24</f>
        <v>100</v>
      </c>
      <c r="V24" s="1558" t="s">
        <v>8</v>
      </c>
      <c r="W24" s="1559">
        <f>J24</f>
        <v>100</v>
      </c>
      <c r="X24" s="1552"/>
      <c r="Y24" s="3441"/>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441"/>
      <c r="Q25" s="1146">
        <f t="shared" si="11"/>
        <v>111</v>
      </c>
      <c r="R25" s="1553" t="s">
        <v>8</v>
      </c>
      <c r="S25" s="1554">
        <f>F25</f>
        <v>100</v>
      </c>
      <c r="T25" s="1553" t="s">
        <v>8</v>
      </c>
      <c r="U25" s="1554">
        <f>H25</f>
        <v>100</v>
      </c>
      <c r="V25" s="1553" t="s">
        <v>8</v>
      </c>
      <c r="W25" s="1554">
        <f>J25</f>
        <v>100</v>
      </c>
      <c r="X25" s="1555"/>
      <c r="Y25" s="3441"/>
      <c r="Z25" s="1145">
        <f>Q25</f>
        <v>111</v>
      </c>
      <c r="AA25" s="1561">
        <f>D25/F25</f>
        <v>1</v>
      </c>
      <c r="AB25" s="1561">
        <f>D25/H25</f>
        <v>1</v>
      </c>
      <c r="AC25" s="1561">
        <f>D25/J25</f>
        <v>1</v>
      </c>
    </row>
    <row r="26" spans="1:29" ht="15">
      <c r="A26" s="2861" t="s">
        <v>2755</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442"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43"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443"/>
      <c r="Q27" s="1589" t="str">
        <f t="shared" si="11"/>
        <v>项目停车位配比</v>
      </c>
      <c r="R27" s="1562" t="s">
        <v>8</v>
      </c>
      <c r="S27" s="1563">
        <f t="shared" si="12"/>
        <v>100</v>
      </c>
      <c r="T27" s="1562" t="s">
        <v>8</v>
      </c>
      <c r="U27" s="1563">
        <f t="shared" si="13"/>
        <v>100</v>
      </c>
      <c r="V27" s="1562" t="s">
        <v>8</v>
      </c>
      <c r="W27" s="1563">
        <f t="shared" si="14"/>
        <v>100</v>
      </c>
      <c r="X27" s="1564"/>
      <c r="Y27" s="3443"/>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443"/>
      <c r="Q28" s="1557" t="str">
        <f t="shared" si="11"/>
        <v>公共部分装修</v>
      </c>
      <c r="R28" s="1558" t="s">
        <v>8</v>
      </c>
      <c r="S28" s="1559">
        <f t="shared" si="12"/>
        <v>100</v>
      </c>
      <c r="T28" s="1558" t="s">
        <v>8</v>
      </c>
      <c r="U28" s="1559">
        <f t="shared" si="13"/>
        <v>100</v>
      </c>
      <c r="V28" s="1558" t="s">
        <v>8</v>
      </c>
      <c r="W28" s="1559">
        <f t="shared" si="14"/>
        <v>100</v>
      </c>
      <c r="X28" s="1552"/>
      <c r="Y28" s="3443"/>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443"/>
      <c r="Q29" s="1557" t="str">
        <f t="shared" si="11"/>
        <v>成新率</v>
      </c>
      <c r="R29" s="1558" t="s">
        <v>8</v>
      </c>
      <c r="S29" s="1559" t="e">
        <f t="shared" si="12"/>
        <v>#N/A</v>
      </c>
      <c r="T29" s="1558" t="s">
        <v>8</v>
      </c>
      <c r="U29" s="1559" t="e">
        <f t="shared" si="13"/>
        <v>#N/A</v>
      </c>
      <c r="V29" s="1558" t="s">
        <v>8</v>
      </c>
      <c r="W29" s="1559" t="e">
        <f t="shared" si="14"/>
        <v>#N/A</v>
      </c>
      <c r="X29" s="1552"/>
      <c r="Y29" s="3443"/>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443"/>
      <c r="Q30" s="1557" t="str">
        <f t="shared" si="11"/>
        <v>物业等级</v>
      </c>
      <c r="R30" s="1558" t="s">
        <v>8</v>
      </c>
      <c r="S30" s="1559">
        <f t="shared" si="12"/>
        <v>100</v>
      </c>
      <c r="T30" s="1558" t="s">
        <v>8</v>
      </c>
      <c r="U30" s="1559">
        <f t="shared" si="13"/>
        <v>100</v>
      </c>
      <c r="V30" s="1558" t="s">
        <v>8</v>
      </c>
      <c r="W30" s="1559">
        <f t="shared" si="14"/>
        <v>100</v>
      </c>
      <c r="X30" s="1552"/>
      <c r="Y30" s="3443"/>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443"/>
      <c r="Q31" s="1146" t="str">
        <f t="shared" si="11"/>
        <v>停车位面积</v>
      </c>
      <c r="R31" s="1553" t="s">
        <v>8</v>
      </c>
      <c r="S31" s="1554" t="e">
        <f t="shared" si="12"/>
        <v>#N/A</v>
      </c>
      <c r="T31" s="1553" t="s">
        <v>8</v>
      </c>
      <c r="U31" s="1554" t="e">
        <f t="shared" si="13"/>
        <v>#N/A</v>
      </c>
      <c r="V31" s="1553" t="s">
        <v>8</v>
      </c>
      <c r="W31" s="1554" t="e">
        <f t="shared" si="14"/>
        <v>#N/A</v>
      </c>
      <c r="X31" s="1555"/>
      <c r="Y31" s="3443"/>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443" t="s">
        <v>550</v>
      </c>
      <c r="Q32" s="1557" t="str">
        <f t="shared" si="11"/>
        <v>车位类型</v>
      </c>
      <c r="R32" s="1558" t="s">
        <v>8</v>
      </c>
      <c r="S32" s="1559">
        <f t="shared" si="12"/>
        <v>100</v>
      </c>
      <c r="T32" s="1558" t="s">
        <v>8</v>
      </c>
      <c r="U32" s="1559">
        <f t="shared" si="13"/>
        <v>100</v>
      </c>
      <c r="V32" s="1558" t="s">
        <v>8</v>
      </c>
      <c r="W32" s="1559">
        <f t="shared" si="14"/>
        <v>100</v>
      </c>
      <c r="X32" s="1552"/>
      <c r="Y32" s="3443"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443"/>
      <c r="Q33" s="1557" t="str">
        <f t="shared" si="11"/>
        <v>是否直接入户</v>
      </c>
      <c r="R33" s="1558" t="s">
        <v>8</v>
      </c>
      <c r="S33" s="1559">
        <f t="shared" si="12"/>
        <v>100</v>
      </c>
      <c r="T33" s="1558" t="s">
        <v>8</v>
      </c>
      <c r="U33" s="1559">
        <f t="shared" si="13"/>
        <v>100</v>
      </c>
      <c r="V33" s="1558" t="s">
        <v>8</v>
      </c>
      <c r="W33" s="1559">
        <f t="shared" si="14"/>
        <v>100</v>
      </c>
      <c r="X33" s="1552"/>
      <c r="Y33" s="3443"/>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443"/>
      <c r="Q34" s="1557">
        <f t="shared" si="11"/>
        <v>111</v>
      </c>
      <c r="R34" s="1558" t="s">
        <v>8</v>
      </c>
      <c r="S34" s="1559">
        <f t="shared" si="12"/>
        <v>100</v>
      </c>
      <c r="T34" s="1558" t="s">
        <v>8</v>
      </c>
      <c r="U34" s="1559">
        <f t="shared" si="13"/>
        <v>100</v>
      </c>
      <c r="V34" s="1558" t="s">
        <v>8</v>
      </c>
      <c r="W34" s="1559">
        <f t="shared" si="14"/>
        <v>100</v>
      </c>
      <c r="X34" s="1552"/>
      <c r="Y34" s="3443"/>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443"/>
      <c r="Q35" s="1589">
        <f t="shared" si="11"/>
        <v>111</v>
      </c>
      <c r="R35" s="1562" t="s">
        <v>8</v>
      </c>
      <c r="S35" s="1563">
        <f t="shared" si="12"/>
        <v>100</v>
      </c>
      <c r="T35" s="1562" t="s">
        <v>8</v>
      </c>
      <c r="U35" s="1563">
        <f t="shared" si="13"/>
        <v>100</v>
      </c>
      <c r="V35" s="1562" t="s">
        <v>8</v>
      </c>
      <c r="W35" s="1563">
        <f t="shared" si="14"/>
        <v>100</v>
      </c>
      <c r="X35" s="1564"/>
      <c r="Y35" s="3443"/>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443"/>
      <c r="Q36" s="1557">
        <f t="shared" si="11"/>
        <v>111</v>
      </c>
      <c r="R36" s="1558" t="s">
        <v>8</v>
      </c>
      <c r="S36" s="1559">
        <f t="shared" si="12"/>
        <v>100</v>
      </c>
      <c r="T36" s="1558" t="s">
        <v>8</v>
      </c>
      <c r="U36" s="1559">
        <f t="shared" si="13"/>
        <v>100</v>
      </c>
      <c r="V36" s="1558" t="s">
        <v>8</v>
      </c>
      <c r="W36" s="1559">
        <f t="shared" si="14"/>
        <v>100</v>
      </c>
      <c r="X36" s="1552"/>
      <c r="Y36" s="3443"/>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3405" t="str">
        <f>A37</f>
        <v>成交单价</v>
      </c>
      <c r="Q37" s="3405"/>
      <c r="R37" s="3512">
        <f>E37</f>
        <v>0</v>
      </c>
      <c r="S37" s="3512"/>
      <c r="T37" s="3512">
        <f>G37</f>
        <v>0</v>
      </c>
      <c r="U37" s="3512"/>
      <c r="V37" s="3512">
        <f>I37</f>
        <v>0</v>
      </c>
      <c r="W37" s="3512"/>
      <c r="X37" s="1544"/>
      <c r="Y37" s="1566"/>
      <c r="Z37" s="1544"/>
      <c r="AA37" s="1544"/>
      <c r="AB37" s="1544"/>
      <c r="AC37" s="1544"/>
    </row>
    <row r="38" spans="1:29" ht="15.75" thickBot="1">
      <c r="A38" s="614" t="s">
        <v>2760</v>
      </c>
      <c r="B38" s="887"/>
      <c r="C38" s="2596" t="e">
        <f>R39</f>
        <v>#DIV/0!</v>
      </c>
      <c r="D38" s="2597"/>
      <c r="E38" s="2598" t="e">
        <f>R38</f>
        <v>#DIV/0!</v>
      </c>
      <c r="F38" s="2598"/>
      <c r="G38" s="2596" t="e">
        <f>T38</f>
        <v>#DIV/0!</v>
      </c>
      <c r="H38" s="2597"/>
      <c r="I38" s="2598" t="e">
        <f>V38</f>
        <v>#DIV/0!</v>
      </c>
      <c r="J38" s="2597"/>
      <c r="K38" s="1596"/>
      <c r="L38" s="2128"/>
      <c r="M38" s="2129"/>
      <c r="N38" s="2129"/>
      <c r="O38" s="2129"/>
      <c r="P38" s="3405" t="str">
        <f>A38</f>
        <v>比较价格（元/平方米）</v>
      </c>
      <c r="Q38" s="3405"/>
      <c r="R38" s="3512" t="e">
        <f>IF(F1="售价",ROUND(PRODUCT(R37,AA7:AA36),0),ROUND(PRODUCT(R37,AA7:AA36),1))</f>
        <v>#DIV/0!</v>
      </c>
      <c r="S38" s="3512"/>
      <c r="T38" s="3512" t="e">
        <f>IF(F1="售价",ROUND(PRODUCT(T37,AB7:AB36),0),ROUND(PRODUCT(T37,AB7:AB36),1))</f>
        <v>#DIV/0!</v>
      </c>
      <c r="U38" s="3512"/>
      <c r="V38" s="3512" t="e">
        <f>IF(F1="售价",ROUND(PRODUCT(V37,AC7:AC36),0),ROUND(PRODUCT(V37,AC7:AC36),1))</f>
        <v>#DIV/0!</v>
      </c>
      <c r="W38" s="3512"/>
      <c r="X38" s="1544"/>
      <c r="Y38" s="1544"/>
      <c r="Z38" s="1544"/>
      <c r="AA38" s="1544"/>
      <c r="AB38" s="1544"/>
      <c r="AC38" s="1544"/>
    </row>
    <row r="39" spans="1:29" ht="15.75" thickBot="1">
      <c r="A39" s="620" t="s">
        <v>2937</v>
      </c>
      <c r="B39" s="621"/>
      <c r="C39" s="2599" t="e">
        <f>R39</f>
        <v>#DIV/0!</v>
      </c>
      <c r="D39" s="2599"/>
      <c r="E39" s="2599"/>
      <c r="F39" s="2599"/>
      <c r="G39" s="2599"/>
      <c r="H39" s="2599"/>
      <c r="I39" s="2599"/>
      <c r="J39" s="2599"/>
      <c r="K39" s="1597"/>
      <c r="L39" s="2128"/>
      <c r="M39" s="2129"/>
      <c r="N39" s="2129"/>
      <c r="O39" s="2129"/>
      <c r="P39" s="3402" t="str">
        <f>A39</f>
        <v>估价对象XX用房的比较价格（楼面单价，元/平方米）</v>
      </c>
      <c r="Q39" s="3403"/>
      <c r="R39" s="3511" t="e">
        <f>IF(F1="售价",ROUND(AVERAGE(R38:V38),0),ROUND(AVERAGE(R38:V38),1))</f>
        <v>#DIV/0!</v>
      </c>
      <c r="S39" s="3511"/>
      <c r="T39" s="3511"/>
      <c r="U39" s="3511"/>
      <c r="V39" s="3511"/>
      <c r="W39" s="3511"/>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529</v>
      </c>
      <c r="B48" s="645"/>
      <c r="C48" s="2756" t="str">
        <f>YEAR(C7)&amp;"-"&amp;MONTH(C7)</f>
        <v>2020-1</v>
      </c>
      <c r="D48" s="2758">
        <f>EDATE(C48,-1)</f>
        <v>43800</v>
      </c>
      <c r="E48" s="2758">
        <f t="shared" ref="E48:O48" si="16">EDATE(D48,-1)</f>
        <v>43770</v>
      </c>
      <c r="F48" s="2758">
        <f t="shared" si="16"/>
        <v>43739</v>
      </c>
      <c r="G48" s="2758">
        <f t="shared" si="16"/>
        <v>43709</v>
      </c>
      <c r="H48" s="2758">
        <f t="shared" si="16"/>
        <v>43678</v>
      </c>
      <c r="I48" s="2758">
        <f t="shared" si="16"/>
        <v>43647</v>
      </c>
      <c r="J48" s="2758">
        <f t="shared" si="16"/>
        <v>43617</v>
      </c>
      <c r="K48" s="2758">
        <f t="shared" si="16"/>
        <v>43586</v>
      </c>
      <c r="L48" s="2758">
        <f t="shared" si="16"/>
        <v>43556</v>
      </c>
      <c r="M48" s="2758">
        <f t="shared" si="16"/>
        <v>43525</v>
      </c>
      <c r="N48" s="2758">
        <f t="shared" si="16"/>
        <v>43497</v>
      </c>
      <c r="O48" s="2758">
        <f t="shared" si="16"/>
        <v>43466</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2557</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2558</v>
      </c>
      <c r="C67" s="2561" t="s">
        <v>2559</v>
      </c>
      <c r="D67" s="2561" t="s">
        <v>2560</v>
      </c>
      <c r="E67" s="2561" t="s">
        <v>2561</v>
      </c>
      <c r="F67" s="2561" t="s">
        <v>2562</v>
      </c>
      <c r="G67" s="2561" t="s">
        <v>2563</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411" t="s">
        <v>798</v>
      </c>
      <c r="D4" s="3412"/>
      <c r="E4" s="3446" t="s">
        <v>799</v>
      </c>
      <c r="F4" s="3447"/>
      <c r="G4" s="3411" t="s">
        <v>800</v>
      </c>
      <c r="H4" s="3412"/>
      <c r="I4" s="3411" t="s">
        <v>801</v>
      </c>
      <c r="J4" s="3412"/>
      <c r="K4" s="513" t="s">
        <v>802</v>
      </c>
      <c r="L4" s="2117"/>
      <c r="M4" s="2118"/>
      <c r="N4" s="2118"/>
      <c r="O4" s="2118"/>
      <c r="P4" s="3413" t="s">
        <v>803</v>
      </c>
      <c r="Q4" s="3414"/>
      <c r="R4" s="3419" t="s">
        <v>799</v>
      </c>
      <c r="S4" s="3420"/>
      <c r="T4" s="3419" t="s">
        <v>800</v>
      </c>
      <c r="U4" s="3420"/>
      <c r="V4" s="3406" t="s">
        <v>801</v>
      </c>
      <c r="W4" s="3406"/>
      <c r="X4" s="1552"/>
      <c r="Y4" s="3419" t="s">
        <v>803</v>
      </c>
      <c r="Z4" s="3420"/>
      <c r="AA4" s="3408" t="s">
        <v>799</v>
      </c>
      <c r="AB4" s="3409" t="s">
        <v>800</v>
      </c>
      <c r="AC4" s="3408" t="s">
        <v>801</v>
      </c>
    </row>
    <row r="5" spans="1:29" ht="15">
      <c r="A5" s="514"/>
      <c r="B5" s="515"/>
      <c r="C5" s="3427" t="s">
        <v>2931</v>
      </c>
      <c r="D5" s="3428"/>
      <c r="E5" s="3448" t="s">
        <v>2932</v>
      </c>
      <c r="F5" s="3449"/>
      <c r="G5" s="3427" t="s">
        <v>2933</v>
      </c>
      <c r="H5" s="3428"/>
      <c r="I5" s="3427" t="s">
        <v>2934</v>
      </c>
      <c r="J5" s="3428"/>
      <c r="K5" s="513"/>
      <c r="L5" s="2117"/>
      <c r="M5" s="2118"/>
      <c r="N5" s="2118"/>
      <c r="O5" s="2118"/>
      <c r="P5" s="3415"/>
      <c r="Q5" s="3416"/>
      <c r="R5" s="3421"/>
      <c r="S5" s="3422"/>
      <c r="T5" s="3421"/>
      <c r="U5" s="3422"/>
      <c r="V5" s="3406"/>
      <c r="W5" s="3406"/>
      <c r="X5" s="1552"/>
      <c r="Y5" s="3421"/>
      <c r="Z5" s="3422"/>
      <c r="AA5" s="3409"/>
      <c r="AB5" s="3409"/>
      <c r="AC5" s="3409"/>
    </row>
    <row r="6" spans="1:29" ht="15.75" thickBot="1">
      <c r="A6" s="516"/>
      <c r="B6" s="517"/>
      <c r="C6" s="3425" t="s">
        <v>2935</v>
      </c>
      <c r="D6" s="3426"/>
      <c r="E6" s="3444" t="s">
        <v>2935</v>
      </c>
      <c r="F6" s="3445"/>
      <c r="G6" s="3425" t="s">
        <v>2935</v>
      </c>
      <c r="H6" s="3426"/>
      <c r="I6" s="3425" t="s">
        <v>2935</v>
      </c>
      <c r="J6" s="3426"/>
      <c r="K6" s="513" t="s">
        <v>528</v>
      </c>
      <c r="L6" s="2117"/>
      <c r="M6" s="2118"/>
      <c r="N6" s="2118"/>
      <c r="O6" s="2118"/>
      <c r="P6" s="3417"/>
      <c r="Q6" s="3418"/>
      <c r="R6" s="3421"/>
      <c r="S6" s="3422"/>
      <c r="T6" s="3423"/>
      <c r="U6" s="3424"/>
      <c r="V6" s="3406"/>
      <c r="W6" s="3406"/>
      <c r="X6" s="1552"/>
      <c r="Y6" s="3423"/>
      <c r="Z6" s="3424"/>
      <c r="AA6" s="3410"/>
      <c r="AB6" s="3410"/>
      <c r="AC6" s="3410"/>
    </row>
    <row r="7" spans="1:29" s="1215" customFormat="1" ht="15.75" thickBot="1">
      <c r="A7" s="2866"/>
      <c r="B7" s="2873" t="s">
        <v>529</v>
      </c>
      <c r="C7" s="518">
        <f>'数据-取费表'!B2</f>
        <v>43833</v>
      </c>
      <c r="D7" s="519">
        <v>100</v>
      </c>
      <c r="E7" s="520"/>
      <c r="F7" s="521">
        <f>SUMIF(46:46,YEAR(E7)&amp;"-"&amp;MONTH(E7),47:47)</f>
        <v>0</v>
      </c>
      <c r="G7" s="522"/>
      <c r="H7" s="519">
        <f>SUMIF(46:46,YEAR(G7)&amp;"-"&amp;MONTH(G7),47:47)</f>
        <v>0</v>
      </c>
      <c r="I7" s="522"/>
      <c r="J7" s="519">
        <f>SUMIF(46:46,YEAR(I7)&amp;"-"&amp;MONTH(I7),47:47)</f>
        <v>0</v>
      </c>
      <c r="K7" s="523"/>
      <c r="L7" s="2119"/>
      <c r="M7" s="2120"/>
      <c r="N7" s="2120"/>
      <c r="O7" s="2120"/>
      <c r="P7" s="3437" t="s">
        <v>530</v>
      </c>
      <c r="Q7" s="3439"/>
      <c r="R7" s="1553" t="s">
        <v>8</v>
      </c>
      <c r="S7" s="1554">
        <f t="shared" ref="S7:S14" si="0">F7</f>
        <v>0</v>
      </c>
      <c r="T7" s="1553" t="s">
        <v>8</v>
      </c>
      <c r="U7" s="1554">
        <f t="shared" ref="U7:U14" si="1">H7</f>
        <v>0</v>
      </c>
      <c r="V7" s="1553" t="s">
        <v>8</v>
      </c>
      <c r="W7" s="1554">
        <f t="shared" ref="W7:W14" si="2">J7</f>
        <v>0</v>
      </c>
      <c r="X7" s="1555"/>
      <c r="Y7" s="3437" t="s">
        <v>530</v>
      </c>
      <c r="Z7" s="3438"/>
      <c r="AA7" s="1556" t="e">
        <f>D7/F7</f>
        <v>#DIV/0!</v>
      </c>
      <c r="AB7" s="1556" t="e">
        <f>D7/H7</f>
        <v>#DIV/0!</v>
      </c>
      <c r="AC7" s="1556" t="e">
        <f>D7/J7</f>
        <v>#DIV/0!</v>
      </c>
    </row>
    <row r="8" spans="1:29" s="1215" customFormat="1" ht="15.75" thickBot="1">
      <c r="A8" s="2867"/>
      <c r="B8" s="2874"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437" t="s">
        <v>533</v>
      </c>
      <c r="Q8" s="3438"/>
      <c r="R8" s="1553" t="s">
        <v>8</v>
      </c>
      <c r="S8" s="1554">
        <f t="shared" si="0"/>
        <v>0</v>
      </c>
      <c r="T8" s="1553" t="s">
        <v>8</v>
      </c>
      <c r="U8" s="1554">
        <f t="shared" si="1"/>
        <v>0</v>
      </c>
      <c r="V8" s="1553" t="s">
        <v>8</v>
      </c>
      <c r="W8" s="1554">
        <f t="shared" si="2"/>
        <v>0</v>
      </c>
      <c r="X8" s="1555"/>
      <c r="Y8" s="3437" t="s">
        <v>533</v>
      </c>
      <c r="Z8" s="3438"/>
      <c r="AA8" s="1556" t="e">
        <f t="shared" ref="AA8:AA34" si="3">D8/F8</f>
        <v>#DIV/0!</v>
      </c>
      <c r="AB8" s="1556" t="e">
        <f t="shared" ref="AB8:AB34" si="4">D8/H8</f>
        <v>#DIV/0!</v>
      </c>
      <c r="AC8" s="1556" t="e">
        <f t="shared" ref="AC8:AC34" si="5">D8/J8</f>
        <v>#DIV/0!</v>
      </c>
    </row>
    <row r="9" spans="1:29" s="1215" customFormat="1" ht="15">
      <c r="A9" s="2868"/>
      <c r="B9" s="2875" t="s">
        <v>2756</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405" t="s">
        <v>535</v>
      </c>
      <c r="Q9" s="1146" t="str">
        <f t="shared" ref="Q9:Q14" si="6">B9</f>
        <v>用途</v>
      </c>
      <c r="R9" s="1553" t="s">
        <v>8</v>
      </c>
      <c r="S9" s="1554">
        <f t="shared" si="0"/>
        <v>100</v>
      </c>
      <c r="T9" s="1553" t="s">
        <v>8</v>
      </c>
      <c r="U9" s="1554">
        <f t="shared" si="1"/>
        <v>100</v>
      </c>
      <c r="V9" s="1553" t="s">
        <v>8</v>
      </c>
      <c r="W9" s="1554">
        <f t="shared" si="2"/>
        <v>100</v>
      </c>
      <c r="X9" s="1555"/>
      <c r="Y9" s="3351" t="s">
        <v>536</v>
      </c>
      <c r="Z9" s="1145" t="str">
        <f t="shared" ref="Z9:Z14" si="7">Q9</f>
        <v>用途</v>
      </c>
      <c r="AA9" s="1556">
        <f t="shared" si="3"/>
        <v>1</v>
      </c>
      <c r="AB9" s="1556">
        <f t="shared" si="4"/>
        <v>1</v>
      </c>
      <c r="AC9" s="1556">
        <f t="shared" si="5"/>
        <v>1</v>
      </c>
    </row>
    <row r="10" spans="1:29" s="1333" customFormat="1" ht="27">
      <c r="A10" s="2869"/>
      <c r="B10" s="2874" t="s">
        <v>2757</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405"/>
      <c r="Q10" s="1146" t="str">
        <f t="shared" si="6"/>
        <v>土地使用年限（年）</v>
      </c>
      <c r="R10" s="1553" t="s">
        <v>8</v>
      </c>
      <c r="S10" s="1554">
        <f t="shared" si="0"/>
        <v>100</v>
      </c>
      <c r="T10" s="1553" t="s">
        <v>8</v>
      </c>
      <c r="U10" s="1554">
        <f t="shared" si="1"/>
        <v>100</v>
      </c>
      <c r="V10" s="1553" t="s">
        <v>8</v>
      </c>
      <c r="W10" s="1554">
        <f t="shared" si="2"/>
        <v>100</v>
      </c>
      <c r="X10" s="1555"/>
      <c r="Y10" s="3351"/>
      <c r="Z10" s="1145" t="str">
        <f t="shared" si="7"/>
        <v>土地使用年限（年）</v>
      </c>
      <c r="AA10" s="1556">
        <f t="shared" si="3"/>
        <v>1</v>
      </c>
      <c r="AB10" s="1556">
        <f t="shared" si="4"/>
        <v>1</v>
      </c>
      <c r="AC10" s="1556">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405"/>
      <c r="Q11" s="1146">
        <f t="shared" si="6"/>
        <v>111</v>
      </c>
      <c r="R11" s="1553" t="s">
        <v>8</v>
      </c>
      <c r="S11" s="1554">
        <f t="shared" si="0"/>
        <v>100</v>
      </c>
      <c r="T11" s="1553" t="s">
        <v>8</v>
      </c>
      <c r="U11" s="1554">
        <f t="shared" si="1"/>
        <v>100</v>
      </c>
      <c r="V11" s="1553" t="s">
        <v>8</v>
      </c>
      <c r="W11" s="1554">
        <f t="shared" si="2"/>
        <v>100</v>
      </c>
      <c r="X11" s="1555"/>
      <c r="Y11" s="3351"/>
      <c r="Z11" s="1145">
        <f t="shared" si="7"/>
        <v>111</v>
      </c>
      <c r="AA11" s="1556">
        <f t="shared" si="3"/>
        <v>1</v>
      </c>
      <c r="AB11" s="1556">
        <f t="shared" si="4"/>
        <v>1</v>
      </c>
      <c r="AC11" s="1556">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405"/>
      <c r="Q12" s="1146">
        <f t="shared" si="6"/>
        <v>111</v>
      </c>
      <c r="R12" s="1553" t="s">
        <v>8</v>
      </c>
      <c r="S12" s="1554">
        <f t="shared" si="0"/>
        <v>100</v>
      </c>
      <c r="T12" s="1553" t="s">
        <v>8</v>
      </c>
      <c r="U12" s="1554">
        <f t="shared" si="1"/>
        <v>100</v>
      </c>
      <c r="V12" s="1553" t="s">
        <v>8</v>
      </c>
      <c r="W12" s="1554">
        <f t="shared" si="2"/>
        <v>100</v>
      </c>
      <c r="X12" s="1555"/>
      <c r="Y12" s="3351"/>
      <c r="Z12" s="1145">
        <f t="shared" si="7"/>
        <v>111</v>
      </c>
      <c r="AA12" s="1556">
        <f>D12/F12</f>
        <v>1</v>
      </c>
      <c r="AB12" s="1556">
        <f>D12/H12</f>
        <v>1</v>
      </c>
      <c r="AC12" s="1556">
        <f>D12/J12</f>
        <v>1</v>
      </c>
    </row>
    <row r="13" spans="1:29" ht="15.75"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405"/>
      <c r="Q13" s="1146">
        <f t="shared" si="6"/>
        <v>111</v>
      </c>
      <c r="R13" s="1553" t="s">
        <v>8</v>
      </c>
      <c r="S13" s="1554">
        <f t="shared" si="0"/>
        <v>100</v>
      </c>
      <c r="T13" s="1553" t="s">
        <v>8</v>
      </c>
      <c r="U13" s="1554">
        <f t="shared" si="1"/>
        <v>100</v>
      </c>
      <c r="V13" s="1553" t="s">
        <v>8</v>
      </c>
      <c r="W13" s="1554">
        <f t="shared" si="2"/>
        <v>100</v>
      </c>
      <c r="X13" s="1555"/>
      <c r="Y13" s="3351"/>
      <c r="Z13" s="1145">
        <f t="shared" si="7"/>
        <v>111</v>
      </c>
      <c r="AA13" s="1556">
        <f t="shared" si="3"/>
        <v>1</v>
      </c>
      <c r="AB13" s="1556">
        <f t="shared" si="4"/>
        <v>1</v>
      </c>
      <c r="AC13" s="1556">
        <f t="shared" si="5"/>
        <v>1</v>
      </c>
    </row>
    <row r="14" spans="1:29" ht="85.5">
      <c r="A14" s="2864" t="s">
        <v>2754</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440" t="s">
        <v>540</v>
      </c>
      <c r="Q14" s="1557" t="str">
        <f t="shared" si="6"/>
        <v>交通便捷度</v>
      </c>
      <c r="R14" s="1558" t="s">
        <v>8</v>
      </c>
      <c r="S14" s="1559">
        <f t="shared" si="0"/>
        <v>100</v>
      </c>
      <c r="T14" s="1558" t="s">
        <v>8</v>
      </c>
      <c r="U14" s="1559">
        <f t="shared" si="1"/>
        <v>100</v>
      </c>
      <c r="V14" s="1558" t="s">
        <v>8</v>
      </c>
      <c r="W14" s="1559">
        <f t="shared" si="2"/>
        <v>100</v>
      </c>
      <c r="X14" s="1552"/>
      <c r="Y14" s="3440"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3441"/>
      <c r="Q15" s="1557"/>
      <c r="R15" s="1558"/>
      <c r="S15" s="1559"/>
      <c r="T15" s="1558"/>
      <c r="U15" s="1559"/>
      <c r="V15" s="1558"/>
      <c r="W15" s="1559"/>
      <c r="X15" s="1552"/>
      <c r="Y15" s="3441"/>
      <c r="Z15" s="1560"/>
      <c r="AA15" s="1561">
        <v>1</v>
      </c>
      <c r="AB15" s="1561">
        <v>1</v>
      </c>
      <c r="AC15" s="1561">
        <v>1</v>
      </c>
    </row>
    <row r="16" spans="1:29" ht="42.75">
      <c r="A16" s="531"/>
      <c r="B16" s="2566"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441"/>
      <c r="Q16" s="1557" t="str">
        <f>B16</f>
        <v>公共配套设施</v>
      </c>
      <c r="R16" s="1558" t="s">
        <v>8</v>
      </c>
      <c r="S16" s="1559">
        <f>F16</f>
        <v>100</v>
      </c>
      <c r="T16" s="1558" t="s">
        <v>8</v>
      </c>
      <c r="U16" s="1559">
        <f>H16</f>
        <v>100</v>
      </c>
      <c r="V16" s="1558" t="s">
        <v>8</v>
      </c>
      <c r="W16" s="1559">
        <f>J16</f>
        <v>100</v>
      </c>
      <c r="X16" s="1552"/>
      <c r="Y16" s="3441"/>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3441"/>
      <c r="Q17" s="1557"/>
      <c r="R17" s="1558"/>
      <c r="S17" s="1559"/>
      <c r="T17" s="1558"/>
      <c r="U17" s="1559"/>
      <c r="V17" s="1558"/>
      <c r="W17" s="1559"/>
      <c r="X17" s="1552"/>
      <c r="Y17" s="3441"/>
      <c r="Z17" s="1560"/>
      <c r="AA17" s="1561">
        <v>1</v>
      </c>
      <c r="AB17" s="1561">
        <v>1</v>
      </c>
      <c r="AC17" s="1561">
        <v>1</v>
      </c>
    </row>
    <row r="18" spans="1:29" ht="28.5">
      <c r="A18" s="531"/>
      <c r="B18" s="2554"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441"/>
      <c r="Q18" s="2542" t="str">
        <f>B18</f>
        <v>基础设施水平</v>
      </c>
      <c r="R18" s="1558" t="s">
        <v>8</v>
      </c>
      <c r="S18" s="1559">
        <f>F18</f>
        <v>100</v>
      </c>
      <c r="T18" s="1558" t="s">
        <v>8</v>
      </c>
      <c r="U18" s="1559">
        <f>H18</f>
        <v>100</v>
      </c>
      <c r="V18" s="1558" t="s">
        <v>8</v>
      </c>
      <c r="W18" s="1559">
        <f>J18</f>
        <v>100</v>
      </c>
      <c r="X18" s="2544"/>
      <c r="Y18" s="3441"/>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3441"/>
      <c r="Q19" s="2542"/>
      <c r="R19" s="1558"/>
      <c r="S19" s="1559"/>
      <c r="T19" s="1558"/>
      <c r="U19" s="1559"/>
      <c r="V19" s="1558"/>
      <c r="W19" s="1559"/>
      <c r="X19" s="2544"/>
      <c r="Y19" s="3441"/>
      <c r="Z19" s="2543"/>
      <c r="AA19" s="1561">
        <v>1</v>
      </c>
      <c r="AB19" s="1561">
        <v>1</v>
      </c>
      <c r="AC19" s="1561">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441"/>
      <c r="Q20" s="1557" t="str">
        <f>B20</f>
        <v>自然及人文环境</v>
      </c>
      <c r="R20" s="1558" t="s">
        <v>8</v>
      </c>
      <c r="S20" s="1559">
        <f>F20</f>
        <v>100</v>
      </c>
      <c r="T20" s="1558" t="s">
        <v>8</v>
      </c>
      <c r="U20" s="1559">
        <f>H20</f>
        <v>100</v>
      </c>
      <c r="V20" s="1558" t="s">
        <v>8</v>
      </c>
      <c r="W20" s="1559">
        <f>J20</f>
        <v>100</v>
      </c>
      <c r="X20" s="1552"/>
      <c r="Y20" s="3441"/>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3441"/>
      <c r="Q21" s="1557"/>
      <c r="R21" s="1558"/>
      <c r="S21" s="1559"/>
      <c r="T21" s="1558"/>
      <c r="U21" s="1559"/>
      <c r="V21" s="1558"/>
      <c r="W21" s="1559"/>
      <c r="X21" s="1552"/>
      <c r="Y21" s="3441"/>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441"/>
      <c r="Q22" s="1557" t="str">
        <f>B22</f>
        <v>楼层</v>
      </c>
      <c r="R22" s="1558" t="s">
        <v>8</v>
      </c>
      <c r="S22" s="1559">
        <f>F22</f>
        <v>100</v>
      </c>
      <c r="T22" s="1558" t="s">
        <v>8</v>
      </c>
      <c r="U22" s="1559">
        <f>H22</f>
        <v>100</v>
      </c>
      <c r="V22" s="1558" t="s">
        <v>8</v>
      </c>
      <c r="W22" s="1559">
        <f>J22</f>
        <v>100</v>
      </c>
      <c r="X22" s="1552"/>
      <c r="Y22" s="3441"/>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441"/>
      <c r="Q23" s="1557">
        <f>B23</f>
        <v>111</v>
      </c>
      <c r="R23" s="1558" t="s">
        <v>8</v>
      </c>
      <c r="S23" s="1559">
        <f>F23</f>
        <v>100</v>
      </c>
      <c r="T23" s="1558" t="s">
        <v>8</v>
      </c>
      <c r="U23" s="1559">
        <f>H23</f>
        <v>100</v>
      </c>
      <c r="V23" s="1558" t="s">
        <v>8</v>
      </c>
      <c r="W23" s="1559">
        <f>J23</f>
        <v>100</v>
      </c>
      <c r="X23" s="1552"/>
      <c r="Y23" s="3441"/>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441"/>
      <c r="Q24" s="1557">
        <f t="shared" ref="Q24:Q34" si="11">B24</f>
        <v>111</v>
      </c>
      <c r="R24" s="1558" t="s">
        <v>8</v>
      </c>
      <c r="S24" s="1559">
        <f>F24</f>
        <v>100</v>
      </c>
      <c r="T24" s="1558" t="s">
        <v>8</v>
      </c>
      <c r="U24" s="1559">
        <f>H24</f>
        <v>100</v>
      </c>
      <c r="V24" s="1558" t="s">
        <v>8</v>
      </c>
      <c r="W24" s="1559">
        <f>J24</f>
        <v>100</v>
      </c>
      <c r="X24" s="1552"/>
      <c r="Y24" s="3441"/>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441"/>
      <c r="Q25" s="1146">
        <f t="shared" si="11"/>
        <v>111</v>
      </c>
      <c r="R25" s="1553" t="s">
        <v>8</v>
      </c>
      <c r="S25" s="1554">
        <f>F25</f>
        <v>100</v>
      </c>
      <c r="T25" s="1553" t="s">
        <v>8</v>
      </c>
      <c r="U25" s="1554">
        <f>H25</f>
        <v>100</v>
      </c>
      <c r="V25" s="1553" t="s">
        <v>8</v>
      </c>
      <c r="W25" s="1554">
        <f>J25</f>
        <v>100</v>
      </c>
      <c r="X25" s="1555"/>
      <c r="Y25" s="3441"/>
      <c r="Z25" s="1145">
        <f>Q25</f>
        <v>111</v>
      </c>
      <c r="AA25" s="1561">
        <f>D25/F25</f>
        <v>1</v>
      </c>
      <c r="AB25" s="1561">
        <f>D25/H25</f>
        <v>1</v>
      </c>
      <c r="AC25" s="1561">
        <f>D25/J25</f>
        <v>1</v>
      </c>
    </row>
    <row r="26" spans="1:29" ht="15">
      <c r="A26" s="2861"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442"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43"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443"/>
      <c r="Q27" s="1589" t="str">
        <f t="shared" si="11"/>
        <v>成新率</v>
      </c>
      <c r="R27" s="1562" t="s">
        <v>8</v>
      </c>
      <c r="S27" s="1563" t="e">
        <f t="shared" si="12"/>
        <v>#N/A</v>
      </c>
      <c r="T27" s="1562" t="s">
        <v>8</v>
      </c>
      <c r="U27" s="1563" t="e">
        <f t="shared" si="13"/>
        <v>#N/A</v>
      </c>
      <c r="V27" s="1562" t="s">
        <v>8</v>
      </c>
      <c r="W27" s="1563" t="e">
        <f t="shared" si="14"/>
        <v>#N/A</v>
      </c>
      <c r="X27" s="1564"/>
      <c r="Y27" s="3443"/>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443"/>
      <c r="Q28" s="1557" t="str">
        <f t="shared" si="11"/>
        <v>物业等级</v>
      </c>
      <c r="R28" s="1558" t="s">
        <v>8</v>
      </c>
      <c r="S28" s="1559">
        <f t="shared" si="12"/>
        <v>100</v>
      </c>
      <c r="T28" s="1558" t="s">
        <v>8</v>
      </c>
      <c r="U28" s="1559">
        <f t="shared" si="13"/>
        <v>100</v>
      </c>
      <c r="V28" s="1558" t="s">
        <v>8</v>
      </c>
      <c r="W28" s="1559">
        <f t="shared" si="14"/>
        <v>100</v>
      </c>
      <c r="X28" s="1552"/>
      <c r="Y28" s="3443"/>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443"/>
      <c r="Q29" s="1557" t="str">
        <f t="shared" si="11"/>
        <v>有无电梯</v>
      </c>
      <c r="R29" s="1558" t="s">
        <v>8</v>
      </c>
      <c r="S29" s="1559">
        <f t="shared" si="12"/>
        <v>100</v>
      </c>
      <c r="T29" s="1558" t="s">
        <v>8</v>
      </c>
      <c r="U29" s="1559">
        <f t="shared" si="13"/>
        <v>100</v>
      </c>
      <c r="V29" s="1558" t="s">
        <v>8</v>
      </c>
      <c r="W29" s="1559">
        <f t="shared" si="14"/>
        <v>100</v>
      </c>
      <c r="X29" s="1552"/>
      <c r="Y29" s="3443"/>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443"/>
      <c r="Q30" s="1557" t="str">
        <f t="shared" si="11"/>
        <v>建筑面积</v>
      </c>
      <c r="R30" s="1558" t="s">
        <v>8</v>
      </c>
      <c r="S30" s="1559" t="e">
        <f t="shared" si="12"/>
        <v>#N/A</v>
      </c>
      <c r="T30" s="1558" t="s">
        <v>8</v>
      </c>
      <c r="U30" s="1559" t="e">
        <f t="shared" si="13"/>
        <v>#N/A</v>
      </c>
      <c r="V30" s="1558" t="s">
        <v>8</v>
      </c>
      <c r="W30" s="1559" t="e">
        <f t="shared" si="14"/>
        <v>#N/A</v>
      </c>
      <c r="X30" s="1552"/>
      <c r="Y30" s="3443"/>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443"/>
      <c r="Q31" s="1146" t="str">
        <f t="shared" si="11"/>
        <v>是否封闭</v>
      </c>
      <c r="R31" s="1553" t="s">
        <v>8</v>
      </c>
      <c r="S31" s="1554">
        <f t="shared" si="12"/>
        <v>100</v>
      </c>
      <c r="T31" s="1553" t="s">
        <v>8</v>
      </c>
      <c r="U31" s="1554">
        <f t="shared" si="13"/>
        <v>100</v>
      </c>
      <c r="V31" s="1553" t="s">
        <v>8</v>
      </c>
      <c r="W31" s="1554">
        <f t="shared" si="14"/>
        <v>100</v>
      </c>
      <c r="X31" s="1555"/>
      <c r="Y31" s="3443"/>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443" t="s">
        <v>550</v>
      </c>
      <c r="Q32" s="1557">
        <f t="shared" si="11"/>
        <v>111</v>
      </c>
      <c r="R32" s="1558" t="s">
        <v>8</v>
      </c>
      <c r="S32" s="1559">
        <f t="shared" si="12"/>
        <v>100</v>
      </c>
      <c r="T32" s="1558" t="s">
        <v>8</v>
      </c>
      <c r="U32" s="1559">
        <f t="shared" si="13"/>
        <v>100</v>
      </c>
      <c r="V32" s="1558" t="s">
        <v>8</v>
      </c>
      <c r="W32" s="1559">
        <f t="shared" si="14"/>
        <v>100</v>
      </c>
      <c r="X32" s="1552"/>
      <c r="Y32" s="3443"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443"/>
      <c r="Q33" s="1557">
        <f t="shared" si="11"/>
        <v>111</v>
      </c>
      <c r="R33" s="1558" t="s">
        <v>8</v>
      </c>
      <c r="S33" s="1559">
        <f t="shared" si="12"/>
        <v>100</v>
      </c>
      <c r="T33" s="1558" t="s">
        <v>8</v>
      </c>
      <c r="U33" s="1559">
        <f t="shared" si="13"/>
        <v>100</v>
      </c>
      <c r="V33" s="1558" t="s">
        <v>8</v>
      </c>
      <c r="W33" s="1559">
        <f t="shared" si="14"/>
        <v>100</v>
      </c>
      <c r="X33" s="1552"/>
      <c r="Y33" s="3443"/>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443"/>
      <c r="Q34" s="1557">
        <f t="shared" si="11"/>
        <v>111</v>
      </c>
      <c r="R34" s="1558" t="s">
        <v>8</v>
      </c>
      <c r="S34" s="1559">
        <f t="shared" si="12"/>
        <v>100</v>
      </c>
      <c r="T34" s="1558" t="s">
        <v>8</v>
      </c>
      <c r="U34" s="1559">
        <f t="shared" si="13"/>
        <v>100</v>
      </c>
      <c r="V34" s="1558" t="s">
        <v>8</v>
      </c>
      <c r="W34" s="1559">
        <f t="shared" si="14"/>
        <v>100</v>
      </c>
      <c r="X34" s="1552"/>
      <c r="Y34" s="3443"/>
      <c r="Z34" s="1560">
        <f t="shared" si="15"/>
        <v>111</v>
      </c>
      <c r="AA34" s="1561">
        <f t="shared" si="3"/>
        <v>1</v>
      </c>
      <c r="AB34" s="1561">
        <f t="shared" si="4"/>
        <v>1</v>
      </c>
      <c r="AC34" s="1561">
        <f t="shared" si="5"/>
        <v>1</v>
      </c>
    </row>
    <row r="35" spans="1:29" ht="15">
      <c r="A35" s="606" t="s">
        <v>736</v>
      </c>
      <c r="B35" s="886"/>
      <c r="C35" s="2590" t="s">
        <v>1</v>
      </c>
      <c r="D35" s="2591"/>
      <c r="E35" s="2592"/>
      <c r="F35" s="2593"/>
      <c r="G35" s="2594"/>
      <c r="H35" s="2595"/>
      <c r="I35" s="2592"/>
      <c r="J35" s="2595"/>
      <c r="K35" s="1595"/>
      <c r="L35" s="2128"/>
      <c r="M35" s="2129"/>
      <c r="N35" s="2118"/>
      <c r="O35" s="2129"/>
      <c r="P35" s="3405" t="str">
        <f>A35</f>
        <v>成交单价（元/平方米）</v>
      </c>
      <c r="Q35" s="3405"/>
      <c r="R35" s="3512">
        <f>E35</f>
        <v>0</v>
      </c>
      <c r="S35" s="3512"/>
      <c r="T35" s="3512">
        <f>G35</f>
        <v>0</v>
      </c>
      <c r="U35" s="3512"/>
      <c r="V35" s="3512">
        <f>I35</f>
        <v>0</v>
      </c>
      <c r="W35" s="3512"/>
      <c r="X35" s="1544"/>
      <c r="Y35" s="1566"/>
      <c r="Z35" s="1544"/>
      <c r="AA35" s="1544"/>
      <c r="AB35" s="1544"/>
      <c r="AC35" s="1544"/>
    </row>
    <row r="36" spans="1:29" ht="15.75" thickBot="1">
      <c r="A36" s="614" t="s">
        <v>2760</v>
      </c>
      <c r="B36" s="887"/>
      <c r="C36" s="2596" t="e">
        <f>R37</f>
        <v>#DIV/0!</v>
      </c>
      <c r="D36" s="2597"/>
      <c r="E36" s="2598" t="e">
        <f>R36</f>
        <v>#DIV/0!</v>
      </c>
      <c r="F36" s="2598"/>
      <c r="G36" s="2596" t="e">
        <f>T36</f>
        <v>#DIV/0!</v>
      </c>
      <c r="H36" s="2597"/>
      <c r="I36" s="2598" t="e">
        <f>V36</f>
        <v>#DIV/0!</v>
      </c>
      <c r="J36" s="2597"/>
      <c r="K36" s="1596"/>
      <c r="L36" s="2128"/>
      <c r="M36" s="2129"/>
      <c r="N36" s="2118"/>
      <c r="O36" s="2129"/>
      <c r="P36" s="3405" t="str">
        <f>A36</f>
        <v>比较价格（元/平方米）</v>
      </c>
      <c r="Q36" s="3405"/>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1544"/>
      <c r="Y36" s="1544"/>
      <c r="Z36" s="1544"/>
      <c r="AA36" s="1544"/>
      <c r="AB36" s="1544"/>
      <c r="AC36" s="1544"/>
    </row>
    <row r="37" spans="1:29" ht="15.75" thickBot="1">
      <c r="A37" s="620" t="s">
        <v>2937</v>
      </c>
      <c r="B37" s="621"/>
      <c r="C37" s="2599" t="e">
        <f>R37</f>
        <v>#DIV/0!</v>
      </c>
      <c r="D37" s="2599"/>
      <c r="E37" s="2599"/>
      <c r="F37" s="2599"/>
      <c r="G37" s="2599"/>
      <c r="H37" s="2599"/>
      <c r="I37" s="2599"/>
      <c r="J37" s="2599"/>
      <c r="K37" s="1597"/>
      <c r="L37" s="2128"/>
      <c r="M37" s="2129"/>
      <c r="N37" s="2129"/>
      <c r="O37" s="2129"/>
      <c r="P37" s="3402" t="str">
        <f>A37</f>
        <v>估价对象XX用房的比较价格（楼面单价，元/平方米）</v>
      </c>
      <c r="Q37" s="3403"/>
      <c r="R37" s="3511" t="e">
        <f>IF(F1="售价",ROUND(AVERAGE(R36:V36),0),ROUND(AVERAGE(R36:V36),1))</f>
        <v>#DIV/0!</v>
      </c>
      <c r="S37" s="3511"/>
      <c r="T37" s="3511"/>
      <c r="U37" s="3511"/>
      <c r="V37" s="3511"/>
      <c r="W37" s="3511"/>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4" t="s">
        <v>529</v>
      </c>
      <c r="B46" s="645"/>
      <c r="C46" s="2756" t="str">
        <f>YEAR(C7)&amp;"-"&amp;MONTH(C7)</f>
        <v>2020-1</v>
      </c>
      <c r="D46" s="2758">
        <f>EDATE(C46,-1)</f>
        <v>43800</v>
      </c>
      <c r="E46" s="2758">
        <f t="shared" ref="E46:O46" si="16">EDATE(D46,-1)</f>
        <v>43770</v>
      </c>
      <c r="F46" s="2758">
        <f t="shared" si="16"/>
        <v>43739</v>
      </c>
      <c r="G46" s="2758">
        <f t="shared" si="16"/>
        <v>43709</v>
      </c>
      <c r="H46" s="2758">
        <f t="shared" si="16"/>
        <v>43678</v>
      </c>
      <c r="I46" s="2758">
        <f t="shared" si="16"/>
        <v>43647</v>
      </c>
      <c r="J46" s="2758">
        <f t="shared" si="16"/>
        <v>43617</v>
      </c>
      <c r="K46" s="2758">
        <f t="shared" si="16"/>
        <v>43586</v>
      </c>
      <c r="L46" s="2758">
        <f t="shared" si="16"/>
        <v>43556</v>
      </c>
      <c r="M46" s="2758">
        <f t="shared" si="16"/>
        <v>43525</v>
      </c>
      <c r="N46" s="2758">
        <f t="shared" si="16"/>
        <v>43497</v>
      </c>
      <c r="O46" s="2758">
        <f t="shared" si="16"/>
        <v>43466</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2557</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2558</v>
      </c>
      <c r="C65" s="2561" t="s">
        <v>2559</v>
      </c>
      <c r="D65" s="2561" t="s">
        <v>2560</v>
      </c>
      <c r="E65" s="2561" t="s">
        <v>2561</v>
      </c>
      <c r="F65" s="2561" t="s">
        <v>2562</v>
      </c>
      <c r="G65" s="2561" t="s">
        <v>2563</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受贵公司委托，我公司对湖北省黄石市黄金山开发区大棋路以北卫楼下路以东出让国有建设用地使用权抵押价格进行了预评估。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黄石市黄金山开发区大棋路以北卫楼下路以东出让国有建设用地使用权。根据《国有土地使用证》[]，估价对象（分摊）出让国有建设用地使用权面积为153365平方米。根据《建设工程规划许可证》[]、《出让合同》[]，估价对象规划建筑面积为508675平方米。</v>
      </c>
    </row>
    <row r="7" spans="1:4" ht="93.75">
      <c r="A7" s="2827" t="s">
        <v>2748</v>
      </c>
    </row>
    <row r="8" spans="1:4" ht="18.75">
      <c r="A8" s="1778" t="s">
        <v>1906</v>
      </c>
    </row>
    <row r="9" spans="1:4" ht="75">
      <c r="A9" s="1780" t="str">
        <f>IF(项目基本情况!B8="抵押",IF(项目基本情况!B5=项目基本情况!B6,定义!C51,定义!B51),定义!D51)</f>
        <v>拟使用湖北省黄石市黄金山开发区大棋路以北卫楼下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2020年1月3日（评估专业人员勘察现场之日）</v>
      </c>
    </row>
    <row r="12" spans="1:4" ht="18.75">
      <c r="A12" s="1781" t="s">
        <v>2025</v>
      </c>
    </row>
    <row r="13" spans="1:4" ht="18.75">
      <c r="A13" s="1775" t="s">
        <v>2071</v>
      </c>
    </row>
    <row r="14" spans="1:4" ht="37.5">
      <c r="A14" s="1775" t="str">
        <f>"根据"&amp;项目基本情况!F12&amp;"，本次评估估价对象证载（地类）用途为"&amp;项目基本情况!B12&amp;"。"</f>
        <v>根据《国有土地使用证》[]，本次评估估价对象证载（地类）用途为住宅、商业、办公。</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根据《国有土地使用证》[]，估价对象（分摊）出让国有建设用地使用权面积为153365平方米。根据《建设工程规划许可证》[]、《出让合同》[]，估价对象规划建筑面积为508675平方米。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2749</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2020年1月3日，在规划利用条件下、设定土地开发程度为红线外“七通”、宗地内场地，设定用途为住宅、商业、办公，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P6" sqref="P6:P12"/>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25" t="s">
        <v>2576</v>
      </c>
      <c r="C1" s="3525"/>
      <c r="D1" s="3525"/>
      <c r="E1" s="3525"/>
      <c r="F1" s="3525"/>
      <c r="G1" s="3524" t="s">
        <v>2577</v>
      </c>
      <c r="H1" s="3524"/>
      <c r="I1" s="3524"/>
      <c r="J1" s="3524"/>
      <c r="K1" s="3524"/>
      <c r="L1" s="3524"/>
      <c r="N1" s="3524" t="s">
        <v>2578</v>
      </c>
      <c r="O1" s="3524"/>
      <c r="P1" s="3524"/>
      <c r="Q1" s="3524"/>
      <c r="R1" s="2617"/>
      <c r="S1" s="3524" t="s">
        <v>2579</v>
      </c>
      <c r="T1" s="3524"/>
      <c r="U1" s="3524"/>
      <c r="V1" s="3524"/>
      <c r="X1" s="3523" t="s">
        <v>2639</v>
      </c>
      <c r="Y1" s="3524"/>
      <c r="Z1" s="3524"/>
      <c r="AA1" s="3524"/>
      <c r="AB1" s="3524"/>
      <c r="AD1" s="3523" t="s">
        <v>2643</v>
      </c>
      <c r="AE1" s="3524"/>
      <c r="AF1" s="3524"/>
      <c r="AG1" s="3524"/>
      <c r="AH1" s="3524"/>
    </row>
    <row r="2" spans="1:34" s="2718" customFormat="1" ht="14.25" thickBot="1">
      <c r="B2" s="2726" t="s">
        <v>2580</v>
      </c>
      <c r="C2" s="2726" t="s">
        <v>2641</v>
      </c>
      <c r="D2" s="2719" t="s">
        <v>1644</v>
      </c>
      <c r="E2" s="2719" t="s">
        <v>1949</v>
      </c>
      <c r="F2" s="2726" t="s">
        <v>2642</v>
      </c>
      <c r="G2" s="2722"/>
      <c r="H2" s="2721"/>
      <c r="I2" s="2726" t="s">
        <v>2957</v>
      </c>
      <c r="J2" s="2719" t="s">
        <v>2959</v>
      </c>
      <c r="K2" s="2719" t="s">
        <v>2960</v>
      </c>
      <c r="L2" s="2726" t="s">
        <v>2961</v>
      </c>
      <c r="N2" s="2726" t="s">
        <v>2580</v>
      </c>
      <c r="O2" s="2719" t="s">
        <v>2958</v>
      </c>
      <c r="P2" s="2719" t="s">
        <v>1949</v>
      </c>
      <c r="Q2" s="2726" t="s">
        <v>2642</v>
      </c>
      <c r="R2" s="2720"/>
      <c r="S2" s="2726" t="s">
        <v>2580</v>
      </c>
      <c r="T2" s="2719" t="s">
        <v>2958</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79" customFormat="1" ht="14.25">
      <c r="A3" s="3091" t="s">
        <v>2970</v>
      </c>
      <c r="B3" s="3080"/>
      <c r="C3" s="3080"/>
      <c r="D3" s="3081"/>
      <c r="E3" s="3081"/>
      <c r="F3" s="3080"/>
      <c r="G3" s="3082"/>
      <c r="H3" s="3083"/>
      <c r="I3" s="3090">
        <f>ROUND(AVERAGE($I4:$I28),2)</f>
        <v>1.98</v>
      </c>
      <c r="J3" s="3090">
        <f>ROUND(AVERAGE($J4:$J28),2)</f>
        <v>1.41</v>
      </c>
      <c r="K3" s="3090">
        <f>ROUND(AVERAGE($K4:$K28),2)</f>
        <v>2.16</v>
      </c>
      <c r="L3" s="3090">
        <f>ROUND(AVERAGE($L4:$L28),2)</f>
        <v>1.38</v>
      </c>
      <c r="N3" s="3082"/>
      <c r="O3" s="3084"/>
      <c r="P3" s="3084"/>
      <c r="Q3" s="3084"/>
      <c r="R3" s="3084"/>
      <c r="S3" s="3082"/>
      <c r="T3" s="3084"/>
      <c r="U3" s="3084"/>
      <c r="V3" s="3084"/>
      <c r="W3" s="3087"/>
      <c r="X3" s="3085">
        <f>ROUND(SUMPRODUCT(PRODUCT(1+N3:N$27)),4)</f>
        <v>1.5516000000000001</v>
      </c>
      <c r="Y3" s="3085">
        <f>ROUND(SUMPRODUCT(PRODUCT(1+O3:O$27)),4)</f>
        <v>1.3649</v>
      </c>
      <c r="Z3" s="3085">
        <f t="shared" ref="Z3:Z25" si="0">Y3</f>
        <v>1.3649</v>
      </c>
      <c r="AA3" s="3085">
        <f>ROUND(SUMPRODUCT(PRODUCT(1+P3:P$27)),4)</f>
        <v>1.6133999999999999</v>
      </c>
      <c r="AB3" s="3085">
        <f>ROUND(SUMPRODUCT(PRODUCT(1+Q3:Q$27)),4)</f>
        <v>1.3713</v>
      </c>
      <c r="AD3" s="3086">
        <f>ROUND(AVERAGE(I3:I$28)/100,4)</f>
        <v>1.9800000000000002E-2</v>
      </c>
      <c r="AE3" s="3086">
        <f>ROUND(AVERAGE(J3:J$28)/100,4)</f>
        <v>1.41E-2</v>
      </c>
      <c r="AF3" s="3086">
        <f t="shared" ref="AF3:AF26" si="1">AE3</f>
        <v>1.41E-2</v>
      </c>
      <c r="AG3" s="3086">
        <f>ROUND(AVERAGE(K3:K$28)/100,4)</f>
        <v>2.1600000000000001E-2</v>
      </c>
      <c r="AH3" s="3086">
        <f>ROUND(AVERAGE(L3:L$28)/100,4)</f>
        <v>1.38E-2</v>
      </c>
    </row>
    <row r="4" spans="1:34" s="2711" customFormat="1" ht="14.25">
      <c r="B4" s="2712"/>
      <c r="C4" s="2712"/>
      <c r="D4" s="2713"/>
      <c r="E4" s="2713"/>
      <c r="F4" s="2712"/>
      <c r="G4" s="2717"/>
      <c r="H4" s="2714"/>
      <c r="I4" s="3075"/>
      <c r="J4" s="3075"/>
      <c r="K4" s="3075"/>
      <c r="L4" s="3075"/>
      <c r="N4" s="2717"/>
      <c r="O4" s="2715"/>
      <c r="P4" s="2715"/>
      <c r="Q4" s="2715"/>
      <c r="R4" s="2715"/>
      <c r="S4" s="2717"/>
      <c r="T4" s="2715"/>
      <c r="U4" s="2715"/>
      <c r="V4" s="2715"/>
      <c r="W4" s="3088"/>
      <c r="X4" s="2716"/>
      <c r="Y4" s="2716"/>
      <c r="Z4" s="2716"/>
      <c r="AA4" s="2716"/>
      <c r="AB4" s="2716"/>
      <c r="AD4" s="2636"/>
      <c r="AE4" s="2636"/>
      <c r="AF4" s="2636"/>
      <c r="AG4" s="2636"/>
      <c r="AH4" s="2636"/>
    </row>
    <row r="5" spans="1:34" s="3063" customFormat="1">
      <c r="A5" s="3061" t="s">
        <v>2998</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2019</v>
      </c>
      <c r="H5" s="3062">
        <v>4</v>
      </c>
      <c r="I5" s="3076">
        <v>0</v>
      </c>
      <c r="J5" s="3076">
        <v>0</v>
      </c>
      <c r="K5" s="3076">
        <v>0</v>
      </c>
      <c r="L5" s="3076">
        <v>0</v>
      </c>
      <c r="N5" s="2724">
        <f t="shared" ref="N5" si="7">I5/100</f>
        <v>0</v>
      </c>
      <c r="O5" s="2724">
        <f t="shared" ref="O5" si="8">J5/100</f>
        <v>0</v>
      </c>
      <c r="P5" s="2724">
        <f t="shared" ref="P5" si="9">K5/100</f>
        <v>0</v>
      </c>
      <c r="Q5" s="2724">
        <f t="shared" ref="Q5" si="10">L5/100</f>
        <v>0</v>
      </c>
      <c r="R5" s="3064"/>
      <c r="S5" s="3065"/>
      <c r="T5" s="3064"/>
      <c r="U5" s="3064"/>
      <c r="V5" s="3064"/>
      <c r="W5" s="3089" t="s">
        <v>2971</v>
      </c>
      <c r="X5" s="3066">
        <f>ROUND(IF(项目基本情况!B7="出让",SUMPRODUCT(PRODUCT(1+N5:N$28)),SUMPRODUCT(PRODUCT(1+N5:N$27))),4)</f>
        <v>1.5516000000000001</v>
      </c>
      <c r="Y5" s="3066">
        <f>ROUND(IF(项目基本情况!B7="出让",SUMPRODUCT(PRODUCT(1+O5:O$28)),SUMPRODUCT(PRODUCT(1+O5:O$27))),4)</f>
        <v>1.3649</v>
      </c>
      <c r="Z5" s="3066">
        <f t="shared" ref="Z5" si="11">Y5</f>
        <v>1.3649</v>
      </c>
      <c r="AA5" s="3066">
        <f>ROUND(IF(项目基本情况!B7="出让",SUMPRODUCT(PRODUCT(1+P5:P$28)),SUMPRODUCT(PRODUCT(1+P5:P$27))),4)</f>
        <v>1.6133999999999999</v>
      </c>
      <c r="AB5" s="3066">
        <f>ROUND(IF(项目基本情况!B7="出让",SUMPRODUCT(PRODUCT(1+Q5:Q$28)),SUMPRODUCT(PRODUCT(1+Q5:Q$27))),4)</f>
        <v>1.3713</v>
      </c>
      <c r="AD5" s="3067">
        <f>ROUND(AVERAGE(I5:I$28)/100,4)</f>
        <v>1.9800000000000002E-2</v>
      </c>
      <c r="AE5" s="3067">
        <f>ROUND(AVERAGE(J5:J$28)/100,4)</f>
        <v>1.41E-2</v>
      </c>
      <c r="AF5" s="3067">
        <f t="shared" ref="AF5" si="12">AE5</f>
        <v>1.41E-2</v>
      </c>
      <c r="AG5" s="3067">
        <f>ROUND(AVERAGE(K5:K$28)/100,4)</f>
        <v>2.1600000000000001E-2</v>
      </c>
      <c r="AH5" s="3067">
        <f>ROUND(AVERAGE(L5:L$28)/100,4)</f>
        <v>1.38E-2</v>
      </c>
    </row>
    <row r="6" spans="1:34" s="2723" customFormat="1" ht="13.5" thickBot="1">
      <c r="A6" s="2618" t="s">
        <v>2997</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3</v>
      </c>
      <c r="I6" s="2621">
        <v>0.61</v>
      </c>
      <c r="J6" s="2621">
        <v>0.67</v>
      </c>
      <c r="K6" s="2621">
        <v>0.6</v>
      </c>
      <c r="L6" s="2632">
        <v>1.03</v>
      </c>
      <c r="M6" s="2625"/>
      <c r="N6" s="2626">
        <f t="shared" ref="N6" si="18">I6/100</f>
        <v>6.0999999999999995E-3</v>
      </c>
      <c r="O6" s="2627">
        <f t="shared" ref="O6" si="19">J6/100</f>
        <v>6.7000000000000002E-3</v>
      </c>
      <c r="P6" s="2627">
        <f t="shared" ref="P6" si="20">K6/100</f>
        <v>6.0000000000000001E-3</v>
      </c>
      <c r="Q6" s="2627">
        <f t="shared" ref="Q6" si="21">L6/100</f>
        <v>1.03E-2</v>
      </c>
      <c r="R6" s="2628"/>
      <c r="S6" s="2634"/>
      <c r="T6" s="2635"/>
      <c r="U6" s="2635"/>
      <c r="V6" s="2635"/>
      <c r="W6" s="2625"/>
      <c r="X6" s="2716">
        <f>ROUND(IF(项目基本情况!B8="出让",SUMPRODUCT(PRODUCT(1+N6:N$28)),SUMPRODUCT(PRODUCT(1+N6:N$27))),4)</f>
        <v>1.5516000000000001</v>
      </c>
      <c r="Y6" s="2716">
        <f>ROUND(IF(项目基本情况!B8="出让",SUMPRODUCT(PRODUCT(1+O6:O$28)),SUMPRODUCT(PRODUCT(1+O6:O$27))),4)</f>
        <v>1.3649</v>
      </c>
      <c r="Z6" s="2716">
        <f t="shared" ref="Z6" si="22">Y6</f>
        <v>1.3649</v>
      </c>
      <c r="AA6" s="2716">
        <f>ROUND(IF(项目基本情况!B8="出让",SUMPRODUCT(PRODUCT(1+P6:P$28)),SUMPRODUCT(PRODUCT(1+P6:P$27))),4)</f>
        <v>1.6133999999999999</v>
      </c>
      <c r="AB6" s="2716">
        <f>ROUND(IF(项目基本情况!B8="出让",SUMPRODUCT(PRODUCT(1+Q6:Q$28)),SUMPRODUCT(PRODUCT(1+Q6:Q$27))),4)</f>
        <v>1.3713</v>
      </c>
      <c r="AC6" s="2625"/>
      <c r="AD6" s="2636">
        <f>ROUND(AVERAGE(I6:I$28)/100,4)</f>
        <v>2.07E-2</v>
      </c>
      <c r="AE6" s="2636">
        <f>ROUND(AVERAGE(J6:J$28)/100,4)</f>
        <v>1.47E-2</v>
      </c>
      <c r="AF6" s="2636">
        <f t="shared" ref="AF6" si="23">AE6</f>
        <v>1.47E-2</v>
      </c>
      <c r="AG6" s="2636">
        <f>ROUND(AVERAGE(K6:K$28)/100,4)</f>
        <v>2.2599999999999999E-2</v>
      </c>
      <c r="AH6" s="2636">
        <f>ROUND(AVERAGE(L6:L$28)/100,4)</f>
        <v>1.44E-2</v>
      </c>
    </row>
    <row r="7" spans="1:34" s="2723" customFormat="1">
      <c r="A7" s="2618" t="s">
        <v>2994</v>
      </c>
      <c r="B7" s="2631">
        <f t="shared" ref="B7:B12" si="24">B8*(1+N7)</f>
        <v>474.30670301923408</v>
      </c>
      <c r="C7" s="2631">
        <f t="shared" ref="C7" si="25">C8*(1+O7)</f>
        <v>349.50705005996491</v>
      </c>
      <c r="D7" s="2631">
        <f t="shared" ref="D7" si="26">C7</f>
        <v>349.50705005996491</v>
      </c>
      <c r="E7" s="2631">
        <f t="shared" ref="E7" si="27">E8*(1+P7)</f>
        <v>678.22831959706957</v>
      </c>
      <c r="F7" s="2631">
        <f t="shared" ref="F7" si="28">F8*(1+Q7)</f>
        <v>312.0556832169558</v>
      </c>
      <c r="G7" s="2717">
        <v>2019</v>
      </c>
      <c r="H7" s="2619">
        <v>2</v>
      </c>
      <c r="I7" s="2619">
        <v>1.53</v>
      </c>
      <c r="J7" s="2619">
        <v>1.01</v>
      </c>
      <c r="K7" s="2619">
        <v>1.62</v>
      </c>
      <c r="L7" s="2620">
        <v>1.25</v>
      </c>
      <c r="M7" s="2625"/>
      <c r="N7" s="2626">
        <f t="shared" ref="N7" si="29">I7/100</f>
        <v>1.5300000000000001E-2</v>
      </c>
      <c r="O7" s="2627">
        <f t="shared" ref="O7" si="30">J7/100</f>
        <v>1.01E-2</v>
      </c>
      <c r="P7" s="2627">
        <f t="shared" ref="P7" si="31">K7/100</f>
        <v>1.6200000000000003E-2</v>
      </c>
      <c r="Q7" s="2627">
        <f t="shared" ref="Q7" si="32">L7/100</f>
        <v>1.2500000000000001E-2</v>
      </c>
      <c r="R7" s="2628"/>
      <c r="S7" s="2634"/>
      <c r="T7" s="2635"/>
      <c r="U7" s="2635"/>
      <c r="V7" s="2635"/>
      <c r="W7" s="2625"/>
      <c r="X7" s="2716">
        <f>ROUND(IF(项目基本情况!B8="出让",SUMPRODUCT(PRODUCT(1+N7:N$28)),SUMPRODUCT(PRODUCT(1+N7:N$27))),4)</f>
        <v>1.5422</v>
      </c>
      <c r="Y7" s="2716">
        <f>ROUND(IF(项目基本情况!B8="出让",SUMPRODUCT(PRODUCT(1+O7:O$28)),SUMPRODUCT(PRODUCT(1+O7:O$27))),4)</f>
        <v>1.3557999999999999</v>
      </c>
      <c r="Z7" s="2716">
        <f t="shared" ref="Z7" si="33">Y7</f>
        <v>1.3557999999999999</v>
      </c>
      <c r="AA7" s="2716">
        <f>ROUND(IF(项目基本情况!B8="出让",SUMPRODUCT(PRODUCT(1+P7:P$28)),SUMPRODUCT(PRODUCT(1+P7:P$27))),4)</f>
        <v>1.6036999999999999</v>
      </c>
      <c r="AB7" s="2716">
        <f>ROUND(IF(项目基本情况!B8="出让",SUMPRODUCT(PRODUCT(1+Q7:Q$28)),SUMPRODUCT(PRODUCT(1+Q7:Q$27))),4)</f>
        <v>1.3573</v>
      </c>
      <c r="AC7" s="2625"/>
      <c r="AD7" s="2636">
        <f>ROUND(AVERAGE(I7:I$28)/100,4)</f>
        <v>2.1299999999999999E-2</v>
      </c>
      <c r="AE7" s="2636">
        <f>ROUND(AVERAGE(J7:J$28)/100,4)</f>
        <v>1.4999999999999999E-2</v>
      </c>
      <c r="AF7" s="2636">
        <f t="shared" ref="AF7" si="34">AE7</f>
        <v>1.4999999999999999E-2</v>
      </c>
      <c r="AG7" s="2636">
        <f>ROUND(AVERAGE(K7:K$28)/100,4)</f>
        <v>2.3300000000000001E-2</v>
      </c>
      <c r="AH7" s="2636">
        <f>ROUND(AVERAGE(L7:L$28)/100,4)</f>
        <v>1.46E-2</v>
      </c>
    </row>
    <row r="8" spans="1:34" s="2723" customFormat="1" ht="13.5" thickBot="1">
      <c r="A8" s="2618" t="s">
        <v>2993</v>
      </c>
      <c r="B8" s="2631">
        <f t="shared" si="24"/>
        <v>467.15916775261894</v>
      </c>
      <c r="C8" s="2631">
        <f t="shared" ref="C8" si="35">C9*(1+O8)</f>
        <v>346.01232557169084</v>
      </c>
      <c r="D8" s="2631">
        <f t="shared" ref="D8" si="36">C8</f>
        <v>346.01232557169084</v>
      </c>
      <c r="E8" s="2631">
        <f t="shared" ref="E8" si="37">E9*(1+P8)</f>
        <v>667.41617752122568</v>
      </c>
      <c r="F8" s="2631">
        <f t="shared" ref="F8" si="38">F9*(1+Q8)</f>
        <v>308.20314391798104</v>
      </c>
      <c r="G8" s="2717">
        <v>2019</v>
      </c>
      <c r="H8" s="2621">
        <v>1</v>
      </c>
      <c r="I8" s="2621">
        <v>0.6</v>
      </c>
      <c r="J8" s="2621">
        <v>0.37</v>
      </c>
      <c r="K8" s="2621">
        <v>0.63</v>
      </c>
      <c r="L8" s="2632">
        <v>1.1299999999999999</v>
      </c>
      <c r="M8" s="2625"/>
      <c r="N8" s="2626">
        <f t="shared" ref="N8" si="39">I8/100</f>
        <v>6.0000000000000001E-3</v>
      </c>
      <c r="O8" s="2627">
        <f t="shared" ref="O8" si="40">J8/100</f>
        <v>3.7000000000000002E-3</v>
      </c>
      <c r="P8" s="2627">
        <f t="shared" ref="P8" si="41">K8/100</f>
        <v>6.3E-3</v>
      </c>
      <c r="Q8" s="2627">
        <f t="shared" ref="Q8" si="42">L8/100</f>
        <v>1.1299999999999999E-2</v>
      </c>
      <c r="R8" s="2628"/>
      <c r="S8" s="2634">
        <f>B8/B9-1</f>
        <v>6.0000000000000053E-3</v>
      </c>
      <c r="T8" s="2635">
        <f>C8/C9-1</f>
        <v>3.7000000000000366E-3</v>
      </c>
      <c r="U8" s="2635">
        <f>E8/E9-1</f>
        <v>6.2999999999999723E-3</v>
      </c>
      <c r="V8" s="2635">
        <f>F8/F9-1</f>
        <v>1.1300000000000088E-2</v>
      </c>
      <c r="W8" s="2625"/>
      <c r="X8" s="2716">
        <f>ROUND(IF(项目基本情况!B8="出让",SUMPRODUCT(PRODUCT(1+N8:N$28)),SUMPRODUCT(PRODUCT(1+N8:N$27))),4)</f>
        <v>1.5189999999999999</v>
      </c>
      <c r="Y8" s="2716">
        <f>ROUND(IF(项目基本情况!B8="出让",SUMPRODUCT(PRODUCT(1+O8:O$28)),SUMPRODUCT(PRODUCT(1+O8:O$27))),4)</f>
        <v>1.3423</v>
      </c>
      <c r="Z8" s="2716">
        <f t="shared" ref="Z8" si="43">Y8</f>
        <v>1.3423</v>
      </c>
      <c r="AA8" s="2716">
        <f>ROUND(IF(项目基本情况!B8="出让",SUMPRODUCT(PRODUCT(1+P8:P$28)),SUMPRODUCT(PRODUCT(1+P8:P$27))),4)</f>
        <v>1.5782</v>
      </c>
      <c r="AB8" s="2716">
        <f>ROUND(IF(项目基本情况!B8="出让",SUMPRODUCT(PRODUCT(1+Q8:Q$28)),SUMPRODUCT(PRODUCT(1+Q8:Q$27))),4)</f>
        <v>1.3405</v>
      </c>
      <c r="AC8" s="2625"/>
      <c r="AD8" s="2636">
        <f>ROUND(AVERAGE(I8:I$28)/100,4)</f>
        <v>2.1600000000000001E-2</v>
      </c>
      <c r="AE8" s="2636">
        <f>ROUND(AVERAGE(J8:J$28)/100,4)</f>
        <v>1.5299999999999999E-2</v>
      </c>
      <c r="AF8" s="2636">
        <f t="shared" ref="AF8" si="44">AE8</f>
        <v>1.5299999999999999E-2</v>
      </c>
      <c r="AG8" s="2636">
        <f>ROUND(AVERAGE(K8:K$28)/100,4)</f>
        <v>2.3699999999999999E-2</v>
      </c>
      <c r="AH8" s="2636">
        <f>ROUND(AVERAGE(L8:L$28)/100,4)</f>
        <v>1.47E-2</v>
      </c>
    </row>
    <row r="9" spans="1:34" s="2723" customFormat="1">
      <c r="A9" s="2618" t="s">
        <v>2990</v>
      </c>
      <c r="B9" s="3175">
        <f t="shared" si="24"/>
        <v>464.37293017158942</v>
      </c>
      <c r="C9" s="3175">
        <f t="shared" ref="C9" si="45">C10*(1+O9)</f>
        <v>344.73679941385956</v>
      </c>
      <c r="D9" s="3175">
        <f t="shared" ref="D9" si="46">C9</f>
        <v>344.73679941385956</v>
      </c>
      <c r="E9" s="3175">
        <f t="shared" ref="E9" si="47">E10*(1+P9)</f>
        <v>663.2377795103107</v>
      </c>
      <c r="F9" s="3176">
        <f t="shared" ref="F9" si="48">F10*(1+Q9)</f>
        <v>304.75936311478398</v>
      </c>
      <c r="G9" s="3519">
        <v>2018</v>
      </c>
      <c r="H9" s="2619">
        <v>4</v>
      </c>
      <c r="I9" s="2619">
        <v>0.96</v>
      </c>
      <c r="J9" s="2619">
        <v>1.03</v>
      </c>
      <c r="K9" s="2619">
        <v>0.92</v>
      </c>
      <c r="L9" s="2620">
        <v>1.29</v>
      </c>
      <c r="M9" s="2625"/>
      <c r="N9" s="2626">
        <f t="shared" ref="N9" si="49">I9/100</f>
        <v>9.5999999999999992E-3</v>
      </c>
      <c r="O9" s="2627">
        <f t="shared" ref="O9" si="50">J9/100</f>
        <v>1.03E-2</v>
      </c>
      <c r="P9" s="2627">
        <f t="shared" ref="P9" si="51">K9/100</f>
        <v>9.1999999999999998E-3</v>
      </c>
      <c r="Q9" s="2627">
        <f t="shared" ref="Q9" si="52">L9/100</f>
        <v>1.29E-2</v>
      </c>
      <c r="R9" s="2628"/>
      <c r="S9" s="2629"/>
      <c r="T9" s="2630"/>
      <c r="U9" s="2630"/>
      <c r="V9" s="2630"/>
      <c r="W9" s="2625"/>
      <c r="X9" s="2716">
        <f>ROUND(SUMPRODUCT(PRODUCT(1+N9:N$27)),4)</f>
        <v>1.5099</v>
      </c>
      <c r="Y9" s="2716">
        <f>ROUND(SUMPRODUCT(PRODUCT(1+O9:O$27)),4)</f>
        <v>1.3372999999999999</v>
      </c>
      <c r="Z9" s="2716">
        <f t="shared" ref="Z9" si="53">Y9</f>
        <v>1.3372999999999999</v>
      </c>
      <c r="AA9" s="2716">
        <f>ROUND(SUMPRODUCT(PRODUCT(1+P9:P$27)),4)</f>
        <v>1.5683</v>
      </c>
      <c r="AB9" s="2716">
        <f>ROUND(SUMPRODUCT(PRODUCT(1+Q9:Q$27)),4)</f>
        <v>1.3255999999999999</v>
      </c>
      <c r="AC9" s="2625"/>
      <c r="AD9" s="2636">
        <f>ROUND(AVERAGE(I9:I$28)/100,4)</f>
        <v>2.24E-2</v>
      </c>
      <c r="AE9" s="2636">
        <f>ROUND(AVERAGE(J9:J$28)/100,4)</f>
        <v>1.5800000000000002E-2</v>
      </c>
      <c r="AF9" s="2636">
        <f t="shared" ref="AF9" si="54">AE9</f>
        <v>1.5800000000000002E-2</v>
      </c>
      <c r="AG9" s="2636">
        <f>ROUND(AVERAGE(K9:K$28)/100,4)</f>
        <v>2.4500000000000001E-2</v>
      </c>
      <c r="AH9" s="2636">
        <f>ROUND(AVERAGE(L9:L$28)/100,4)</f>
        <v>1.49E-2</v>
      </c>
    </row>
    <row r="10" spans="1:34" s="2723" customFormat="1" ht="14.45" customHeight="1">
      <c r="A10" s="2618" t="s">
        <v>2980</v>
      </c>
      <c r="B10" s="2631">
        <f t="shared" si="24"/>
        <v>459.95733971036987</v>
      </c>
      <c r="C10" s="2631">
        <f t="shared" ref="C10" si="55">C11*(1+O10)</f>
        <v>341.22221064422405</v>
      </c>
      <c r="D10" s="2631">
        <f t="shared" ref="D10" si="56">C10</f>
        <v>341.22221064422405</v>
      </c>
      <c r="E10" s="2631">
        <f t="shared" ref="E10" si="57">E11*(1+P10)</f>
        <v>657.19161663724799</v>
      </c>
      <c r="F10" s="2631">
        <f t="shared" ref="F10" si="58">F11*(1+Q10)</f>
        <v>300.87803644464805</v>
      </c>
      <c r="G10" s="3519"/>
      <c r="H10" s="2621">
        <v>3</v>
      </c>
      <c r="I10" s="2621">
        <v>1.51</v>
      </c>
      <c r="J10" s="2621">
        <v>1.41</v>
      </c>
      <c r="K10" s="2621">
        <v>1.52</v>
      </c>
      <c r="L10" s="2632">
        <v>1.74</v>
      </c>
      <c r="M10" s="2625"/>
      <c r="N10" s="2626">
        <f t="shared" ref="N10" si="59">I10/100</f>
        <v>1.5100000000000001E-2</v>
      </c>
      <c r="O10" s="2627">
        <f t="shared" ref="O10" si="60">J10/100</f>
        <v>1.41E-2</v>
      </c>
      <c r="P10" s="2627">
        <f t="shared" ref="P10" si="61">K10/100</f>
        <v>1.52E-2</v>
      </c>
      <c r="Q10" s="2627">
        <f t="shared" ref="Q10" si="62">L10/100</f>
        <v>1.7399999999999999E-2</v>
      </c>
      <c r="R10" s="2628"/>
      <c r="S10" s="2626"/>
      <c r="T10" s="2627"/>
      <c r="U10" s="2627"/>
      <c r="V10" s="2627"/>
      <c r="W10" s="2625"/>
      <c r="X10" s="2716">
        <f>ROUND(SUMPRODUCT(PRODUCT(1+N10:N$27)),4)</f>
        <v>1.4956</v>
      </c>
      <c r="Y10" s="2716">
        <f>ROUND(SUMPRODUCT(PRODUCT(1+O10:O$27)),4)</f>
        <v>1.3237000000000001</v>
      </c>
      <c r="Z10" s="2716">
        <f t="shared" ref="Z10" si="63">Y10</f>
        <v>1.3237000000000001</v>
      </c>
      <c r="AA10" s="2716">
        <f>ROUND(SUMPRODUCT(PRODUCT(1+P10:P$27)),4)</f>
        <v>1.554</v>
      </c>
      <c r="AB10" s="2716">
        <f>ROUND(SUMPRODUCT(PRODUCT(1+Q10:Q$27)),4)</f>
        <v>1.3087</v>
      </c>
      <c r="AC10" s="2625"/>
      <c r="AD10" s="2636">
        <f>ROUND(AVERAGE(I10:I$28)/100,4)</f>
        <v>2.3099999999999999E-2</v>
      </c>
      <c r="AE10" s="2636">
        <f>ROUND(AVERAGE(J10:J$28)/100,4)</f>
        <v>1.61E-2</v>
      </c>
      <c r="AF10" s="2636">
        <f t="shared" ref="AF10" si="64">AE10</f>
        <v>1.61E-2</v>
      </c>
      <c r="AG10" s="2636">
        <f>ROUND(AVERAGE(K10:K$28)/100,4)</f>
        <v>2.53E-2</v>
      </c>
      <c r="AH10" s="2636">
        <f>ROUND(AVERAGE(L10:L$28)/100,4)</f>
        <v>1.4999999999999999E-2</v>
      </c>
    </row>
    <row r="11" spans="1:34" s="2723" customFormat="1" ht="14.45" customHeight="1">
      <c r="A11" s="2618" t="s">
        <v>2981</v>
      </c>
      <c r="B11" s="2631">
        <f t="shared" si="24"/>
        <v>453.11529869999993</v>
      </c>
      <c r="C11" s="2631">
        <f t="shared" ref="C11" si="65">C12*(1+O11)</f>
        <v>336.47787264000004</v>
      </c>
      <c r="D11" s="2631">
        <f t="shared" ref="D11" si="66">C11</f>
        <v>336.47787264000004</v>
      </c>
      <c r="E11" s="2631">
        <f t="shared" ref="E11" si="67">E12*(1+P11)</f>
        <v>647.35186823999993</v>
      </c>
      <c r="F11" s="2631">
        <f t="shared" ref="F11" si="68">F12*(1+Q11)</f>
        <v>295.73229452000004</v>
      </c>
      <c r="G11" s="3519"/>
      <c r="H11" s="2622">
        <v>2</v>
      </c>
      <c r="I11" s="2622">
        <v>1.49</v>
      </c>
      <c r="J11" s="2622">
        <v>0.96</v>
      </c>
      <c r="K11" s="2622">
        <v>1.58</v>
      </c>
      <c r="L11" s="2633">
        <v>2.44</v>
      </c>
      <c r="M11" s="2625"/>
      <c r="N11" s="2626">
        <f t="shared" ref="N11" si="69">I11/100</f>
        <v>1.49E-2</v>
      </c>
      <c r="O11" s="2627">
        <f t="shared" ref="O11" si="70">J11/100</f>
        <v>9.5999999999999992E-3</v>
      </c>
      <c r="P11" s="2627">
        <f t="shared" ref="P11" si="71">K11/100</f>
        <v>1.5800000000000002E-2</v>
      </c>
      <c r="Q11" s="2627">
        <f t="shared" ref="Q11" si="72">L11/100</f>
        <v>2.4399999999999998E-2</v>
      </c>
      <c r="R11" s="2628"/>
      <c r="S11" s="2626"/>
      <c r="T11" s="2627"/>
      <c r="U11" s="2627"/>
      <c r="V11" s="2627"/>
      <c r="W11" s="2625"/>
      <c r="X11" s="2716">
        <f>ROUND(SUMPRODUCT(PRODUCT(1+N11:N$27)),4)</f>
        <v>1.4733000000000001</v>
      </c>
      <c r="Y11" s="2716">
        <f>ROUND(SUMPRODUCT(PRODUCT(1+O11:O$27)),4)</f>
        <v>1.3052999999999999</v>
      </c>
      <c r="Z11" s="2716">
        <f t="shared" ref="Z11" si="73">Y11</f>
        <v>1.3052999999999999</v>
      </c>
      <c r="AA11" s="2716">
        <f>ROUND(SUMPRODUCT(PRODUCT(1+P11:P$27)),4)</f>
        <v>1.5306999999999999</v>
      </c>
      <c r="AB11" s="2716">
        <f>ROUND(SUMPRODUCT(PRODUCT(1+Q11:Q$27)),4)</f>
        <v>1.2863</v>
      </c>
      <c r="AC11" s="2625"/>
      <c r="AD11" s="2636">
        <f>ROUND(AVERAGE(I11:I$28)/100,4)</f>
        <v>2.35E-2</v>
      </c>
      <c r="AE11" s="2636">
        <f>ROUND(AVERAGE(J11:J$28)/100,4)</f>
        <v>1.6199999999999999E-2</v>
      </c>
      <c r="AF11" s="2636">
        <f t="shared" ref="AF11" si="74">AE11</f>
        <v>1.6199999999999999E-2</v>
      </c>
      <c r="AG11" s="2636">
        <f>ROUND(AVERAGE(K11:K$28)/100,4)</f>
        <v>2.5899999999999999E-2</v>
      </c>
      <c r="AH11" s="2636">
        <f>ROUND(AVERAGE(L11:L$28)/100,4)</f>
        <v>1.49E-2</v>
      </c>
    </row>
    <row r="12" spans="1:34" s="2723" customFormat="1" ht="15" customHeight="1" thickBot="1">
      <c r="A12" s="2618" t="s">
        <v>2977</v>
      </c>
      <c r="B12" s="2631">
        <f t="shared" si="24"/>
        <v>446.46299999999997</v>
      </c>
      <c r="C12" s="2631">
        <f t="shared" ref="C12" si="75">C13*(1+O12)</f>
        <v>333.27840000000003</v>
      </c>
      <c r="D12" s="2631">
        <f t="shared" ref="D12:D17" si="76">C12</f>
        <v>333.27840000000003</v>
      </c>
      <c r="E12" s="2631">
        <f t="shared" ref="E12" si="77">E13*(1+P12)</f>
        <v>637.28279999999995</v>
      </c>
      <c r="F12" s="2631">
        <f t="shared" ref="F12" si="78">F13*(1+Q12)</f>
        <v>288.68830000000003</v>
      </c>
      <c r="G12" s="3520"/>
      <c r="H12" s="2621">
        <v>1</v>
      </c>
      <c r="I12" s="2621">
        <v>1.7</v>
      </c>
      <c r="J12" s="2621">
        <v>1.92</v>
      </c>
      <c r="K12" s="2621">
        <v>1.64</v>
      </c>
      <c r="L12" s="2632">
        <v>2.0099999999999998</v>
      </c>
      <c r="M12" s="2625"/>
      <c r="N12" s="2626">
        <f t="shared" ref="N12:N17" si="79">I12/100</f>
        <v>1.7000000000000001E-2</v>
      </c>
      <c r="O12" s="2627">
        <f t="shared" ref="O12" si="80">J12/100</f>
        <v>1.9199999999999998E-2</v>
      </c>
      <c r="P12" s="2627">
        <f t="shared" ref="P12" si="81">K12/100</f>
        <v>1.6399999999999998E-2</v>
      </c>
      <c r="Q12" s="2627">
        <f t="shared" ref="Q12" si="82">L12/100</f>
        <v>2.0099999999999996E-2</v>
      </c>
      <c r="R12" s="2628"/>
      <c r="S12" s="2634">
        <f>B12/B13-1</f>
        <v>1.6999999999999904E-2</v>
      </c>
      <c r="T12" s="2635">
        <f>C12/C13-1</f>
        <v>1.9200000000000106E-2</v>
      </c>
      <c r="U12" s="2635">
        <f>E12/E13-1</f>
        <v>1.639999999999997E-2</v>
      </c>
      <c r="V12" s="2635">
        <f>F12/F13-1</f>
        <v>2.0100000000000007E-2</v>
      </c>
      <c r="W12" s="2625"/>
      <c r="X12" s="2716">
        <f>ROUND(SUMPRODUCT(PRODUCT(1+N12:N$27)),4)</f>
        <v>1.4517</v>
      </c>
      <c r="Y12" s="2716">
        <f>ROUND(SUMPRODUCT(PRODUCT(1+O12:O$27)),4)</f>
        <v>1.2928999999999999</v>
      </c>
      <c r="Z12" s="2716">
        <f t="shared" ref="Z12" si="83">Y12</f>
        <v>1.2928999999999999</v>
      </c>
      <c r="AA12" s="2716">
        <f>ROUND(SUMPRODUCT(PRODUCT(1+P12:P$27)),4)</f>
        <v>1.5068999999999999</v>
      </c>
      <c r="AB12" s="2716">
        <f>ROUND(SUMPRODUCT(PRODUCT(1+Q12:Q$27)),4)</f>
        <v>1.2557</v>
      </c>
      <c r="AC12" s="2625"/>
      <c r="AD12" s="2636">
        <f>ROUND(AVERAGE(I12:I$28)/100,4)</f>
        <v>2.4E-2</v>
      </c>
      <c r="AE12" s="2636">
        <f>ROUND(AVERAGE(J12:J$28)/100,4)</f>
        <v>1.66E-2</v>
      </c>
      <c r="AF12" s="2636">
        <f t="shared" ref="AF12" si="84">AE12</f>
        <v>1.66E-2</v>
      </c>
      <c r="AG12" s="2636">
        <f>ROUND(AVERAGE(K12:K$28)/100,4)</f>
        <v>2.6499999999999999E-2</v>
      </c>
      <c r="AH12" s="2636">
        <f>ROUND(AVERAGE(L12:L$28)/100,4)</f>
        <v>1.43E-2</v>
      </c>
    </row>
    <row r="13" spans="1:34">
      <c r="A13" s="2618" t="s">
        <v>2968</v>
      </c>
      <c r="B13" s="3093">
        <v>439</v>
      </c>
      <c r="C13" s="3093">
        <v>327</v>
      </c>
      <c r="D13" s="3093">
        <f t="shared" si="76"/>
        <v>327</v>
      </c>
      <c r="E13" s="3093">
        <v>627</v>
      </c>
      <c r="F13" s="3094">
        <v>283</v>
      </c>
      <c r="G13" s="3518">
        <v>2017</v>
      </c>
      <c r="H13" s="2619">
        <v>4</v>
      </c>
      <c r="I13" s="2619">
        <v>1.71</v>
      </c>
      <c r="J13" s="2619">
        <v>1.78</v>
      </c>
      <c r="K13" s="2619">
        <v>1.71</v>
      </c>
      <c r="L13" s="2620">
        <v>1.43</v>
      </c>
      <c r="N13" s="2639">
        <f t="shared" si="79"/>
        <v>1.7100000000000001E-2</v>
      </c>
      <c r="O13" s="2640">
        <f t="shared" ref="O13" si="85">J13/100</f>
        <v>1.78E-2</v>
      </c>
      <c r="P13" s="2640">
        <f t="shared" ref="P13" si="86">K13/100</f>
        <v>1.7100000000000001E-2</v>
      </c>
      <c r="Q13" s="2640">
        <f t="shared" ref="Q13" si="87">L13/100</f>
        <v>1.43E-2</v>
      </c>
      <c r="R13" s="2628"/>
      <c r="S13" s="2629"/>
      <c r="T13" s="2630"/>
      <c r="U13" s="2630"/>
      <c r="V13" s="2630"/>
      <c r="X13" s="2716">
        <f>ROUND(SUMPRODUCT(PRODUCT(1+N13:N$27)),4)</f>
        <v>1.4274</v>
      </c>
      <c r="Y13" s="2716">
        <f>ROUND(SUMPRODUCT(PRODUCT(1+O13:O$27)),4)</f>
        <v>1.2685</v>
      </c>
      <c r="Z13" s="2716">
        <f t="shared" si="0"/>
        <v>1.2685</v>
      </c>
      <c r="AA13" s="2716">
        <f>ROUND(SUMPRODUCT(PRODUCT(1+P13:P$27)),4)</f>
        <v>1.4825999999999999</v>
      </c>
      <c r="AB13" s="2716">
        <f>ROUND(SUMPRODUCT(PRODUCT(1+Q13:Q$27)),4)</f>
        <v>1.2309000000000001</v>
      </c>
      <c r="AD13" s="2636">
        <f>ROUND(AVERAGE(I13:I$28)/100,4)</f>
        <v>2.4500000000000001E-2</v>
      </c>
      <c r="AE13" s="2636">
        <f>ROUND(AVERAGE(J13:J$28)/100,4)</f>
        <v>1.6500000000000001E-2</v>
      </c>
      <c r="AF13" s="2636">
        <f t="shared" si="1"/>
        <v>1.6500000000000001E-2</v>
      </c>
      <c r="AG13" s="2636">
        <f>ROUND(AVERAGE(K13:K$28)/100,4)</f>
        <v>2.7099999999999999E-2</v>
      </c>
      <c r="AH13" s="2636">
        <f>ROUND(AVERAGE(L13:L$28)/100,4)</f>
        <v>1.3899999999999999E-2</v>
      </c>
    </row>
    <row r="14" spans="1:34" s="2723" customFormat="1" ht="14.45" customHeight="1">
      <c r="A14" s="2618" t="s">
        <v>2972</v>
      </c>
      <c r="B14" s="2631">
        <f t="shared" ref="B14:C16" si="88">B15*(1+N14)</f>
        <v>431.80730811680002</v>
      </c>
      <c r="C14" s="2631">
        <f t="shared" si="88"/>
        <v>320.57880516480003</v>
      </c>
      <c r="D14" s="2631">
        <f t="shared" si="76"/>
        <v>320.57880516480003</v>
      </c>
      <c r="E14" s="2631">
        <f t="shared" ref="E14:F16" si="89">E15*(1+P14)</f>
        <v>615.96110553196797</v>
      </c>
      <c r="F14" s="2631">
        <f t="shared" si="89"/>
        <v>279.46777300108801</v>
      </c>
      <c r="G14" s="3519"/>
      <c r="H14" s="2621">
        <v>3</v>
      </c>
      <c r="I14" s="2621">
        <v>2.98</v>
      </c>
      <c r="J14" s="2621">
        <v>2.11</v>
      </c>
      <c r="K14" s="2621">
        <v>3.24</v>
      </c>
      <c r="L14" s="2632">
        <v>1.72</v>
      </c>
      <c r="M14" s="2625"/>
      <c r="N14" s="2626">
        <f t="shared" si="79"/>
        <v>2.98E-2</v>
      </c>
      <c r="O14" s="2644">
        <f t="shared" ref="O14:O15" si="90">J14/100</f>
        <v>2.1099999999999997E-2</v>
      </c>
      <c r="P14" s="2644">
        <f t="shared" ref="P14:P15" si="91">K14/100</f>
        <v>3.2400000000000005E-2</v>
      </c>
      <c r="Q14" s="2644">
        <f t="shared" ref="Q14:Q15" si="92">L14/100</f>
        <v>1.72E-2</v>
      </c>
      <c r="R14" s="2628"/>
      <c r="S14" s="2626"/>
      <c r="T14" s="2627"/>
      <c r="U14" s="2627"/>
      <c r="V14" s="2627"/>
      <c r="W14" s="2625"/>
      <c r="X14" s="2716">
        <f>ROUND(SUMPRODUCT(PRODUCT(1+N14:N$27)),4)</f>
        <v>1.4034</v>
      </c>
      <c r="Y14" s="2716">
        <f>ROUND(SUMPRODUCT(PRODUCT(1+O14:O$27)),4)</f>
        <v>1.2463</v>
      </c>
      <c r="Z14" s="2716">
        <f t="shared" si="0"/>
        <v>1.2463</v>
      </c>
      <c r="AA14" s="2716">
        <f>ROUND(SUMPRODUCT(PRODUCT(1+P14:P$27)),4)</f>
        <v>1.4577</v>
      </c>
      <c r="AB14" s="2716">
        <f>ROUND(SUMPRODUCT(PRODUCT(1+Q14:Q$27)),4)</f>
        <v>1.2136</v>
      </c>
      <c r="AC14" s="2625"/>
      <c r="AD14" s="2636">
        <f>ROUND(AVERAGE(I14:I$28)/100,4)</f>
        <v>2.4899999999999999E-2</v>
      </c>
      <c r="AE14" s="2636">
        <f>ROUND(AVERAGE(J14:J$28)/100,4)</f>
        <v>1.6400000000000001E-2</v>
      </c>
      <c r="AF14" s="2636">
        <f t="shared" si="1"/>
        <v>1.6400000000000001E-2</v>
      </c>
      <c r="AG14" s="2636">
        <f>ROUND(AVERAGE(K14:K$28)/100,4)</f>
        <v>2.7799999999999998E-2</v>
      </c>
      <c r="AH14" s="2636">
        <f>ROUND(AVERAGE(L14:L$28)/100,4)</f>
        <v>1.3899999999999999E-2</v>
      </c>
    </row>
    <row r="15" spans="1:34" s="2616" customFormat="1" ht="14.45" customHeight="1">
      <c r="A15" s="2618" t="s">
        <v>2581</v>
      </c>
      <c r="B15" s="2631">
        <f t="shared" si="88"/>
        <v>419.31181600000002</v>
      </c>
      <c r="C15" s="2631">
        <f t="shared" si="88"/>
        <v>313.95436800000004</v>
      </c>
      <c r="D15" s="2631">
        <f t="shared" si="76"/>
        <v>313.95436800000004</v>
      </c>
      <c r="E15" s="2631">
        <f t="shared" si="89"/>
        <v>596.63028431999999</v>
      </c>
      <c r="F15" s="2631">
        <f t="shared" si="89"/>
        <v>274.74220703999998</v>
      </c>
      <c r="G15" s="3519"/>
      <c r="H15" s="2622">
        <v>2</v>
      </c>
      <c r="I15" s="2622">
        <v>3.4</v>
      </c>
      <c r="J15" s="2622">
        <v>2</v>
      </c>
      <c r="K15" s="2622">
        <v>3.82</v>
      </c>
      <c r="L15" s="2633">
        <v>1.68</v>
      </c>
      <c r="N15" s="2626">
        <f t="shared" si="79"/>
        <v>3.4000000000000002E-2</v>
      </c>
      <c r="O15" s="2644">
        <f t="shared" si="90"/>
        <v>0.02</v>
      </c>
      <c r="P15" s="2644">
        <f t="shared" si="91"/>
        <v>3.8199999999999998E-2</v>
      </c>
      <c r="Q15" s="2644">
        <f t="shared" si="92"/>
        <v>1.6799999999999999E-2</v>
      </c>
      <c r="R15" s="2617"/>
      <c r="S15" s="2626"/>
      <c r="T15" s="2627"/>
      <c r="U15" s="2627"/>
      <c r="V15" s="2627"/>
      <c r="X15" s="2716">
        <f>ROUND(SUMPRODUCT(PRODUCT(1+N15:N$27)),4)</f>
        <v>1.3628</v>
      </c>
      <c r="Y15" s="2716">
        <f>ROUND(SUMPRODUCT(PRODUCT(1+O15:O$27)),4)</f>
        <v>1.2205999999999999</v>
      </c>
      <c r="Z15" s="2716">
        <f t="shared" si="0"/>
        <v>1.2205999999999999</v>
      </c>
      <c r="AA15" s="2716">
        <f>ROUND(SUMPRODUCT(PRODUCT(1+P15:P$27)),4)</f>
        <v>1.4118999999999999</v>
      </c>
      <c r="AB15" s="2716">
        <f>ROUND(SUMPRODUCT(PRODUCT(1+Q15:Q$27)),4)</f>
        <v>1.1930000000000001</v>
      </c>
      <c r="AD15" s="2636">
        <f>ROUND(AVERAGE(I15:I$28)/100,4)</f>
        <v>2.46E-2</v>
      </c>
      <c r="AE15" s="2636">
        <f>ROUND(AVERAGE(J15:J$28)/100,4)</f>
        <v>1.6E-2</v>
      </c>
      <c r="AF15" s="2636">
        <f t="shared" si="1"/>
        <v>1.6E-2</v>
      </c>
      <c r="AG15" s="2636">
        <f>ROUND(AVERAGE(K15:K$28)/100,4)</f>
        <v>2.75E-2</v>
      </c>
      <c r="AH15" s="2636">
        <f>ROUND(AVERAGE(L15:L$28)/100,4)</f>
        <v>1.37E-2</v>
      </c>
    </row>
    <row r="16" spans="1:34" s="2723" customFormat="1" ht="15" customHeight="1" thickBot="1">
      <c r="A16" s="2618" t="s">
        <v>2582</v>
      </c>
      <c r="B16" s="2631">
        <f t="shared" si="88"/>
        <v>405.524</v>
      </c>
      <c r="C16" s="2631">
        <f t="shared" si="88"/>
        <v>307.79840000000002</v>
      </c>
      <c r="D16" s="2631">
        <f t="shared" si="76"/>
        <v>307.79840000000002</v>
      </c>
      <c r="E16" s="2631">
        <f t="shared" si="89"/>
        <v>574.67759999999998</v>
      </c>
      <c r="F16" s="2631">
        <f t="shared" si="89"/>
        <v>270.20280000000002</v>
      </c>
      <c r="G16" s="3520"/>
      <c r="H16" s="2621">
        <v>1</v>
      </c>
      <c r="I16" s="2621">
        <v>3.45</v>
      </c>
      <c r="J16" s="2621">
        <v>1.92</v>
      </c>
      <c r="K16" s="2621">
        <v>3.92</v>
      </c>
      <c r="L16" s="2632">
        <v>1.58</v>
      </c>
      <c r="M16" s="2625"/>
      <c r="N16" s="2634">
        <f t="shared" si="79"/>
        <v>3.4500000000000003E-2</v>
      </c>
      <c r="O16" s="2635">
        <f t="shared" ref="O16" si="93">J16/100</f>
        <v>1.9199999999999998E-2</v>
      </c>
      <c r="P16" s="2635">
        <f t="shared" ref="P16" si="94">K16/100</f>
        <v>3.9199999999999999E-2</v>
      </c>
      <c r="Q16" s="2635">
        <f t="shared" ref="Q16" si="95">L16/100</f>
        <v>1.5800000000000002E-2</v>
      </c>
      <c r="R16" s="2628"/>
      <c r="S16" s="2634">
        <f>B16/B17-1</f>
        <v>3.4499999999999975E-2</v>
      </c>
      <c r="T16" s="2635">
        <f>C16/C17-1</f>
        <v>1.9200000000000106E-2</v>
      </c>
      <c r="U16" s="2635">
        <f>E16/E17-1</f>
        <v>3.9199999999999902E-2</v>
      </c>
      <c r="V16" s="2635">
        <f>F16/F17-1</f>
        <v>1.5800000000000036E-2</v>
      </c>
      <c r="W16" s="2625"/>
      <c r="X16" s="2716">
        <f>ROUND(SUMPRODUCT(PRODUCT(1+N16:N$27)),4)</f>
        <v>1.3180000000000001</v>
      </c>
      <c r="Y16" s="2716">
        <f>ROUND(SUMPRODUCT(PRODUCT(1+O16:O$27)),4)</f>
        <v>1.1966000000000001</v>
      </c>
      <c r="Z16" s="2716">
        <f t="shared" si="0"/>
        <v>1.1966000000000001</v>
      </c>
      <c r="AA16" s="2716">
        <f>ROUND(SUMPRODUCT(PRODUCT(1+P16:P$27)),4)</f>
        <v>1.36</v>
      </c>
      <c r="AB16" s="2716">
        <f>ROUND(SUMPRODUCT(PRODUCT(1+Q16:Q$27)),4)</f>
        <v>1.1733</v>
      </c>
      <c r="AC16" s="2625"/>
      <c r="AD16" s="2636">
        <f>ROUND(AVERAGE(I16:I$28)/100,4)</f>
        <v>2.3900000000000001E-2</v>
      </c>
      <c r="AE16" s="2636">
        <f>ROUND(AVERAGE(J16:J$28)/100,4)</f>
        <v>1.5699999999999999E-2</v>
      </c>
      <c r="AF16" s="2636">
        <f t="shared" si="1"/>
        <v>1.5699999999999999E-2</v>
      </c>
      <c r="AG16" s="2636">
        <f>ROUND(AVERAGE(K16:K$28)/100,4)</f>
        <v>2.6599999999999999E-2</v>
      </c>
      <c r="AH16" s="2636">
        <f>ROUND(AVERAGE(L16:L$28)/100,4)</f>
        <v>1.34E-2</v>
      </c>
    </row>
    <row r="17" spans="1:34">
      <c r="A17" s="2618" t="s">
        <v>970</v>
      </c>
      <c r="B17" s="2623">
        <v>392</v>
      </c>
      <c r="C17" s="2623">
        <v>302</v>
      </c>
      <c r="D17" s="2623">
        <f t="shared" si="76"/>
        <v>302</v>
      </c>
      <c r="E17" s="2623">
        <v>553</v>
      </c>
      <c r="F17" s="2624">
        <v>266</v>
      </c>
      <c r="G17" s="3518">
        <v>2016</v>
      </c>
      <c r="H17" s="2619">
        <v>4</v>
      </c>
      <c r="I17" s="2619">
        <v>4.5599999999999996</v>
      </c>
      <c r="J17" s="2619">
        <v>2.15</v>
      </c>
      <c r="K17" s="2619">
        <v>5.32</v>
      </c>
      <c r="L17" s="2620">
        <v>1.57</v>
      </c>
      <c r="N17" s="2626">
        <f t="shared" si="79"/>
        <v>4.5599999999999995E-2</v>
      </c>
      <c r="O17" s="2627">
        <f t="shared" ref="O17:Q32" si="96">J17/100</f>
        <v>2.1499999999999998E-2</v>
      </c>
      <c r="P17" s="2627">
        <f t="shared" si="96"/>
        <v>5.3200000000000004E-2</v>
      </c>
      <c r="Q17" s="2627">
        <f t="shared" si="96"/>
        <v>1.5700000000000002E-2</v>
      </c>
      <c r="R17" s="2628"/>
      <c r="S17" s="2629"/>
      <c r="T17" s="2630"/>
      <c r="U17" s="2630"/>
      <c r="V17" s="2630"/>
      <c r="X17" s="2716">
        <f>ROUND(SUMPRODUCT(PRODUCT(1+N17:N$27)),4)</f>
        <v>1.274</v>
      </c>
      <c r="Y17" s="2716">
        <f>ROUND(SUMPRODUCT(PRODUCT(1+O17:O$27)),4)</f>
        <v>1.1740999999999999</v>
      </c>
      <c r="Z17" s="2716">
        <f t="shared" si="0"/>
        <v>1.1740999999999999</v>
      </c>
      <c r="AA17" s="2716">
        <f>ROUND(SUMPRODUCT(PRODUCT(1+P17:P$27)),4)</f>
        <v>1.3087</v>
      </c>
      <c r="AB17" s="2716">
        <f>ROUND(SUMPRODUCT(PRODUCT(1+Q17:Q$27)),4)</f>
        <v>1.1551</v>
      </c>
      <c r="AD17" s="2636">
        <f>ROUND(AVERAGE(I17:I$28)/100,4)</f>
        <v>2.3E-2</v>
      </c>
      <c r="AE17" s="2636">
        <f>ROUND(AVERAGE(J17:J$28)/100,4)</f>
        <v>1.55E-2</v>
      </c>
      <c r="AF17" s="2636">
        <f t="shared" si="1"/>
        <v>1.55E-2</v>
      </c>
      <c r="AG17" s="2636">
        <f>ROUND(AVERAGE(K17:K$28)/100,4)</f>
        <v>2.5600000000000001E-2</v>
      </c>
      <c r="AH17" s="2636">
        <f>ROUND(AVERAGE(L17:L$28)/100,4)</f>
        <v>1.32E-2</v>
      </c>
    </row>
    <row r="18" spans="1:34">
      <c r="A18" s="2618" t="s">
        <v>969</v>
      </c>
      <c r="B18" s="2631">
        <f t="shared" ref="B18:C20" si="97">B17/(1+N17)</f>
        <v>374.90436113236416</v>
      </c>
      <c r="C18" s="2631">
        <f t="shared" si="97"/>
        <v>295.64366128242779</v>
      </c>
      <c r="D18" s="2631">
        <f t="shared" ref="D18:D77" si="98">C18</f>
        <v>295.64366128242779</v>
      </c>
      <c r="E18" s="2631">
        <f t="shared" ref="E18:F20" si="99">E17/(1+P17)</f>
        <v>525.06646410938095</v>
      </c>
      <c r="F18" s="2631">
        <f t="shared" si="99"/>
        <v>261.88835286009646</v>
      </c>
      <c r="G18" s="3519"/>
      <c r="H18" s="2621">
        <v>3</v>
      </c>
      <c r="I18" s="2621">
        <v>4.12</v>
      </c>
      <c r="J18" s="2621">
        <v>2</v>
      </c>
      <c r="K18" s="2621">
        <v>4.79</v>
      </c>
      <c r="L18" s="2632">
        <v>1.97</v>
      </c>
      <c r="N18" s="2626">
        <f t="shared" ref="N18:Q52" si="100">I18/100</f>
        <v>4.1200000000000001E-2</v>
      </c>
      <c r="O18" s="2627">
        <f t="shared" si="96"/>
        <v>0.02</v>
      </c>
      <c r="P18" s="2627">
        <f t="shared" si="96"/>
        <v>4.7899999999999998E-2</v>
      </c>
      <c r="Q18" s="2627">
        <f t="shared" si="96"/>
        <v>1.9699999999999999E-2</v>
      </c>
      <c r="R18" s="2628"/>
      <c r="S18" s="2626"/>
      <c r="T18" s="2627"/>
      <c r="U18" s="2627"/>
      <c r="V18" s="2627"/>
      <c r="X18" s="2716">
        <f>ROUND(SUMPRODUCT(PRODUCT(1+N18:N$27)),4)</f>
        <v>1.2184999999999999</v>
      </c>
      <c r="Y18" s="2716">
        <f>ROUND(SUMPRODUCT(PRODUCT(1+O18:O$27)),4)</f>
        <v>1.1494</v>
      </c>
      <c r="Z18" s="2716">
        <f t="shared" si="0"/>
        <v>1.1494</v>
      </c>
      <c r="AA18" s="2716">
        <f>ROUND(SUMPRODUCT(PRODUCT(1+P18:P$27)),4)</f>
        <v>1.2425999999999999</v>
      </c>
      <c r="AB18" s="2716">
        <f>ROUND(SUMPRODUCT(PRODUCT(1+Q18:Q$27)),4)</f>
        <v>1.1372</v>
      </c>
      <c r="AD18" s="2636">
        <f>ROUND(AVERAGE(I18:I$28)/100,4)</f>
        <v>2.0899999999999998E-2</v>
      </c>
      <c r="AE18" s="2636">
        <f>ROUND(AVERAGE(J18:J$28)/100,4)</f>
        <v>1.49E-2</v>
      </c>
      <c r="AF18" s="2636">
        <f t="shared" si="1"/>
        <v>1.49E-2</v>
      </c>
      <c r="AG18" s="2636">
        <f>ROUND(AVERAGE(K18:K$28)/100,4)</f>
        <v>2.3099999999999999E-2</v>
      </c>
      <c r="AH18" s="2636">
        <f>ROUND(AVERAGE(L18:L$28)/100,4)</f>
        <v>1.2999999999999999E-2</v>
      </c>
    </row>
    <row r="19" spans="1:34">
      <c r="A19" s="2618" t="s">
        <v>959</v>
      </c>
      <c r="B19" s="2631">
        <f t="shared" si="97"/>
        <v>360.06949782209392</v>
      </c>
      <c r="C19" s="2631">
        <f t="shared" si="97"/>
        <v>289.84672674747821</v>
      </c>
      <c r="D19" s="2631">
        <f t="shared" si="98"/>
        <v>289.84672674747821</v>
      </c>
      <c r="E19" s="2631">
        <f t="shared" si="99"/>
        <v>501.06543001181495</v>
      </c>
      <c r="F19" s="2631">
        <f t="shared" si="99"/>
        <v>256.82882500744967</v>
      </c>
      <c r="G19" s="3519"/>
      <c r="H19" s="2622">
        <v>2</v>
      </c>
      <c r="I19" s="2622">
        <v>3.85</v>
      </c>
      <c r="J19" s="2622">
        <v>1.95</v>
      </c>
      <c r="K19" s="2622">
        <v>4.4800000000000004</v>
      </c>
      <c r="L19" s="2633">
        <v>1.41</v>
      </c>
      <c r="N19" s="2626">
        <f t="shared" si="100"/>
        <v>3.85E-2</v>
      </c>
      <c r="O19" s="2627">
        <f t="shared" si="96"/>
        <v>1.95E-2</v>
      </c>
      <c r="P19" s="2627">
        <f t="shared" si="96"/>
        <v>4.4800000000000006E-2</v>
      </c>
      <c r="Q19" s="2627">
        <f t="shared" si="96"/>
        <v>1.41E-2</v>
      </c>
      <c r="R19" s="2628"/>
      <c r="S19" s="2626"/>
      <c r="T19" s="2627"/>
      <c r="U19" s="2627"/>
      <c r="V19" s="2627"/>
      <c r="X19" s="2716">
        <f>ROUND(SUMPRODUCT(PRODUCT(1+N19:N$27)),4)</f>
        <v>1.1702999999999999</v>
      </c>
      <c r="Y19" s="2716">
        <f>ROUND(SUMPRODUCT(PRODUCT(1+O19:O$27)),4)</f>
        <v>1.1269</v>
      </c>
      <c r="Z19" s="2716">
        <f t="shared" si="0"/>
        <v>1.1269</v>
      </c>
      <c r="AA19" s="2716">
        <f>ROUND(SUMPRODUCT(PRODUCT(1+P19:P$27)),4)</f>
        <v>1.1858</v>
      </c>
      <c r="AB19" s="2716">
        <f>ROUND(SUMPRODUCT(PRODUCT(1+Q19:Q$27)),4)</f>
        <v>1.1152</v>
      </c>
      <c r="AD19" s="2636">
        <f>ROUND(AVERAGE(I19:I$28)/100,4)</f>
        <v>1.89E-2</v>
      </c>
      <c r="AE19" s="2636">
        <f>ROUND(AVERAGE(J19:J$28)/100,4)</f>
        <v>1.44E-2</v>
      </c>
      <c r="AF19" s="2636">
        <f t="shared" si="1"/>
        <v>1.44E-2</v>
      </c>
      <c r="AG19" s="2636">
        <f>ROUND(AVERAGE(K19:K$28)/100,4)</f>
        <v>2.06E-2</v>
      </c>
      <c r="AH19" s="2636">
        <f>ROUND(AVERAGE(L19:L$28)/100,4)</f>
        <v>1.23E-2</v>
      </c>
    </row>
    <row r="20" spans="1:34" ht="13.5" thickBot="1">
      <c r="A20" s="2618" t="s">
        <v>968</v>
      </c>
      <c r="B20" s="2631">
        <f t="shared" si="97"/>
        <v>346.720748986128</v>
      </c>
      <c r="C20" s="2631">
        <f t="shared" si="97"/>
        <v>284.30282172386285</v>
      </c>
      <c r="D20" s="2631">
        <f t="shared" si="98"/>
        <v>284.30282172386285</v>
      </c>
      <c r="E20" s="2631">
        <f t="shared" si="99"/>
        <v>479.58023546306947</v>
      </c>
      <c r="F20" s="2631">
        <f t="shared" si="99"/>
        <v>253.25788877571213</v>
      </c>
      <c r="G20" s="3522"/>
      <c r="H20" s="2621">
        <v>1</v>
      </c>
      <c r="I20" s="2621">
        <v>4.09</v>
      </c>
      <c r="J20" s="2621">
        <v>2.93</v>
      </c>
      <c r="K20" s="2621">
        <v>4.54</v>
      </c>
      <c r="L20" s="2632">
        <v>1.48</v>
      </c>
      <c r="N20" s="2626">
        <f t="shared" si="100"/>
        <v>4.0899999999999999E-2</v>
      </c>
      <c r="O20" s="2627">
        <f t="shared" si="96"/>
        <v>2.9300000000000003E-2</v>
      </c>
      <c r="P20" s="2627">
        <f t="shared" si="96"/>
        <v>4.5400000000000003E-2</v>
      </c>
      <c r="Q20" s="2627">
        <f t="shared" si="96"/>
        <v>1.4800000000000001E-2</v>
      </c>
      <c r="R20" s="2628"/>
      <c r="S20" s="2634">
        <f>B20/B21-1</f>
        <v>4.1203450408792808E-2</v>
      </c>
      <c r="T20" s="2635">
        <f>C20/C21-1</f>
        <v>2.6363977342465095E-2</v>
      </c>
      <c r="U20" s="2635">
        <f>E20/E21-1</f>
        <v>4.4837114298626357E-2</v>
      </c>
      <c r="V20" s="2635">
        <f>F20/F21-1</f>
        <v>1.7099954922538574E-2</v>
      </c>
      <c r="X20" s="2716">
        <f>ROUND(SUMPRODUCT(PRODUCT(1+N20:N$27)),4)</f>
        <v>1.1269</v>
      </c>
      <c r="Y20" s="2716">
        <f>ROUND(SUMPRODUCT(PRODUCT(1+O20:O$27)),4)</f>
        <v>1.1052999999999999</v>
      </c>
      <c r="Z20" s="2716">
        <f t="shared" si="0"/>
        <v>1.1052999999999999</v>
      </c>
      <c r="AA20" s="2716">
        <f>ROUND(SUMPRODUCT(PRODUCT(1+P20:P$27)),4)</f>
        <v>1.1349</v>
      </c>
      <c r="AB20" s="2716">
        <f>ROUND(SUMPRODUCT(PRODUCT(1+Q20:Q$27)),4)</f>
        <v>1.0996999999999999</v>
      </c>
      <c r="AD20" s="2636">
        <f>ROUND(AVERAGE(I20:I$28)/100,4)</f>
        <v>1.67E-2</v>
      </c>
      <c r="AE20" s="2636">
        <f>ROUND(AVERAGE(J20:J$28)/100,4)</f>
        <v>1.38E-2</v>
      </c>
      <c r="AF20" s="2636">
        <f t="shared" si="1"/>
        <v>1.38E-2</v>
      </c>
      <c r="AG20" s="2636">
        <f>ROUND(AVERAGE(K20:K$28)/100,4)</f>
        <v>1.7899999999999999E-2</v>
      </c>
      <c r="AH20" s="2636">
        <f>ROUND(AVERAGE(L20:L$28)/100,4)</f>
        <v>1.21E-2</v>
      </c>
    </row>
    <row r="21" spans="1:34" ht="13.5" thickBot="1">
      <c r="A21" s="2618" t="s">
        <v>967</v>
      </c>
      <c r="B21" s="2623">
        <v>333</v>
      </c>
      <c r="C21" s="2623">
        <v>277</v>
      </c>
      <c r="D21" s="2623">
        <f t="shared" si="98"/>
        <v>277</v>
      </c>
      <c r="E21" s="2623">
        <v>459</v>
      </c>
      <c r="F21" s="2624">
        <v>249</v>
      </c>
      <c r="G21" s="3521">
        <v>2015</v>
      </c>
      <c r="H21" s="2637">
        <v>4</v>
      </c>
      <c r="I21" s="2637">
        <v>1.63</v>
      </c>
      <c r="J21" s="2637">
        <v>1.1100000000000001</v>
      </c>
      <c r="K21" s="2637">
        <v>1.77</v>
      </c>
      <c r="L21" s="2638">
        <v>1.89</v>
      </c>
      <c r="N21" s="2639">
        <f t="shared" si="100"/>
        <v>1.6299999999999999E-2</v>
      </c>
      <c r="O21" s="2640">
        <f t="shared" si="96"/>
        <v>1.11E-2</v>
      </c>
      <c r="P21" s="2640">
        <f t="shared" si="96"/>
        <v>1.77E-2</v>
      </c>
      <c r="Q21" s="2640">
        <f t="shared" si="96"/>
        <v>1.89E-2</v>
      </c>
      <c r="R21" s="2628"/>
      <c r="X21" s="2716">
        <f>ROUND(SUMPRODUCT(PRODUCT(1+N21:N$27)),4)</f>
        <v>1.0826</v>
      </c>
      <c r="Y21" s="2716">
        <f>ROUND(SUMPRODUCT(PRODUCT(1+O21:O$27)),4)</f>
        <v>1.0738000000000001</v>
      </c>
      <c r="Z21" s="2716">
        <f t="shared" si="0"/>
        <v>1.0738000000000001</v>
      </c>
      <c r="AA21" s="2716">
        <f>ROUND(SUMPRODUCT(PRODUCT(1+P21:P$27)),4)</f>
        <v>1.0855999999999999</v>
      </c>
      <c r="AB21" s="2716">
        <f>ROUND(SUMPRODUCT(PRODUCT(1+Q21:Q$27)),4)</f>
        <v>1.0837000000000001</v>
      </c>
      <c r="AD21" s="2636">
        <f>ROUND(AVERAGE(I21:I$28)/100,4)</f>
        <v>1.37E-2</v>
      </c>
      <c r="AE21" s="2636">
        <f>ROUND(AVERAGE(J21:J$28)/100,4)</f>
        <v>1.1900000000000001E-2</v>
      </c>
      <c r="AF21" s="2636">
        <f t="shared" si="1"/>
        <v>1.1900000000000001E-2</v>
      </c>
      <c r="AG21" s="2636">
        <f>ROUND(AVERAGE(K21:K$28)/100,4)</f>
        <v>1.4500000000000001E-2</v>
      </c>
      <c r="AH21" s="2636">
        <f>ROUND(AVERAGE(L21:L$28)/100,4)</f>
        <v>1.18E-2</v>
      </c>
    </row>
    <row r="22" spans="1:34">
      <c r="A22" s="2618" t="s">
        <v>966</v>
      </c>
      <c r="B22" s="2631">
        <f t="shared" ref="B22:C24" si="101">B21/(1+N21)</f>
        <v>327.65915576109415</v>
      </c>
      <c r="C22" s="2631">
        <f t="shared" si="101"/>
        <v>273.95905449510434</v>
      </c>
      <c r="D22" s="2631">
        <f t="shared" si="98"/>
        <v>273.95905449510434</v>
      </c>
      <c r="E22" s="2631">
        <f t="shared" ref="E22:F24" si="102">E21/(1+P21)</f>
        <v>451.01699911565294</v>
      </c>
      <c r="F22" s="2631">
        <f t="shared" si="102"/>
        <v>244.38119540681129</v>
      </c>
      <c r="G22" s="3519"/>
      <c r="H22" s="2642">
        <v>3</v>
      </c>
      <c r="I22" s="2642">
        <v>1.65</v>
      </c>
      <c r="J22" s="2642">
        <v>0.92</v>
      </c>
      <c r="K22" s="2642">
        <v>1.88</v>
      </c>
      <c r="L22" s="2643">
        <v>1.26</v>
      </c>
      <c r="N22" s="2626">
        <f t="shared" si="100"/>
        <v>1.6500000000000001E-2</v>
      </c>
      <c r="O22" s="2644">
        <f t="shared" si="96"/>
        <v>9.1999999999999998E-3</v>
      </c>
      <c r="P22" s="2644">
        <f t="shared" si="96"/>
        <v>1.8799999999999997E-2</v>
      </c>
      <c r="Q22" s="2644">
        <f t="shared" si="96"/>
        <v>1.26E-2</v>
      </c>
      <c r="R22" s="2628"/>
      <c r="S22" s="2626"/>
      <c r="T22" s="2627"/>
      <c r="U22" s="2627"/>
      <c r="V22" s="2627"/>
      <c r="X22" s="2716">
        <f>ROUND(SUMPRODUCT(PRODUCT(1+N22:N$27)),4)</f>
        <v>1.0651999999999999</v>
      </c>
      <c r="Y22" s="2716">
        <f>ROUND(SUMPRODUCT(PRODUCT(1+O22:O$27)),4)</f>
        <v>1.0621</v>
      </c>
      <c r="Z22" s="2716">
        <f t="shared" si="0"/>
        <v>1.0621</v>
      </c>
      <c r="AA22" s="2716">
        <f>ROUND(SUMPRODUCT(PRODUCT(1+P22:P$27)),4)</f>
        <v>1.0668</v>
      </c>
      <c r="AB22" s="2716">
        <f>ROUND(SUMPRODUCT(PRODUCT(1+Q22:Q$27)),4)</f>
        <v>1.0636000000000001</v>
      </c>
      <c r="AD22" s="2636">
        <f>ROUND(AVERAGE(I22:I$28)/100,4)</f>
        <v>1.3299999999999999E-2</v>
      </c>
      <c r="AE22" s="2636">
        <f>ROUND(AVERAGE(J22:J$28)/100,4)</f>
        <v>1.2E-2</v>
      </c>
      <c r="AF22" s="2636">
        <f t="shared" si="1"/>
        <v>1.2E-2</v>
      </c>
      <c r="AG22" s="2636">
        <f>ROUND(AVERAGE(K22:K$28)/100,4)</f>
        <v>1.4E-2</v>
      </c>
      <c r="AH22" s="2636">
        <f>ROUND(AVERAGE(L22:L$28)/100,4)</f>
        <v>1.0800000000000001E-2</v>
      </c>
    </row>
    <row r="23" spans="1:34">
      <c r="A23" s="2618" t="s">
        <v>965</v>
      </c>
      <c r="B23" s="2631">
        <f t="shared" si="101"/>
        <v>322.34053690220776</v>
      </c>
      <c r="C23" s="2631">
        <f t="shared" si="101"/>
        <v>271.46160770422546</v>
      </c>
      <c r="D23" s="2631">
        <f t="shared" si="98"/>
        <v>271.46160770422546</v>
      </c>
      <c r="E23" s="2631">
        <f t="shared" si="102"/>
        <v>442.69434542172456</v>
      </c>
      <c r="F23" s="2631">
        <f t="shared" si="102"/>
        <v>241.34030753190925</v>
      </c>
      <c r="G23" s="3519"/>
      <c r="H23" s="2622">
        <v>2</v>
      </c>
      <c r="I23" s="2622">
        <v>0.77</v>
      </c>
      <c r="J23" s="2622">
        <v>0.69</v>
      </c>
      <c r="K23" s="2622">
        <v>0.8</v>
      </c>
      <c r="L23" s="2633">
        <v>0.88</v>
      </c>
      <c r="N23" s="2626">
        <f t="shared" si="100"/>
        <v>7.7000000000000002E-3</v>
      </c>
      <c r="O23" s="2644">
        <f t="shared" si="96"/>
        <v>6.8999999999999999E-3</v>
      </c>
      <c r="P23" s="2644">
        <f t="shared" si="96"/>
        <v>8.0000000000000002E-3</v>
      </c>
      <c r="Q23" s="2644">
        <f t="shared" si="96"/>
        <v>8.8000000000000005E-3</v>
      </c>
      <c r="R23" s="2628"/>
      <c r="S23" s="2626"/>
      <c r="T23" s="2627"/>
      <c r="U23" s="2627"/>
      <c r="V23" s="2627"/>
      <c r="X23" s="2716">
        <f>ROUND(SUMPRODUCT(PRODUCT(1+N23:N$27)),4)</f>
        <v>1.048</v>
      </c>
      <c r="Y23" s="2716">
        <f>ROUND(SUMPRODUCT(PRODUCT(1+O23:O$27)),4)</f>
        <v>1.0524</v>
      </c>
      <c r="Z23" s="2716">
        <f t="shared" si="0"/>
        <v>1.0524</v>
      </c>
      <c r="AA23" s="2716">
        <f>ROUND(SUMPRODUCT(PRODUCT(1+P23:P$27)),4)</f>
        <v>1.0470999999999999</v>
      </c>
      <c r="AB23" s="2716">
        <f>ROUND(SUMPRODUCT(PRODUCT(1+Q23:Q$27)),4)</f>
        <v>1.0504</v>
      </c>
      <c r="AD23" s="2636">
        <f>ROUND(AVERAGE(I23:I$28)/100,4)</f>
        <v>1.2800000000000001E-2</v>
      </c>
      <c r="AE23" s="2636">
        <f>ROUND(AVERAGE(J23:J$28)/100,4)</f>
        <v>1.2500000000000001E-2</v>
      </c>
      <c r="AF23" s="2636">
        <f t="shared" si="1"/>
        <v>1.2500000000000001E-2</v>
      </c>
      <c r="AG23" s="2636">
        <f>ROUND(AVERAGE(K23:K$28)/100,4)</f>
        <v>1.32E-2</v>
      </c>
      <c r="AH23" s="2636">
        <f>ROUND(AVERAGE(L23:L$28)/100,4)</f>
        <v>1.0500000000000001E-2</v>
      </c>
    </row>
    <row r="24" spans="1:34">
      <c r="A24" s="2618" t="s">
        <v>964</v>
      </c>
      <c r="B24" s="2631">
        <f t="shared" si="101"/>
        <v>319.87748030386797</v>
      </c>
      <c r="C24" s="2631">
        <f t="shared" si="101"/>
        <v>269.60135833173649</v>
      </c>
      <c r="D24" s="2631">
        <f t="shared" si="98"/>
        <v>269.60135833173649</v>
      </c>
      <c r="E24" s="2631">
        <f t="shared" si="102"/>
        <v>439.18089823583784</v>
      </c>
      <c r="F24" s="2631">
        <f t="shared" si="102"/>
        <v>239.23503918706311</v>
      </c>
      <c r="G24" s="3522"/>
      <c r="H24" s="2621">
        <v>1</v>
      </c>
      <c r="I24" s="2621">
        <v>0.51</v>
      </c>
      <c r="J24" s="2621">
        <v>0.54</v>
      </c>
      <c r="K24" s="2621">
        <v>0.48</v>
      </c>
      <c r="L24" s="2632">
        <v>0.93</v>
      </c>
      <c r="N24" s="2634">
        <f t="shared" si="100"/>
        <v>5.1000000000000004E-3</v>
      </c>
      <c r="O24" s="2635">
        <f t="shared" si="96"/>
        <v>5.4000000000000003E-3</v>
      </c>
      <c r="P24" s="2635">
        <f t="shared" si="96"/>
        <v>4.7999999999999996E-3</v>
      </c>
      <c r="Q24" s="2635">
        <f t="shared" si="96"/>
        <v>9.300000000000001E-3</v>
      </c>
      <c r="R24" s="2628"/>
      <c r="S24" s="2634">
        <f>B24/B25-1</f>
        <v>5.9040261127922822E-3</v>
      </c>
      <c r="T24" s="2635">
        <f>C24/C25-1</f>
        <v>5.9752176557332781E-3</v>
      </c>
      <c r="U24" s="2635">
        <f>E24/E25-1</f>
        <v>4.9906138119859556E-3</v>
      </c>
      <c r="V24" s="2635">
        <f>F24/F25-1</f>
        <v>9.4305450930933787E-3</v>
      </c>
      <c r="X24" s="2716">
        <f>ROUND(SUMPRODUCT(PRODUCT(1+N24:N$27)),4)</f>
        <v>1.0399</v>
      </c>
      <c r="Y24" s="2716">
        <f>ROUND(SUMPRODUCT(PRODUCT(1+O24:O$27)),4)</f>
        <v>1.0451999999999999</v>
      </c>
      <c r="Z24" s="2716">
        <f t="shared" si="0"/>
        <v>1.0451999999999999</v>
      </c>
      <c r="AA24" s="2716">
        <f>ROUND(SUMPRODUCT(PRODUCT(1+P24:P$27)),4)</f>
        <v>1.0387999999999999</v>
      </c>
      <c r="AB24" s="2716">
        <f>ROUND(SUMPRODUCT(PRODUCT(1+Q24:Q$27)),4)</f>
        <v>1.0411999999999999</v>
      </c>
      <c r="AD24" s="2636">
        <f>ROUND(AVERAGE(I24:I$28)/100,4)</f>
        <v>1.38E-2</v>
      </c>
      <c r="AE24" s="2636">
        <f>ROUND(AVERAGE(J24:J$28)/100,4)</f>
        <v>1.3599999999999999E-2</v>
      </c>
      <c r="AF24" s="2636">
        <f t="shared" si="1"/>
        <v>1.3599999999999999E-2</v>
      </c>
      <c r="AG24" s="2636">
        <f>ROUND(AVERAGE(K24:K$28)/100,4)</f>
        <v>1.4200000000000001E-2</v>
      </c>
      <c r="AH24" s="2636">
        <f>ROUND(AVERAGE(L24:L$28)/100,4)</f>
        <v>1.0800000000000001E-2</v>
      </c>
    </row>
    <row r="25" spans="1:34" ht="13.5" thickBot="1">
      <c r="A25" s="2618" t="s">
        <v>963</v>
      </c>
      <c r="B25" s="2645">
        <v>318</v>
      </c>
      <c r="C25" s="2645">
        <v>268</v>
      </c>
      <c r="D25" s="2645">
        <f t="shared" si="98"/>
        <v>268</v>
      </c>
      <c r="E25" s="2645">
        <v>437</v>
      </c>
      <c r="F25" s="2646">
        <v>237</v>
      </c>
      <c r="G25" s="3521">
        <v>2014</v>
      </c>
      <c r="H25" s="2637">
        <v>4</v>
      </c>
      <c r="I25" s="2637">
        <v>0.21</v>
      </c>
      <c r="J25" s="2637">
        <v>0.41</v>
      </c>
      <c r="K25" s="2637">
        <v>0.12</v>
      </c>
      <c r="L25" s="2638">
        <v>0.89</v>
      </c>
      <c r="N25" s="2626">
        <f t="shared" si="100"/>
        <v>2.0999999999999999E-3</v>
      </c>
      <c r="O25" s="2627">
        <f t="shared" si="96"/>
        <v>4.0999999999999995E-3</v>
      </c>
      <c r="P25" s="2627">
        <f t="shared" si="96"/>
        <v>1.1999999999999999E-3</v>
      </c>
      <c r="Q25" s="2627">
        <f t="shared" si="96"/>
        <v>8.8999999999999999E-3</v>
      </c>
      <c r="R25" s="2628"/>
      <c r="S25" s="2629"/>
      <c r="T25" s="2630"/>
      <c r="U25" s="2630"/>
      <c r="V25" s="2630"/>
      <c r="X25" s="2716">
        <f>ROUND(SUMPRODUCT(PRODUCT(1+N25:N$27)),4)</f>
        <v>1.0347</v>
      </c>
      <c r="Y25" s="2716">
        <f>ROUND(SUMPRODUCT(PRODUCT(1+O25:O$27)),4)</f>
        <v>1.0395000000000001</v>
      </c>
      <c r="Z25" s="2716">
        <f t="shared" si="0"/>
        <v>1.0395000000000001</v>
      </c>
      <c r="AA25" s="2716">
        <f>ROUND(SUMPRODUCT(PRODUCT(1+P25:P$27)),4)</f>
        <v>1.0338000000000001</v>
      </c>
      <c r="AB25" s="2716">
        <f>ROUND(SUMPRODUCT(PRODUCT(1+Q25:Q$27)),4)</f>
        <v>1.0316000000000001</v>
      </c>
      <c r="AD25" s="2636">
        <f>ROUND(AVERAGE(I25:I$28)/100,4)</f>
        <v>1.6E-2</v>
      </c>
      <c r="AE25" s="2636">
        <f>ROUND(AVERAGE(J25:J$28)/100,4)</f>
        <v>1.5599999999999999E-2</v>
      </c>
      <c r="AF25" s="2636">
        <f t="shared" si="1"/>
        <v>1.5599999999999999E-2</v>
      </c>
      <c r="AG25" s="2636">
        <f>ROUND(AVERAGE(K25:K$28)/100,4)</f>
        <v>1.66E-2</v>
      </c>
      <c r="AH25" s="2636">
        <f>ROUND(AVERAGE(L25:L$28)/100,4)</f>
        <v>1.12E-2</v>
      </c>
    </row>
    <row r="26" spans="1:34">
      <c r="A26" s="2618" t="s">
        <v>962</v>
      </c>
      <c r="B26" s="2631">
        <f t="shared" ref="B26:C28" si="103">B25/(1+N25)</f>
        <v>317.33359944117353</v>
      </c>
      <c r="C26" s="2631">
        <f t="shared" si="103"/>
        <v>266.90568668459315</v>
      </c>
      <c r="D26" s="2631">
        <f t="shared" si="98"/>
        <v>266.90568668459315</v>
      </c>
      <c r="E26" s="2631">
        <f t="shared" ref="E26:F28" si="104">E25/(1+P25)</f>
        <v>436.47622852576905</v>
      </c>
      <c r="F26" s="2631">
        <f t="shared" si="104"/>
        <v>234.90930716622066</v>
      </c>
      <c r="G26" s="3519"/>
      <c r="H26" s="2647">
        <v>3</v>
      </c>
      <c r="I26" s="2647">
        <v>0.83</v>
      </c>
      <c r="J26" s="2647">
        <v>1.47</v>
      </c>
      <c r="K26" s="2647">
        <v>0.65</v>
      </c>
      <c r="L26" s="2648">
        <v>0.72</v>
      </c>
      <c r="N26" s="2626">
        <f t="shared" si="100"/>
        <v>8.3000000000000001E-3</v>
      </c>
      <c r="O26" s="2627">
        <f t="shared" si="96"/>
        <v>1.47E-2</v>
      </c>
      <c r="P26" s="2627">
        <f t="shared" si="96"/>
        <v>6.5000000000000006E-3</v>
      </c>
      <c r="Q26" s="2627">
        <f t="shared" si="96"/>
        <v>7.1999999999999998E-3</v>
      </c>
      <c r="R26" s="2628"/>
      <c r="S26" s="2626"/>
      <c r="T26" s="2627"/>
      <c r="U26" s="2627"/>
      <c r="V26" s="2627"/>
      <c r="X26" s="2716">
        <f>ROUND(SUMPRODUCT(PRODUCT(1+N26:N$27)),4)</f>
        <v>1.0325</v>
      </c>
      <c r="Y26" s="2716">
        <f>ROUND(SUMPRODUCT(PRODUCT(1+O26:O$27)),4)</f>
        <v>1.0353000000000001</v>
      </c>
      <c r="Z26" s="2716">
        <f t="shared" ref="Z26:Z27" si="105">Y26</f>
        <v>1.0353000000000001</v>
      </c>
      <c r="AA26" s="2716">
        <f>ROUND(SUMPRODUCT(PRODUCT(1+P26:P$27)),4)</f>
        <v>1.0326</v>
      </c>
      <c r="AB26" s="2716">
        <f>ROUND(SUMPRODUCT(PRODUCT(1+Q26:Q$27)),4)</f>
        <v>1.0225</v>
      </c>
      <c r="AD26" s="2636">
        <f>ROUND(AVERAGE(I26:I$28)/100,4)</f>
        <v>2.07E-2</v>
      </c>
      <c r="AE26" s="2636">
        <f>ROUND(AVERAGE(J26:J$28)/100,4)</f>
        <v>1.95E-2</v>
      </c>
      <c r="AF26" s="2636">
        <f t="shared" si="1"/>
        <v>1.95E-2</v>
      </c>
      <c r="AG26" s="2636">
        <f>ROUND(AVERAGE(K26:K$28)/100,4)</f>
        <v>2.1700000000000001E-2</v>
      </c>
      <c r="AH26" s="2636">
        <f>ROUND(AVERAGE(L26:L$28)/100,4)</f>
        <v>1.2E-2</v>
      </c>
    </row>
    <row r="27" spans="1:34" ht="13.5" thickBot="1">
      <c r="A27" s="2618" t="s">
        <v>961</v>
      </c>
      <c r="B27" s="2631">
        <f t="shared" si="103"/>
        <v>314.72141172386546</v>
      </c>
      <c r="C27" s="2631">
        <f t="shared" si="103"/>
        <v>263.03901319069001</v>
      </c>
      <c r="D27" s="2631">
        <f t="shared" si="98"/>
        <v>263.03901319069001</v>
      </c>
      <c r="E27" s="2631">
        <f t="shared" si="104"/>
        <v>433.65745506782821</v>
      </c>
      <c r="F27" s="2631">
        <f t="shared" si="104"/>
        <v>233.23005080045735</v>
      </c>
      <c r="G27" s="3519"/>
      <c r="H27" s="2637">
        <v>2</v>
      </c>
      <c r="I27" s="2637">
        <v>2.4</v>
      </c>
      <c r="J27" s="2637">
        <v>2.0299999999999998</v>
      </c>
      <c r="K27" s="2637">
        <v>2.59</v>
      </c>
      <c r="L27" s="2638">
        <v>1.52</v>
      </c>
      <c r="N27" s="2626">
        <f t="shared" si="100"/>
        <v>2.4E-2</v>
      </c>
      <c r="O27" s="2627">
        <f t="shared" si="96"/>
        <v>2.0299999999999999E-2</v>
      </c>
      <c r="P27" s="2627">
        <f t="shared" si="96"/>
        <v>2.5899999999999999E-2</v>
      </c>
      <c r="Q27" s="2627">
        <f t="shared" si="96"/>
        <v>1.52E-2</v>
      </c>
      <c r="R27" s="2628"/>
      <c r="S27" s="2626"/>
      <c r="T27" s="2627"/>
      <c r="U27" s="2627"/>
      <c r="V27" s="2627"/>
      <c r="X27" s="2716">
        <f>1+N27</f>
        <v>1.024</v>
      </c>
      <c r="Y27" s="2716">
        <f>1+O27</f>
        <v>1.0203</v>
      </c>
      <c r="Z27" s="2716">
        <f t="shared" si="105"/>
        <v>1.0203</v>
      </c>
      <c r="AA27" s="2716">
        <f>1+P27</f>
        <v>1.0259</v>
      </c>
      <c r="AB27" s="2716">
        <f>1+Q27</f>
        <v>1.0152000000000001</v>
      </c>
      <c r="AD27" s="2636">
        <f>ROUND(AVERAGE(I27:I$28)/100,4)</f>
        <v>2.69E-2</v>
      </c>
      <c r="AE27" s="2636">
        <f>ROUND(AVERAGE(J27:J$28)/100,4)</f>
        <v>2.1899999999999999E-2</v>
      </c>
      <c r="AF27" s="2636">
        <f t="shared" ref="AF27" si="106">AE27</f>
        <v>2.1899999999999999E-2</v>
      </c>
      <c r="AG27" s="2636">
        <f>ROUND(AVERAGE(K27:K$28)/100,4)</f>
        <v>2.9399999999999999E-2</v>
      </c>
      <c r="AH27" s="2636">
        <f>ROUND(AVERAGE(L27:L$28)/100,4)</f>
        <v>1.44E-2</v>
      </c>
    </row>
    <row r="28" spans="1:34" s="2653" customFormat="1" ht="13.5" thickBot="1">
      <c r="A28" s="2649" t="s">
        <v>960</v>
      </c>
      <c r="B28" s="2650">
        <f t="shared" si="103"/>
        <v>307.34512863658733</v>
      </c>
      <c r="C28" s="2650">
        <f t="shared" si="103"/>
        <v>257.80556031626975</v>
      </c>
      <c r="D28" s="2650">
        <f t="shared" si="98"/>
        <v>257.80556031626975</v>
      </c>
      <c r="E28" s="2650">
        <f t="shared" si="104"/>
        <v>422.70928459677179</v>
      </c>
      <c r="F28" s="2650">
        <f t="shared" si="104"/>
        <v>229.73803270336617</v>
      </c>
      <c r="G28" s="3522"/>
      <c r="H28" s="2651">
        <v>1</v>
      </c>
      <c r="I28" s="2651">
        <v>2.97</v>
      </c>
      <c r="J28" s="2651">
        <v>2.34</v>
      </c>
      <c r="K28" s="2651">
        <v>3.28</v>
      </c>
      <c r="L28" s="2652">
        <v>1.36</v>
      </c>
      <c r="N28" s="2654">
        <f t="shared" si="100"/>
        <v>2.9700000000000001E-2</v>
      </c>
      <c r="O28" s="2655">
        <f t="shared" si="96"/>
        <v>2.3399999999999997E-2</v>
      </c>
      <c r="P28" s="2655">
        <f t="shared" si="96"/>
        <v>3.2799999999999996E-2</v>
      </c>
      <c r="Q28" s="2655">
        <f t="shared" si="96"/>
        <v>1.3600000000000001E-2</v>
      </c>
      <c r="R28" s="2656"/>
      <c r="S28" s="2657">
        <f>B28/B29-1</f>
        <v>2.7910129219355539E-2</v>
      </c>
      <c r="T28" s="2658">
        <f>C28/C29-1</f>
        <v>2.3037937762975247E-2</v>
      </c>
      <c r="U28" s="2658">
        <f>E28/E29-1</f>
        <v>3.3519033243940788E-2</v>
      </c>
      <c r="V28" s="2658">
        <f>F28/F29-1</f>
        <v>1.2061818076502862E-2</v>
      </c>
      <c r="W28" s="2725" t="s">
        <v>2640</v>
      </c>
      <c r="X28" s="2727">
        <v>1</v>
      </c>
      <c r="Y28" s="2727">
        <v>1</v>
      </c>
      <c r="Z28" s="2727">
        <v>1</v>
      </c>
      <c r="AA28" s="2727">
        <v>1</v>
      </c>
      <c r="AB28" s="2727">
        <v>1</v>
      </c>
      <c r="AD28" s="2960">
        <f>I28/100</f>
        <v>2.9700000000000001E-2</v>
      </c>
      <c r="AE28" s="2960">
        <f>J28/100</f>
        <v>2.3399999999999997E-2</v>
      </c>
      <c r="AF28" s="2960">
        <f>AE28</f>
        <v>2.3399999999999997E-2</v>
      </c>
      <c r="AG28" s="2960">
        <f>K28/100</f>
        <v>3.2799999999999996E-2</v>
      </c>
      <c r="AH28" s="2960">
        <f>L28/100</f>
        <v>1.3600000000000001E-2</v>
      </c>
    </row>
    <row r="29" spans="1:34" ht="13.5" thickBot="1">
      <c r="A29" s="2618" t="s">
        <v>2583</v>
      </c>
      <c r="B29" s="2623">
        <v>299</v>
      </c>
      <c r="C29" s="2623">
        <v>252</v>
      </c>
      <c r="D29" s="2623">
        <f t="shared" si="98"/>
        <v>252</v>
      </c>
      <c r="E29" s="2623">
        <v>409</v>
      </c>
      <c r="F29" s="2624">
        <v>227</v>
      </c>
      <c r="G29" s="3526">
        <v>2013</v>
      </c>
      <c r="H29" s="2659">
        <v>4</v>
      </c>
      <c r="I29" s="2659">
        <v>1.83</v>
      </c>
      <c r="J29" s="2659">
        <v>1.68</v>
      </c>
      <c r="K29" s="2659">
        <v>1.97</v>
      </c>
      <c r="L29" s="2660">
        <v>0.87</v>
      </c>
      <c r="N29" s="2639">
        <f t="shared" si="100"/>
        <v>1.83E-2</v>
      </c>
      <c r="O29" s="2640">
        <f t="shared" si="96"/>
        <v>1.6799999999999999E-2</v>
      </c>
      <c r="P29" s="2640">
        <f t="shared" si="96"/>
        <v>1.9699999999999999E-2</v>
      </c>
      <c r="Q29" s="2640">
        <f t="shared" si="96"/>
        <v>8.6999999999999994E-3</v>
      </c>
      <c r="R29" s="2628"/>
      <c r="S29" s="2629"/>
      <c r="T29" s="2630"/>
      <c r="U29" s="2630"/>
      <c r="V29" s="2630"/>
      <c r="X29" s="2630"/>
      <c r="Y29" s="2630"/>
      <c r="Z29" s="2630"/>
    </row>
    <row r="30" spans="1:34">
      <c r="A30" s="2618" t="s">
        <v>2584</v>
      </c>
      <c r="B30" s="2631">
        <f t="shared" ref="B30:C32" si="107">B29/(1+N29)</f>
        <v>293.62663262299913</v>
      </c>
      <c r="C30" s="2631">
        <f t="shared" si="107"/>
        <v>247.83634933123525</v>
      </c>
      <c r="D30" s="2631">
        <f t="shared" si="98"/>
        <v>247.83634933123525</v>
      </c>
      <c r="E30" s="2631">
        <f t="shared" ref="E30:F32" si="108">E29/(1+P29)</f>
        <v>401.09836226341076</v>
      </c>
      <c r="F30" s="2631">
        <f t="shared" si="108"/>
        <v>225.04213343908003</v>
      </c>
      <c r="G30" s="3527"/>
      <c r="H30" s="2642">
        <v>3</v>
      </c>
      <c r="I30" s="2642">
        <v>1.86</v>
      </c>
      <c r="J30" s="2642">
        <v>1.72</v>
      </c>
      <c r="K30" s="2642">
        <v>1.98</v>
      </c>
      <c r="L30" s="2643">
        <v>0.88</v>
      </c>
      <c r="N30" s="2626">
        <f t="shared" si="100"/>
        <v>1.8600000000000002E-2</v>
      </c>
      <c r="O30" s="2644">
        <f t="shared" si="96"/>
        <v>1.72E-2</v>
      </c>
      <c r="P30" s="2644">
        <f t="shared" si="96"/>
        <v>1.9799999999999998E-2</v>
      </c>
      <c r="Q30" s="2644">
        <f t="shared" si="96"/>
        <v>8.8000000000000005E-3</v>
      </c>
      <c r="R30" s="2628"/>
      <c r="S30" s="2626"/>
      <c r="T30" s="2627"/>
      <c r="U30" s="2627"/>
      <c r="V30" s="2627"/>
    </row>
    <row r="31" spans="1:34">
      <c r="A31" s="2618" t="s">
        <v>2585</v>
      </c>
      <c r="B31" s="2631">
        <f t="shared" si="107"/>
        <v>288.2649053828776</v>
      </c>
      <c r="C31" s="2631">
        <f t="shared" si="107"/>
        <v>243.64564425013293</v>
      </c>
      <c r="D31" s="2631">
        <f t="shared" si="98"/>
        <v>243.64564425013293</v>
      </c>
      <c r="E31" s="2631">
        <f t="shared" si="108"/>
        <v>393.31080825986544</v>
      </c>
      <c r="F31" s="2631">
        <f t="shared" si="108"/>
        <v>223.07903790551154</v>
      </c>
      <c r="G31" s="3527"/>
      <c r="H31" s="2622">
        <v>2</v>
      </c>
      <c r="I31" s="2622">
        <v>2.04</v>
      </c>
      <c r="J31" s="2622">
        <v>2.33</v>
      </c>
      <c r="K31" s="2622">
        <v>2.0699999999999998</v>
      </c>
      <c r="L31" s="2633">
        <v>0.69</v>
      </c>
      <c r="N31" s="2626">
        <f t="shared" si="100"/>
        <v>2.0400000000000001E-2</v>
      </c>
      <c r="O31" s="2644">
        <f t="shared" si="96"/>
        <v>2.3300000000000001E-2</v>
      </c>
      <c r="P31" s="2644">
        <f t="shared" si="96"/>
        <v>2.07E-2</v>
      </c>
      <c r="Q31" s="2644">
        <f t="shared" si="96"/>
        <v>6.8999999999999999E-3</v>
      </c>
      <c r="R31" s="2628"/>
      <c r="S31" s="2626"/>
      <c r="T31" s="2627"/>
      <c r="U31" s="2627"/>
      <c r="V31" s="2627"/>
      <c r="X31" s="2728"/>
      <c r="Y31" s="2730"/>
    </row>
    <row r="32" spans="1:34">
      <c r="A32" s="2618" t="s">
        <v>2586</v>
      </c>
      <c r="B32" s="2631">
        <f t="shared" si="107"/>
        <v>282.50186729015837</v>
      </c>
      <c r="C32" s="2631">
        <f t="shared" si="107"/>
        <v>238.09796174155468</v>
      </c>
      <c r="D32" s="2631">
        <f t="shared" si="98"/>
        <v>238.09796174155468</v>
      </c>
      <c r="E32" s="2631">
        <f t="shared" si="108"/>
        <v>385.33438646014054</v>
      </c>
      <c r="F32" s="2631">
        <f t="shared" si="108"/>
        <v>221.55034055567739</v>
      </c>
      <c r="G32" s="3528"/>
      <c r="H32" s="2621">
        <v>1</v>
      </c>
      <c r="I32" s="2621">
        <v>1.67</v>
      </c>
      <c r="J32" s="2621">
        <v>1.31</v>
      </c>
      <c r="K32" s="2621">
        <v>1.85</v>
      </c>
      <c r="L32" s="2632">
        <v>0.96</v>
      </c>
      <c r="N32" s="2634">
        <f t="shared" si="100"/>
        <v>1.67E-2</v>
      </c>
      <c r="O32" s="2635">
        <f t="shared" si="96"/>
        <v>1.3100000000000001E-2</v>
      </c>
      <c r="P32" s="2635">
        <f t="shared" si="96"/>
        <v>1.8500000000000003E-2</v>
      </c>
      <c r="Q32" s="2635">
        <f t="shared" si="96"/>
        <v>9.5999999999999992E-3</v>
      </c>
      <c r="R32" s="2628"/>
      <c r="S32" s="2634">
        <f>B32/B33-1</f>
        <v>1.6193767230785472E-2</v>
      </c>
      <c r="T32" s="2635">
        <f>C32/C33-1</f>
        <v>1.7512657015190891E-2</v>
      </c>
      <c r="U32" s="2635">
        <f>E32/E33-1</f>
        <v>1.6713420739157048E-2</v>
      </c>
      <c r="V32" s="2635">
        <f>F32/F33-1</f>
        <v>7.0470025258062563E-3</v>
      </c>
      <c r="X32" s="2729"/>
      <c r="Y32" s="2636"/>
      <c r="Z32" s="2636"/>
    </row>
    <row r="33" spans="1:26" ht="13.5" thickBot="1">
      <c r="A33" s="2618" t="s">
        <v>2587</v>
      </c>
      <c r="B33" s="2661">
        <v>278</v>
      </c>
      <c r="C33" s="2661">
        <v>234</v>
      </c>
      <c r="D33" s="2661">
        <f t="shared" si="98"/>
        <v>234</v>
      </c>
      <c r="E33" s="2661">
        <v>379</v>
      </c>
      <c r="F33" s="2662">
        <v>220</v>
      </c>
      <c r="G33" s="3521">
        <v>2012</v>
      </c>
      <c r="H33" s="2637">
        <v>4</v>
      </c>
      <c r="I33" s="2637">
        <v>0.91</v>
      </c>
      <c r="J33" s="2637">
        <v>0.68</v>
      </c>
      <c r="K33" s="2637">
        <v>0.98</v>
      </c>
      <c r="L33" s="2638">
        <v>0.9</v>
      </c>
      <c r="N33" s="2626">
        <f t="shared" si="100"/>
        <v>9.1000000000000004E-3</v>
      </c>
      <c r="O33" s="2627">
        <f t="shared" si="100"/>
        <v>6.8000000000000005E-3</v>
      </c>
      <c r="P33" s="2627">
        <f t="shared" si="100"/>
        <v>9.7999999999999997E-3</v>
      </c>
      <c r="Q33" s="2627">
        <f t="shared" si="100"/>
        <v>9.0000000000000011E-3</v>
      </c>
      <c r="R33" s="2628"/>
      <c r="S33" s="2629"/>
      <c r="T33" s="2630"/>
      <c r="U33" s="2630"/>
      <c r="V33" s="2630"/>
      <c r="X33" s="2630"/>
      <c r="Y33" s="2630"/>
      <c r="Z33" s="2630"/>
    </row>
    <row r="34" spans="1:26">
      <c r="A34" s="2618" t="s">
        <v>2588</v>
      </c>
      <c r="B34" s="2631">
        <f>B33/(1+N33)</f>
        <v>275.49301357645425</v>
      </c>
      <c r="C34" s="2631">
        <f>C33/(1+O33)</f>
        <v>232.41954707985698</v>
      </c>
      <c r="D34" s="2631">
        <f t="shared" si="98"/>
        <v>232.41954707985698</v>
      </c>
      <c r="E34" s="2631">
        <f t="shared" ref="E34:F36" si="109">E33/(1+P33)</f>
        <v>375.32184591008121</v>
      </c>
      <c r="F34" s="2631">
        <f t="shared" si="109"/>
        <v>218.03766105054513</v>
      </c>
      <c r="G34" s="3519"/>
      <c r="H34" s="2642">
        <v>3</v>
      </c>
      <c r="I34" s="2642">
        <v>0.09</v>
      </c>
      <c r="J34" s="2642">
        <v>0.28999999999999998</v>
      </c>
      <c r="K34" s="2642">
        <v>-0.01</v>
      </c>
      <c r="L34" s="2643">
        <v>0.57999999999999996</v>
      </c>
      <c r="N34" s="2626">
        <f t="shared" si="100"/>
        <v>8.9999999999999998E-4</v>
      </c>
      <c r="O34" s="2627">
        <f t="shared" si="100"/>
        <v>2.8999999999999998E-3</v>
      </c>
      <c r="P34" s="2627">
        <f t="shared" si="100"/>
        <v>-1E-4</v>
      </c>
      <c r="Q34" s="2627">
        <f t="shared" si="100"/>
        <v>5.7999999999999996E-3</v>
      </c>
      <c r="R34" s="2628"/>
      <c r="S34" s="2626"/>
      <c r="T34" s="2627"/>
      <c r="U34" s="2627"/>
      <c r="V34" s="2627"/>
    </row>
    <row r="35" spans="1:26">
      <c r="A35" s="2618" t="s">
        <v>2589</v>
      </c>
      <c r="B35" s="2631">
        <f>B34/(1+N34)</f>
        <v>275.24529281292263</v>
      </c>
      <c r="C35" s="2631">
        <f>C34/(1+O34)</f>
        <v>231.74747938962707</v>
      </c>
      <c r="D35" s="2631">
        <f t="shared" si="98"/>
        <v>231.74747938962707</v>
      </c>
      <c r="E35" s="2631">
        <f t="shared" si="109"/>
        <v>375.35938184826603</v>
      </c>
      <c r="F35" s="2631">
        <f t="shared" si="109"/>
        <v>216.78033510692495</v>
      </c>
      <c r="G35" s="3519"/>
      <c r="H35" s="2622">
        <v>2</v>
      </c>
      <c r="I35" s="2622">
        <v>0.02</v>
      </c>
      <c r="J35" s="2622">
        <v>0.12</v>
      </c>
      <c r="K35" s="2622">
        <v>-0.08</v>
      </c>
      <c r="L35" s="2633">
        <v>1.24</v>
      </c>
      <c r="N35" s="2626">
        <f t="shared" si="100"/>
        <v>2.0000000000000001E-4</v>
      </c>
      <c r="O35" s="2627">
        <f t="shared" si="100"/>
        <v>1.1999999999999999E-3</v>
      </c>
      <c r="P35" s="2627">
        <f t="shared" si="100"/>
        <v>-8.0000000000000004E-4</v>
      </c>
      <c r="Q35" s="2627">
        <f t="shared" si="100"/>
        <v>1.24E-2</v>
      </c>
      <c r="R35" s="2628"/>
      <c r="S35" s="2626"/>
      <c r="T35" s="2627"/>
      <c r="U35" s="2627"/>
      <c r="V35" s="2627"/>
    </row>
    <row r="36" spans="1:26" ht="13.5" thickBot="1">
      <c r="A36" s="2618" t="s">
        <v>2590</v>
      </c>
      <c r="B36" s="2631">
        <f>B35/(1+N35)</f>
        <v>275.19025476197027</v>
      </c>
      <c r="C36" s="2663">
        <v>232</v>
      </c>
      <c r="D36" s="2663">
        <f t="shared" si="98"/>
        <v>232</v>
      </c>
      <c r="E36" s="2631">
        <f t="shared" si="109"/>
        <v>375.65990977608692</v>
      </c>
      <c r="F36" s="2631">
        <f t="shared" si="109"/>
        <v>214.12518283971252</v>
      </c>
      <c r="G36" s="3522"/>
      <c r="H36" s="2621">
        <v>1</v>
      </c>
      <c r="I36" s="2621">
        <v>0.02</v>
      </c>
      <c r="J36" s="2621">
        <v>0.13</v>
      </c>
      <c r="K36" s="2621">
        <v>-0.04</v>
      </c>
      <c r="L36" s="2632">
        <v>0.46</v>
      </c>
      <c r="N36" s="2626">
        <f t="shared" si="100"/>
        <v>2.0000000000000001E-4</v>
      </c>
      <c r="O36" s="2627">
        <f t="shared" si="100"/>
        <v>1.2999999999999999E-3</v>
      </c>
      <c r="P36" s="2627">
        <f t="shared" si="100"/>
        <v>-4.0000000000000002E-4</v>
      </c>
      <c r="Q36" s="2627">
        <f t="shared" si="100"/>
        <v>4.5999999999999999E-3</v>
      </c>
      <c r="R36" s="2628"/>
      <c r="S36" s="2634">
        <f>B36/B37-1</f>
        <v>6.9183549807361189E-4</v>
      </c>
      <c r="T36" s="2635">
        <f>C36/C37-1</f>
        <v>0</v>
      </c>
      <c r="U36" s="2635">
        <f>E36/E37-1</f>
        <v>-9.0449527636460303E-4</v>
      </c>
      <c r="V36" s="2635">
        <f>F36/F37-1</f>
        <v>5.2825485432512753E-3</v>
      </c>
      <c r="X36" s="2636"/>
      <c r="Y36" s="2636"/>
      <c r="Z36" s="2636"/>
    </row>
    <row r="37" spans="1:26" ht="13.5" thickBot="1">
      <c r="A37" s="2618" t="s">
        <v>2591</v>
      </c>
      <c r="B37" s="2623">
        <v>275</v>
      </c>
      <c r="C37" s="2623">
        <v>232</v>
      </c>
      <c r="D37" s="2623">
        <f t="shared" si="98"/>
        <v>232</v>
      </c>
      <c r="E37" s="2623">
        <v>376</v>
      </c>
      <c r="F37" s="2624">
        <v>213</v>
      </c>
      <c r="G37" s="3521">
        <v>2011</v>
      </c>
      <c r="H37" s="2637">
        <v>4</v>
      </c>
      <c r="I37" s="2637">
        <v>-0.2</v>
      </c>
      <c r="J37" s="2637">
        <v>0.04</v>
      </c>
      <c r="K37" s="2637">
        <v>-0.34</v>
      </c>
      <c r="L37" s="2638">
        <v>0.46</v>
      </c>
      <c r="N37" s="2639">
        <f t="shared" si="100"/>
        <v>-2E-3</v>
      </c>
      <c r="O37" s="2640">
        <f t="shared" si="100"/>
        <v>4.0000000000000002E-4</v>
      </c>
      <c r="P37" s="2640">
        <f t="shared" si="100"/>
        <v>-3.4000000000000002E-3</v>
      </c>
      <c r="Q37" s="2640">
        <f t="shared" si="100"/>
        <v>4.5999999999999999E-3</v>
      </c>
      <c r="R37" s="2628"/>
      <c r="S37" s="2629"/>
      <c r="T37" s="2630"/>
      <c r="U37" s="2630"/>
      <c r="V37" s="2630"/>
      <c r="X37" s="2630"/>
      <c r="Y37" s="2630"/>
      <c r="Z37" s="2630"/>
    </row>
    <row r="38" spans="1:26">
      <c r="A38" s="2618" t="s">
        <v>2592</v>
      </c>
      <c r="B38" s="2631">
        <f t="shared" ref="B38:C40" si="110">B37/(1+N37)</f>
        <v>275.55110220440883</v>
      </c>
      <c r="C38" s="2631">
        <f t="shared" si="110"/>
        <v>231.90723710515795</v>
      </c>
      <c r="D38" s="2631">
        <f t="shared" si="98"/>
        <v>231.90723710515795</v>
      </c>
      <c r="E38" s="2631">
        <f t="shared" ref="E38:F40" si="111">E37/(1+P37)</f>
        <v>377.28276138872161</v>
      </c>
      <c r="F38" s="2631">
        <f t="shared" si="111"/>
        <v>212.02468644236512</v>
      </c>
      <c r="G38" s="3519">
        <v>2011</v>
      </c>
      <c r="H38" s="2642">
        <v>3</v>
      </c>
      <c r="I38" s="2642">
        <v>0.13</v>
      </c>
      <c r="J38" s="2642">
        <v>0.75</v>
      </c>
      <c r="K38" s="2642">
        <v>-0.08</v>
      </c>
      <c r="L38" s="2643">
        <v>0.53</v>
      </c>
      <c r="N38" s="2626">
        <f t="shared" si="100"/>
        <v>1.2999999999999999E-3</v>
      </c>
      <c r="O38" s="2644">
        <f t="shared" si="100"/>
        <v>7.4999999999999997E-3</v>
      </c>
      <c r="P38" s="2644">
        <f t="shared" si="100"/>
        <v>-8.0000000000000004E-4</v>
      </c>
      <c r="Q38" s="2644">
        <f t="shared" si="100"/>
        <v>5.3E-3</v>
      </c>
      <c r="R38" s="2628"/>
      <c r="S38" s="2626"/>
      <c r="T38" s="2627"/>
      <c r="U38" s="2627"/>
      <c r="V38" s="2627"/>
    </row>
    <row r="39" spans="1:26">
      <c r="A39" s="2618" t="s">
        <v>2593</v>
      </c>
      <c r="B39" s="2631">
        <f t="shared" si="110"/>
        <v>275.19335084830601</v>
      </c>
      <c r="C39" s="2631">
        <f t="shared" si="110"/>
        <v>230.18088050139744</v>
      </c>
      <c r="D39" s="2631">
        <f t="shared" si="98"/>
        <v>230.18088050139744</v>
      </c>
      <c r="E39" s="2631">
        <f t="shared" si="111"/>
        <v>377.58482925212331</v>
      </c>
      <c r="F39" s="2631">
        <f t="shared" si="111"/>
        <v>210.90687997847917</v>
      </c>
      <c r="G39" s="3519">
        <v>2011</v>
      </c>
      <c r="H39" s="2622">
        <v>2</v>
      </c>
      <c r="I39" s="2622">
        <v>-0.4</v>
      </c>
      <c r="J39" s="2622">
        <v>0.17</v>
      </c>
      <c r="K39" s="2622">
        <v>-0.57999999999999996</v>
      </c>
      <c r="L39" s="2633">
        <v>-0.2</v>
      </c>
      <c r="N39" s="2626">
        <f t="shared" si="100"/>
        <v>-4.0000000000000001E-3</v>
      </c>
      <c r="O39" s="2644">
        <f t="shared" si="100"/>
        <v>1.7000000000000001E-3</v>
      </c>
      <c r="P39" s="2644">
        <f t="shared" si="100"/>
        <v>-5.7999999999999996E-3</v>
      </c>
      <c r="Q39" s="2644">
        <f t="shared" si="100"/>
        <v>-2E-3</v>
      </c>
      <c r="R39" s="2628"/>
      <c r="S39" s="2626"/>
      <c r="T39" s="2627"/>
      <c r="U39" s="2627"/>
      <c r="V39" s="2627"/>
    </row>
    <row r="40" spans="1:26" ht="13.5" thickBot="1">
      <c r="A40" s="2618" t="s">
        <v>2594</v>
      </c>
      <c r="B40" s="2631">
        <f t="shared" si="110"/>
        <v>276.29854502841971</v>
      </c>
      <c r="C40" s="2631">
        <f t="shared" si="110"/>
        <v>229.79023709833027</v>
      </c>
      <c r="D40" s="2631">
        <f t="shared" si="98"/>
        <v>229.79023709833027</v>
      </c>
      <c r="E40" s="2631">
        <f t="shared" si="111"/>
        <v>379.78759731655936</v>
      </c>
      <c r="F40" s="2631">
        <f t="shared" si="111"/>
        <v>211.32953905659235</v>
      </c>
      <c r="G40" s="3522">
        <v>2011</v>
      </c>
      <c r="H40" s="2621">
        <v>1</v>
      </c>
      <c r="I40" s="2621">
        <v>2.65</v>
      </c>
      <c r="J40" s="2621">
        <v>3.76</v>
      </c>
      <c r="K40" s="2621">
        <v>1.89</v>
      </c>
      <c r="L40" s="2632">
        <v>7.95</v>
      </c>
      <c r="N40" s="2634">
        <f t="shared" si="100"/>
        <v>2.6499999999999999E-2</v>
      </c>
      <c r="O40" s="2635">
        <f t="shared" si="100"/>
        <v>3.7599999999999995E-2</v>
      </c>
      <c r="P40" s="2635">
        <f t="shared" si="100"/>
        <v>1.89E-2</v>
      </c>
      <c r="Q40" s="2635">
        <f t="shared" si="100"/>
        <v>7.9500000000000001E-2</v>
      </c>
      <c r="R40" s="2628"/>
      <c r="S40" s="2634">
        <f>B40/B41-1</f>
        <v>2.713213765211786E-2</v>
      </c>
      <c r="T40" s="2635">
        <f>C40/C41-1</f>
        <v>3.9774828499231862E-2</v>
      </c>
      <c r="U40" s="2635">
        <f>E40/E41-1</f>
        <v>1.8197311840641772E-2</v>
      </c>
      <c r="V40" s="2635">
        <f>F40/F41-1</f>
        <v>7.8211933962205826E-2</v>
      </c>
      <c r="X40" s="2636"/>
      <c r="Y40" s="2636"/>
      <c r="Z40" s="2636"/>
    </row>
    <row r="41" spans="1:26" ht="13.5" thickBot="1">
      <c r="A41" s="2618" t="s">
        <v>2595</v>
      </c>
      <c r="B41" s="2623">
        <v>269</v>
      </c>
      <c r="C41" s="2623">
        <v>221</v>
      </c>
      <c r="D41" s="2623">
        <f t="shared" si="98"/>
        <v>221</v>
      </c>
      <c r="E41" s="2623">
        <v>373</v>
      </c>
      <c r="F41" s="2624">
        <v>196</v>
      </c>
      <c r="G41" s="3521">
        <v>2010</v>
      </c>
      <c r="H41" s="2637">
        <v>4</v>
      </c>
      <c r="I41" s="2637">
        <v>5.72</v>
      </c>
      <c r="J41" s="2637">
        <v>6.57</v>
      </c>
      <c r="K41" s="2637">
        <v>5.72</v>
      </c>
      <c r="L41" s="2638">
        <v>2.72</v>
      </c>
      <c r="N41" s="2626">
        <f t="shared" si="100"/>
        <v>5.7200000000000001E-2</v>
      </c>
      <c r="O41" s="2627">
        <f t="shared" si="100"/>
        <v>6.5700000000000008E-2</v>
      </c>
      <c r="P41" s="2627">
        <f t="shared" si="100"/>
        <v>5.7200000000000001E-2</v>
      </c>
      <c r="Q41" s="2627">
        <f t="shared" si="100"/>
        <v>2.7200000000000002E-2</v>
      </c>
      <c r="R41" s="2628"/>
      <c r="S41" s="2629"/>
      <c r="T41" s="2630"/>
      <c r="U41" s="2630"/>
      <c r="V41" s="2630"/>
      <c r="X41" s="2630"/>
      <c r="Y41" s="2630"/>
      <c r="Z41" s="2630"/>
    </row>
    <row r="42" spans="1:26">
      <c r="A42" s="2618" t="s">
        <v>2596</v>
      </c>
      <c r="B42" s="2631">
        <f t="shared" ref="B42:C44" si="112">B41/(1+N41)</f>
        <v>254.44570563753314</v>
      </c>
      <c r="C42" s="2631">
        <f t="shared" si="112"/>
        <v>207.37543398705074</v>
      </c>
      <c r="D42" s="2631">
        <f t="shared" si="98"/>
        <v>207.37543398705074</v>
      </c>
      <c r="E42" s="2631">
        <f t="shared" ref="E42:F44" si="113">E41/(1+P41)</f>
        <v>352.81876655315932</v>
      </c>
      <c r="F42" s="2631">
        <f t="shared" si="113"/>
        <v>190.809968847352</v>
      </c>
      <c r="G42" s="3519">
        <v>2010</v>
      </c>
      <c r="H42" s="2642">
        <v>3</v>
      </c>
      <c r="I42" s="2642">
        <v>4.7300000000000004</v>
      </c>
      <c r="J42" s="2642">
        <v>3.9</v>
      </c>
      <c r="K42" s="2642">
        <v>5.03</v>
      </c>
      <c r="L42" s="2643">
        <v>4.21</v>
      </c>
      <c r="N42" s="2626">
        <f t="shared" si="100"/>
        <v>4.7300000000000002E-2</v>
      </c>
      <c r="O42" s="2627">
        <f t="shared" si="100"/>
        <v>3.9E-2</v>
      </c>
      <c r="P42" s="2627">
        <f t="shared" si="100"/>
        <v>5.0300000000000004E-2</v>
      </c>
      <c r="Q42" s="2627">
        <f t="shared" si="100"/>
        <v>4.2099999999999999E-2</v>
      </c>
      <c r="R42" s="2628"/>
      <c r="S42" s="2626"/>
      <c r="T42" s="2627"/>
      <c r="U42" s="2627"/>
      <c r="V42" s="2627"/>
    </row>
    <row r="43" spans="1:26">
      <c r="A43" s="2618" t="s">
        <v>2597</v>
      </c>
      <c r="B43" s="2631">
        <f t="shared" si="112"/>
        <v>242.95398227588385</v>
      </c>
      <c r="C43" s="2631">
        <f t="shared" si="112"/>
        <v>199.59137053614126</v>
      </c>
      <c r="D43" s="2631">
        <f t="shared" si="98"/>
        <v>199.59137053614126</v>
      </c>
      <c r="E43" s="2631">
        <f t="shared" si="113"/>
        <v>335.92189522342125</v>
      </c>
      <c r="F43" s="2631">
        <f t="shared" si="113"/>
        <v>183.10139991109489</v>
      </c>
      <c r="G43" s="3519">
        <v>2010</v>
      </c>
      <c r="H43" s="2622">
        <v>2</v>
      </c>
      <c r="I43" s="2622">
        <v>4.6900000000000004</v>
      </c>
      <c r="J43" s="2622">
        <v>3.55</v>
      </c>
      <c r="K43" s="2622">
        <v>5.07</v>
      </c>
      <c r="L43" s="2633">
        <v>4.2300000000000004</v>
      </c>
      <c r="N43" s="2626">
        <f t="shared" si="100"/>
        <v>4.6900000000000004E-2</v>
      </c>
      <c r="O43" s="2627">
        <f t="shared" si="100"/>
        <v>3.5499999999999997E-2</v>
      </c>
      <c r="P43" s="2627">
        <f t="shared" si="100"/>
        <v>5.0700000000000002E-2</v>
      </c>
      <c r="Q43" s="2627">
        <f t="shared" si="100"/>
        <v>4.2300000000000004E-2</v>
      </c>
      <c r="R43" s="2628"/>
      <c r="S43" s="2626"/>
      <c r="T43" s="2627"/>
      <c r="U43" s="2627"/>
      <c r="V43" s="2627"/>
    </row>
    <row r="44" spans="1:26" ht="13.5" thickBot="1">
      <c r="A44" s="2618" t="s">
        <v>2598</v>
      </c>
      <c r="B44" s="2631">
        <f t="shared" si="112"/>
        <v>232.06990378821649</v>
      </c>
      <c r="C44" s="2631">
        <f t="shared" si="112"/>
        <v>192.74878854286936</v>
      </c>
      <c r="D44" s="2631">
        <f t="shared" si="98"/>
        <v>192.74878854286936</v>
      </c>
      <c r="E44" s="2631">
        <f t="shared" si="113"/>
        <v>319.71247284992984</v>
      </c>
      <c r="F44" s="2631">
        <f t="shared" si="113"/>
        <v>175.67053622862409</v>
      </c>
      <c r="G44" s="3522">
        <v>2010</v>
      </c>
      <c r="H44" s="2621">
        <v>1</v>
      </c>
      <c r="I44" s="2621">
        <v>5.4</v>
      </c>
      <c r="J44" s="2621">
        <v>3.2</v>
      </c>
      <c r="K44" s="2621">
        <v>6.16</v>
      </c>
      <c r="L44" s="2632">
        <v>4.51</v>
      </c>
      <c r="N44" s="2626">
        <f t="shared" si="100"/>
        <v>5.4000000000000006E-2</v>
      </c>
      <c r="O44" s="2627">
        <f t="shared" si="100"/>
        <v>3.2000000000000001E-2</v>
      </c>
      <c r="P44" s="2627">
        <f t="shared" si="100"/>
        <v>6.1600000000000002E-2</v>
      </c>
      <c r="Q44" s="2627">
        <f t="shared" si="100"/>
        <v>4.5100000000000001E-2</v>
      </c>
      <c r="R44" s="2628"/>
      <c r="S44" s="2634">
        <f>B44/B45-1</f>
        <v>5.4863199037347599E-2</v>
      </c>
      <c r="T44" s="2635">
        <f>C44/C45-1</f>
        <v>3.0742184721226584E-2</v>
      </c>
      <c r="U44" s="2635">
        <f>E44/E45-1</f>
        <v>6.2167683886810154E-2</v>
      </c>
      <c r="V44" s="2635">
        <f>F44/F45-1</f>
        <v>4.5657953741810031E-2</v>
      </c>
      <c r="X44" s="2636"/>
      <c r="Y44" s="2636"/>
      <c r="Z44" s="2636"/>
    </row>
    <row r="45" spans="1:26" ht="13.5" thickBot="1">
      <c r="A45" s="2618" t="s">
        <v>2599</v>
      </c>
      <c r="B45" s="2623">
        <v>220</v>
      </c>
      <c r="C45" s="2623">
        <v>187</v>
      </c>
      <c r="D45" s="2623">
        <f t="shared" si="98"/>
        <v>187</v>
      </c>
      <c r="E45" s="2623">
        <v>301</v>
      </c>
      <c r="F45" s="2624">
        <v>168</v>
      </c>
      <c r="G45" s="3521">
        <v>2009</v>
      </c>
      <c r="H45" s="2637">
        <v>4</v>
      </c>
      <c r="I45" s="2637">
        <v>2.2999999999999998</v>
      </c>
      <c r="J45" s="2637">
        <v>1.04</v>
      </c>
      <c r="K45" s="2637">
        <v>2.84</v>
      </c>
      <c r="L45" s="2638">
        <v>0.67</v>
      </c>
      <c r="N45" s="2639">
        <f t="shared" si="100"/>
        <v>2.3E-2</v>
      </c>
      <c r="O45" s="2640">
        <f t="shared" si="100"/>
        <v>1.04E-2</v>
      </c>
      <c r="P45" s="2640">
        <f t="shared" si="100"/>
        <v>2.8399999999999998E-2</v>
      </c>
      <c r="Q45" s="2640">
        <f t="shared" si="100"/>
        <v>6.7000000000000002E-3</v>
      </c>
      <c r="R45" s="2628"/>
      <c r="S45" s="2629"/>
      <c r="T45" s="2630"/>
      <c r="U45" s="2630"/>
      <c r="V45" s="2630"/>
      <c r="X45" s="2630"/>
      <c r="Y45" s="2630"/>
      <c r="Z45" s="2630"/>
    </row>
    <row r="46" spans="1:26">
      <c r="A46" s="2618" t="s">
        <v>2600</v>
      </c>
      <c r="B46" s="2631">
        <f t="shared" ref="B46:C48" si="114">B45/(1+N45)</f>
        <v>215.05376344086022</v>
      </c>
      <c r="C46" s="2631">
        <f t="shared" si="114"/>
        <v>185.0752177355503</v>
      </c>
      <c r="D46" s="2631">
        <f t="shared" si="98"/>
        <v>185.0752177355503</v>
      </c>
      <c r="E46" s="2631">
        <f t="shared" ref="E46:F48" si="115">E45/(1+P45)</f>
        <v>292.68767016725008</v>
      </c>
      <c r="F46" s="2631">
        <f t="shared" si="115"/>
        <v>166.88189132810174</v>
      </c>
      <c r="G46" s="3519">
        <v>2009</v>
      </c>
      <c r="H46" s="2642">
        <v>3</v>
      </c>
      <c r="I46" s="2642">
        <v>2.1</v>
      </c>
      <c r="J46" s="2642">
        <v>1.86</v>
      </c>
      <c r="K46" s="2642">
        <v>2.29</v>
      </c>
      <c r="L46" s="2643">
        <v>0.85</v>
      </c>
      <c r="N46" s="2626">
        <f t="shared" si="100"/>
        <v>2.1000000000000001E-2</v>
      </c>
      <c r="O46" s="2644">
        <f t="shared" si="100"/>
        <v>1.8600000000000002E-2</v>
      </c>
      <c r="P46" s="2644">
        <f t="shared" si="100"/>
        <v>2.29E-2</v>
      </c>
      <c r="Q46" s="2644">
        <f t="shared" si="100"/>
        <v>8.5000000000000006E-3</v>
      </c>
      <c r="R46" s="2628"/>
      <c r="S46" s="2626"/>
      <c r="T46" s="2627"/>
      <c r="U46" s="2627"/>
      <c r="V46" s="2627"/>
    </row>
    <row r="47" spans="1:26">
      <c r="A47" s="2618" t="s">
        <v>2601</v>
      </c>
      <c r="B47" s="2631">
        <f t="shared" si="114"/>
        <v>210.630522469011</v>
      </c>
      <c r="C47" s="2631">
        <f t="shared" si="114"/>
        <v>181.69567812247232</v>
      </c>
      <c r="D47" s="2631">
        <f t="shared" si="98"/>
        <v>181.69567812247232</v>
      </c>
      <c r="E47" s="2631">
        <f t="shared" si="115"/>
        <v>286.13517466736738</v>
      </c>
      <c r="F47" s="2631">
        <f t="shared" si="115"/>
        <v>165.47535084591149</v>
      </c>
      <c r="G47" s="3519">
        <v>2009</v>
      </c>
      <c r="H47" s="2622">
        <v>2</v>
      </c>
      <c r="I47" s="2622">
        <v>0.86</v>
      </c>
      <c r="J47" s="2622">
        <v>-1.1299999999999999</v>
      </c>
      <c r="K47" s="2622">
        <v>1.79</v>
      </c>
      <c r="L47" s="2633">
        <v>-2.0699999999999998</v>
      </c>
      <c r="N47" s="2626">
        <f t="shared" si="100"/>
        <v>8.6E-3</v>
      </c>
      <c r="O47" s="2644">
        <f t="shared" si="100"/>
        <v>-1.1299999999999999E-2</v>
      </c>
      <c r="P47" s="2644">
        <f t="shared" si="100"/>
        <v>1.7899999999999999E-2</v>
      </c>
      <c r="Q47" s="2644">
        <f t="shared" si="100"/>
        <v>-2.07E-2</v>
      </c>
      <c r="R47" s="2628"/>
      <c r="S47" s="2626"/>
      <c r="T47" s="2627"/>
      <c r="U47" s="2627"/>
      <c r="V47" s="2627"/>
    </row>
    <row r="48" spans="1:26">
      <c r="A48" s="2618" t="s">
        <v>2602</v>
      </c>
      <c r="B48" s="2631">
        <f t="shared" si="114"/>
        <v>208.83454537875372</v>
      </c>
      <c r="C48" s="2631">
        <f t="shared" si="114"/>
        <v>183.77230517090351</v>
      </c>
      <c r="D48" s="2631">
        <f t="shared" si="98"/>
        <v>183.77230517090351</v>
      </c>
      <c r="E48" s="2631">
        <f t="shared" si="115"/>
        <v>281.10342338870947</v>
      </c>
      <c r="F48" s="2631">
        <f t="shared" si="115"/>
        <v>168.97309388942256</v>
      </c>
      <c r="G48" s="3522">
        <v>2009</v>
      </c>
      <c r="H48" s="2621">
        <v>1</v>
      </c>
      <c r="I48" s="2621">
        <v>-2.64</v>
      </c>
      <c r="J48" s="2621">
        <v>-2.5299999999999998</v>
      </c>
      <c r="K48" s="2621">
        <v>-3.02</v>
      </c>
      <c r="L48" s="2632">
        <v>1.52</v>
      </c>
      <c r="N48" s="2634">
        <f t="shared" si="100"/>
        <v>-2.64E-2</v>
      </c>
      <c r="O48" s="2635">
        <f t="shared" si="100"/>
        <v>-2.53E-2</v>
      </c>
      <c r="P48" s="2635">
        <f t="shared" si="100"/>
        <v>-3.0200000000000001E-2</v>
      </c>
      <c r="Q48" s="2635">
        <f t="shared" si="100"/>
        <v>1.52E-2</v>
      </c>
      <c r="R48" s="2628"/>
      <c r="S48" s="2634">
        <f>B48/B49-1</f>
        <v>-2.4137638417038754E-2</v>
      </c>
      <c r="T48" s="2635">
        <f>C48/C49-1</f>
        <v>-2.248773845264096E-2</v>
      </c>
      <c r="U48" s="2635">
        <f>E48/E49-1</f>
        <v>-2.7323794502735366E-2</v>
      </c>
      <c r="V48" s="2635">
        <f>F48/F49-1</f>
        <v>1.7910204153148035E-2</v>
      </c>
      <c r="X48" s="2636"/>
      <c r="Y48" s="2636"/>
      <c r="Z48" s="2636"/>
    </row>
    <row r="49" spans="1:26" ht="13.5" thickBot="1">
      <c r="A49" s="2618" t="s">
        <v>2603</v>
      </c>
      <c r="B49" s="2661">
        <v>214</v>
      </c>
      <c r="C49" s="2661">
        <v>188</v>
      </c>
      <c r="D49" s="2661">
        <f t="shared" si="98"/>
        <v>188</v>
      </c>
      <c r="E49" s="2661">
        <v>289</v>
      </c>
      <c r="F49" s="2662">
        <v>166</v>
      </c>
      <c r="G49" s="3521">
        <v>2008</v>
      </c>
      <c r="H49" s="2637">
        <v>4</v>
      </c>
      <c r="I49" s="2637">
        <v>1.73</v>
      </c>
      <c r="J49" s="2637">
        <v>0.03</v>
      </c>
      <c r="K49" s="2637">
        <v>2.59</v>
      </c>
      <c r="L49" s="2638">
        <v>-1.66</v>
      </c>
      <c r="N49" s="2626">
        <f t="shared" si="100"/>
        <v>1.7299999999999999E-2</v>
      </c>
      <c r="O49" s="2627">
        <f t="shared" si="100"/>
        <v>2.9999999999999997E-4</v>
      </c>
      <c r="P49" s="2627">
        <f t="shared" si="100"/>
        <v>2.5899999999999999E-2</v>
      </c>
      <c r="Q49" s="2627">
        <f t="shared" si="100"/>
        <v>-1.66E-2</v>
      </c>
      <c r="R49" s="2628"/>
      <c r="S49" s="2629"/>
      <c r="T49" s="2630"/>
      <c r="U49" s="2630"/>
      <c r="V49" s="2630"/>
      <c r="X49" s="2630"/>
      <c r="Y49" s="2630"/>
      <c r="Z49" s="2630"/>
    </row>
    <row r="50" spans="1:26">
      <c r="A50" s="2618" t="s">
        <v>2604</v>
      </c>
      <c r="B50" s="2631">
        <f t="shared" ref="B50:C52" si="116">B49/(1+N49)</f>
        <v>210.36075887152265</v>
      </c>
      <c r="C50" s="2631">
        <f t="shared" si="116"/>
        <v>187.94361691492554</v>
      </c>
      <c r="D50" s="2631">
        <f t="shared" si="98"/>
        <v>187.94361691492554</v>
      </c>
      <c r="E50" s="2631">
        <f t="shared" ref="E50:F52" si="117">E49/(1+P49)</f>
        <v>281.70386977288234</v>
      </c>
      <c r="F50" s="2631">
        <f t="shared" si="117"/>
        <v>168.80211511083994</v>
      </c>
      <c r="G50" s="3519">
        <v>2008</v>
      </c>
      <c r="H50" s="2642">
        <v>3</v>
      </c>
      <c r="I50" s="2642">
        <v>1.96</v>
      </c>
      <c r="J50" s="2642">
        <v>2.36</v>
      </c>
      <c r="K50" s="2642">
        <v>1.82</v>
      </c>
      <c r="L50" s="2643">
        <v>2.2200000000000002</v>
      </c>
      <c r="N50" s="2626">
        <f t="shared" si="100"/>
        <v>1.9599999999999999E-2</v>
      </c>
      <c r="O50" s="2627">
        <f t="shared" si="100"/>
        <v>2.3599999999999999E-2</v>
      </c>
      <c r="P50" s="2627">
        <f t="shared" si="100"/>
        <v>1.8200000000000001E-2</v>
      </c>
      <c r="Q50" s="2627">
        <f t="shared" si="100"/>
        <v>2.2200000000000001E-2</v>
      </c>
      <c r="R50" s="2628"/>
      <c r="S50" s="2626"/>
      <c r="T50" s="2627"/>
      <c r="U50" s="2627"/>
      <c r="V50" s="2627"/>
    </row>
    <row r="51" spans="1:26">
      <c r="A51" s="2618" t="s">
        <v>2605</v>
      </c>
      <c r="B51" s="2631">
        <f t="shared" si="116"/>
        <v>206.31694671589116</v>
      </c>
      <c r="C51" s="2631">
        <f t="shared" si="116"/>
        <v>183.61041121036101</v>
      </c>
      <c r="D51" s="2631">
        <f t="shared" si="98"/>
        <v>183.61041121036101</v>
      </c>
      <c r="E51" s="2631">
        <f t="shared" si="117"/>
        <v>276.66850301795557</v>
      </c>
      <c r="F51" s="2631">
        <f t="shared" si="117"/>
        <v>165.1360938278614</v>
      </c>
      <c r="G51" s="3519">
        <v>2008</v>
      </c>
      <c r="H51" s="2622">
        <v>2</v>
      </c>
      <c r="I51" s="2622">
        <v>4.93</v>
      </c>
      <c r="J51" s="2622">
        <v>7.38</v>
      </c>
      <c r="K51" s="2622">
        <v>3.98</v>
      </c>
      <c r="L51" s="2633">
        <v>6.86</v>
      </c>
      <c r="N51" s="2626">
        <f t="shared" si="100"/>
        <v>4.9299999999999997E-2</v>
      </c>
      <c r="O51" s="2627">
        <f t="shared" si="100"/>
        <v>7.3800000000000004E-2</v>
      </c>
      <c r="P51" s="2627">
        <f t="shared" si="100"/>
        <v>3.9800000000000002E-2</v>
      </c>
      <c r="Q51" s="2627">
        <f t="shared" si="100"/>
        <v>6.8600000000000008E-2</v>
      </c>
      <c r="R51" s="2628"/>
      <c r="S51" s="2626"/>
      <c r="T51" s="2627"/>
      <c r="U51" s="2627"/>
      <c r="V51" s="2627"/>
    </row>
    <row r="52" spans="1:26" s="2667" customFormat="1" ht="13.5" thickBot="1">
      <c r="A52" s="2618" t="s">
        <v>2606</v>
      </c>
      <c r="B52" s="2664">
        <f t="shared" si="116"/>
        <v>196.62341248059772</v>
      </c>
      <c r="C52" s="2664">
        <f t="shared" si="116"/>
        <v>170.99125648199012</v>
      </c>
      <c r="D52" s="2664">
        <f t="shared" si="98"/>
        <v>170.99125648199012</v>
      </c>
      <c r="E52" s="2664">
        <f t="shared" si="117"/>
        <v>266.07857570490052</v>
      </c>
      <c r="F52" s="2664">
        <f t="shared" si="117"/>
        <v>154.53499328828505</v>
      </c>
      <c r="G52" s="3522">
        <v>2008</v>
      </c>
      <c r="H52" s="2665">
        <v>1</v>
      </c>
      <c r="I52" s="2665">
        <v>4.1399999999999997</v>
      </c>
      <c r="J52" s="2665">
        <v>3.45</v>
      </c>
      <c r="K52" s="2665">
        <v>4.95</v>
      </c>
      <c r="L52" s="2666">
        <v>4.82</v>
      </c>
      <c r="N52" s="2668">
        <f t="shared" si="100"/>
        <v>4.1399999999999999E-2</v>
      </c>
      <c r="O52" s="2669">
        <f t="shared" si="100"/>
        <v>3.4500000000000003E-2</v>
      </c>
      <c r="P52" s="2669">
        <f t="shared" si="100"/>
        <v>4.9500000000000002E-2</v>
      </c>
      <c r="Q52" s="2669">
        <f t="shared" si="100"/>
        <v>4.82E-2</v>
      </c>
      <c r="R52" s="2670"/>
      <c r="S52" s="2668">
        <f>B52/B53-1</f>
        <v>4.5869215322328349E-2</v>
      </c>
      <c r="T52" s="2669">
        <f>C52/C53-1</f>
        <v>3.6310645345394743E-2</v>
      </c>
      <c r="U52" s="2669">
        <f>E52/E53-1</f>
        <v>4.7553447657088688E-2</v>
      </c>
      <c r="V52" s="2669">
        <f>F52/F53-1</f>
        <v>4.4155360055980086E-2</v>
      </c>
      <c r="X52" s="2671"/>
      <c r="Y52" s="2671"/>
      <c r="Z52" s="2671"/>
    </row>
    <row r="53" spans="1:26" ht="13.5" thickBot="1">
      <c r="A53" s="2618" t="s">
        <v>2607</v>
      </c>
      <c r="B53" s="2623">
        <v>188</v>
      </c>
      <c r="C53" s="2623">
        <v>165</v>
      </c>
      <c r="D53" s="2623">
        <f t="shared" si="98"/>
        <v>165</v>
      </c>
      <c r="E53" s="2623">
        <v>254</v>
      </c>
      <c r="F53" s="2624">
        <v>148</v>
      </c>
      <c r="G53" s="3521">
        <v>2007</v>
      </c>
      <c r="H53" s="2672">
        <v>4</v>
      </c>
      <c r="I53" s="2672">
        <v>5.51</v>
      </c>
      <c r="J53" s="2672">
        <v>4.8899999999999997</v>
      </c>
      <c r="K53" s="2672">
        <v>6.43</v>
      </c>
      <c r="L53" s="2673">
        <v>5.36</v>
      </c>
      <c r="N53" s="2674">
        <f t="shared" ref="N53:O56" si="118">B53/B54-1</f>
        <v>4.1339718365245526E-2</v>
      </c>
      <c r="O53" s="2675">
        <f t="shared" si="118"/>
        <v>4.0324492593776018E-2</v>
      </c>
      <c r="P53" s="2675">
        <f t="shared" ref="P53:Q56" si="119">E53/E54-1</f>
        <v>6.1625555347990968E-2</v>
      </c>
      <c r="Q53" s="2675">
        <f t="shared" si="119"/>
        <v>4.6757569250590603E-2</v>
      </c>
      <c r="R53" s="2628"/>
      <c r="S53" s="2629"/>
      <c r="T53" s="2630"/>
      <c r="U53" s="2630"/>
      <c r="V53" s="2630"/>
      <c r="X53" s="2630"/>
      <c r="Y53" s="2630"/>
      <c r="Z53" s="2630"/>
    </row>
    <row r="54" spans="1:26">
      <c r="A54" s="2618" t="s">
        <v>2608</v>
      </c>
      <c r="B54" s="2631">
        <f t="shared" ref="B54:C56" si="120">B55+(B$53-B$57)*I54/SUM(I$53:I$56)</f>
        <v>180.5366651097618</v>
      </c>
      <c r="C54" s="2631">
        <f t="shared" si="120"/>
        <v>158.60435967302453</v>
      </c>
      <c r="D54" s="2631">
        <f t="shared" si="98"/>
        <v>158.60435967302453</v>
      </c>
      <c r="E54" s="2631">
        <f t="shared" ref="E54:F56" si="121">E55+(E$53-E$57)*K54/SUM(K$53:K$56)</f>
        <v>239.25573260785075</v>
      </c>
      <c r="F54" s="2631">
        <f t="shared" si="121"/>
        <v>141.38899430740037</v>
      </c>
      <c r="G54" s="3519">
        <v>2007</v>
      </c>
      <c r="H54" s="2642">
        <v>3</v>
      </c>
      <c r="I54" s="2642">
        <v>8.65</v>
      </c>
      <c r="J54" s="2642">
        <v>8.06</v>
      </c>
      <c r="K54" s="2642">
        <v>9.94</v>
      </c>
      <c r="L54" s="2643">
        <v>5.8</v>
      </c>
      <c r="N54" s="2674">
        <f t="shared" si="118"/>
        <v>6.940217571740015E-2</v>
      </c>
      <c r="O54" s="2675">
        <f t="shared" si="118"/>
        <v>7.1197482471153428E-2</v>
      </c>
      <c r="P54" s="2675">
        <f t="shared" si="119"/>
        <v>0.10529679922579582</v>
      </c>
      <c r="Q54" s="2675">
        <f t="shared" si="119"/>
        <v>5.3292245059512133E-2</v>
      </c>
      <c r="R54" s="2628"/>
      <c r="S54" s="2626"/>
      <c r="T54" s="2627"/>
      <c r="U54" s="2627"/>
      <c r="V54" s="2627"/>
      <c r="X54" s="2676"/>
      <c r="Y54" s="2676"/>
      <c r="Z54" s="2676"/>
    </row>
    <row r="55" spans="1:26">
      <c r="A55" s="2618" t="s">
        <v>2609</v>
      </c>
      <c r="B55" s="2631">
        <f t="shared" si="120"/>
        <v>168.82017748715555</v>
      </c>
      <c r="C55" s="2631">
        <f t="shared" si="120"/>
        <v>148.06267029972753</v>
      </c>
      <c r="D55" s="2631">
        <f t="shared" si="98"/>
        <v>148.06267029972753</v>
      </c>
      <c r="E55" s="2631">
        <f t="shared" si="121"/>
        <v>216.46288379323747</v>
      </c>
      <c r="F55" s="2631">
        <f t="shared" si="121"/>
        <v>134.23529411764704</v>
      </c>
      <c r="G55" s="3519">
        <v>2007</v>
      </c>
      <c r="H55" s="2622">
        <v>2</v>
      </c>
      <c r="I55" s="2622">
        <v>3.67</v>
      </c>
      <c r="J55" s="2622">
        <v>2.3199999999999998</v>
      </c>
      <c r="K55" s="2622">
        <v>5.0199999999999996</v>
      </c>
      <c r="L55" s="2633">
        <v>6.71</v>
      </c>
      <c r="N55" s="2674">
        <f t="shared" si="118"/>
        <v>3.0339138143848032E-2</v>
      </c>
      <c r="O55" s="2675">
        <f t="shared" si="118"/>
        <v>2.0922341588790472E-2</v>
      </c>
      <c r="P55" s="2675">
        <f t="shared" si="119"/>
        <v>5.6164796592717003E-2</v>
      </c>
      <c r="Q55" s="2675">
        <f t="shared" si="119"/>
        <v>6.5704536723887319E-2</v>
      </c>
      <c r="R55" s="2628"/>
      <c r="S55" s="2626"/>
      <c r="T55" s="2627"/>
      <c r="U55" s="2627"/>
      <c r="V55" s="2627"/>
      <c r="X55" s="2676"/>
      <c r="Y55" s="2676"/>
      <c r="Z55" s="2676"/>
    </row>
    <row r="56" spans="1:26">
      <c r="A56" s="2618" t="s">
        <v>2610</v>
      </c>
      <c r="B56" s="2631">
        <f t="shared" si="120"/>
        <v>163.84913591779542</v>
      </c>
      <c r="C56" s="2631">
        <f t="shared" si="120"/>
        <v>145.0283378746594</v>
      </c>
      <c r="D56" s="2631">
        <f t="shared" si="98"/>
        <v>145.0283378746594</v>
      </c>
      <c r="E56" s="2631">
        <f t="shared" si="121"/>
        <v>204.95180722891567</v>
      </c>
      <c r="F56" s="2631">
        <f t="shared" si="121"/>
        <v>125.95920303605313</v>
      </c>
      <c r="G56" s="3522">
        <v>2007</v>
      </c>
      <c r="H56" s="2621">
        <v>1</v>
      </c>
      <c r="I56" s="2621">
        <v>3.58</v>
      </c>
      <c r="J56" s="2621">
        <v>3.08</v>
      </c>
      <c r="K56" s="2621">
        <v>4.34</v>
      </c>
      <c r="L56" s="2632">
        <v>3.21</v>
      </c>
      <c r="N56" s="2677">
        <f t="shared" si="118"/>
        <v>3.0497710174814063E-2</v>
      </c>
      <c r="O56" s="2678">
        <f t="shared" si="118"/>
        <v>2.8569772160704998E-2</v>
      </c>
      <c r="P56" s="2678">
        <f t="shared" si="119"/>
        <v>5.1034908866234296E-2</v>
      </c>
      <c r="Q56" s="2678">
        <f t="shared" si="119"/>
        <v>3.245248390207478E-2</v>
      </c>
      <c r="R56" s="2628"/>
      <c r="S56" s="2634">
        <f>B56/B57-1</f>
        <v>3.0497710174814063E-2</v>
      </c>
      <c r="T56" s="2635">
        <f>C56/C57-1</f>
        <v>2.8569772160704998E-2</v>
      </c>
      <c r="U56" s="2635">
        <f>E56/E57-1</f>
        <v>5.1034908866234296E-2</v>
      </c>
      <c r="V56" s="2635">
        <f>F56/F57-1</f>
        <v>3.245248390207478E-2</v>
      </c>
      <c r="X56" s="2676"/>
      <c r="Y56" s="2676"/>
      <c r="Z56" s="2676"/>
    </row>
    <row r="57" spans="1:26" ht="13.5" thickBot="1">
      <c r="A57" s="2618" t="s">
        <v>2611</v>
      </c>
      <c r="B57" s="2645">
        <v>159</v>
      </c>
      <c r="C57" s="2645">
        <v>141</v>
      </c>
      <c r="D57" s="2645">
        <f t="shared" si="98"/>
        <v>141</v>
      </c>
      <c r="E57" s="2645">
        <v>195</v>
      </c>
      <c r="F57" s="2646">
        <v>122</v>
      </c>
      <c r="G57" s="3521">
        <v>2006</v>
      </c>
      <c r="H57" s="2637">
        <v>4</v>
      </c>
      <c r="I57" s="2637">
        <v>3.79</v>
      </c>
      <c r="J57" s="2637">
        <v>2.21</v>
      </c>
      <c r="K57" s="2637">
        <v>5.65</v>
      </c>
      <c r="L57" s="2638">
        <v>5.41</v>
      </c>
      <c r="N57" s="2674">
        <f t="shared" ref="N57:O60" si="122">I57/SUM(I$57:I$60)*(B$57/B$61-1)</f>
        <v>7.245466462748526E-2</v>
      </c>
      <c r="O57" s="2675">
        <f t="shared" si="122"/>
        <v>2.3237230038062766E-2</v>
      </c>
      <c r="P57" s="2675">
        <f t="shared" ref="P57:Q60" si="123">K57/SUM(K$57:K$60)*(E$57/E$61-1)</f>
        <v>0.16146893866323722</v>
      </c>
      <c r="Q57" s="2675">
        <f t="shared" si="123"/>
        <v>5.0755230321793784E-2</v>
      </c>
      <c r="R57" s="2628"/>
      <c r="S57" s="2629"/>
      <c r="T57" s="2630"/>
      <c r="U57" s="2630"/>
      <c r="V57" s="2630"/>
      <c r="X57" s="2676"/>
      <c r="Y57" s="2676"/>
      <c r="Z57" s="2676"/>
    </row>
    <row r="58" spans="1:26">
      <c r="A58" s="2618" t="s">
        <v>2612</v>
      </c>
      <c r="B58" s="2631">
        <f t="shared" ref="B58:C60" si="124">B59+(B$57-B$61)*I58/SUM(I$57:I$60)</f>
        <v>149.00125628140702</v>
      </c>
      <c r="C58" s="2631">
        <f t="shared" si="124"/>
        <v>137.95592286501378</v>
      </c>
      <c r="D58" s="2631">
        <f t="shared" si="98"/>
        <v>137.95592286501378</v>
      </c>
      <c r="E58" s="2631">
        <f t="shared" ref="E58:F60" si="125">E59+(E$57-E$61)*K58/SUM(K$57:K$60)</f>
        <v>169.97231450719823</v>
      </c>
      <c r="F58" s="2631">
        <f t="shared" si="125"/>
        <v>116.21390374331551</v>
      </c>
      <c r="G58" s="3519">
        <v>2006</v>
      </c>
      <c r="H58" s="2642">
        <v>3</v>
      </c>
      <c r="I58" s="2642">
        <v>0.92</v>
      </c>
      <c r="J58" s="2642">
        <v>1.08</v>
      </c>
      <c r="K58" s="2642">
        <v>0.73</v>
      </c>
      <c r="L58" s="2643">
        <v>1.08</v>
      </c>
      <c r="N58" s="2674">
        <f t="shared" si="122"/>
        <v>1.7587939698492462E-2</v>
      </c>
      <c r="O58" s="2675">
        <f t="shared" si="122"/>
        <v>1.1355750425840628E-2</v>
      </c>
      <c r="P58" s="2675">
        <f t="shared" si="123"/>
        <v>2.0862358446754544E-2</v>
      </c>
      <c r="Q58" s="2675">
        <f t="shared" si="123"/>
        <v>1.0132282578103011E-2</v>
      </c>
      <c r="R58" s="2628"/>
      <c r="S58" s="2626"/>
      <c r="T58" s="2627"/>
      <c r="U58" s="2627"/>
      <c r="V58" s="2627"/>
      <c r="X58" s="2676"/>
      <c r="Y58" s="2676"/>
      <c r="Z58" s="2676"/>
    </row>
    <row r="59" spans="1:26">
      <c r="A59" s="2618" t="s">
        <v>2613</v>
      </c>
      <c r="B59" s="2631">
        <f t="shared" si="124"/>
        <v>146.57412060301507</v>
      </c>
      <c r="C59" s="2631">
        <f t="shared" si="124"/>
        <v>136.46831955922866</v>
      </c>
      <c r="D59" s="2631">
        <f t="shared" si="98"/>
        <v>136.46831955922866</v>
      </c>
      <c r="E59" s="2631">
        <f t="shared" si="125"/>
        <v>166.73864894795128</v>
      </c>
      <c r="F59" s="2631">
        <f t="shared" si="125"/>
        <v>115.05882352941177</v>
      </c>
      <c r="G59" s="3519">
        <v>2006</v>
      </c>
      <c r="H59" s="2622">
        <v>2</v>
      </c>
      <c r="I59" s="2622">
        <v>0.96</v>
      </c>
      <c r="J59" s="2622">
        <v>0.25</v>
      </c>
      <c r="K59" s="2622">
        <v>1.9</v>
      </c>
      <c r="L59" s="2633">
        <v>0.95</v>
      </c>
      <c r="N59" s="2674">
        <f t="shared" si="122"/>
        <v>1.8352632728861701E-2</v>
      </c>
      <c r="O59" s="2675">
        <f t="shared" si="122"/>
        <v>2.6286459319075526E-3</v>
      </c>
      <c r="P59" s="2675">
        <f t="shared" si="123"/>
        <v>5.4299289107991269E-2</v>
      </c>
      <c r="Q59" s="2675">
        <f t="shared" si="123"/>
        <v>8.9126559714794995E-3</v>
      </c>
      <c r="R59" s="2628"/>
      <c r="S59" s="2626"/>
      <c r="T59" s="2627"/>
      <c r="U59" s="2627"/>
      <c r="V59" s="2627"/>
      <c r="X59" s="2676"/>
      <c r="Y59" s="2676"/>
      <c r="Z59" s="2676"/>
    </row>
    <row r="60" spans="1:26">
      <c r="A60" s="2618" t="s">
        <v>2614</v>
      </c>
      <c r="B60" s="2631">
        <f t="shared" si="124"/>
        <v>144.04145728643215</v>
      </c>
      <c r="C60" s="2631">
        <f t="shared" si="124"/>
        <v>136.12396694214877</v>
      </c>
      <c r="D60" s="2631">
        <f t="shared" si="98"/>
        <v>136.12396694214877</v>
      </c>
      <c r="E60" s="2631">
        <f t="shared" si="125"/>
        <v>158.32225913621264</v>
      </c>
      <c r="F60" s="2631">
        <f t="shared" si="125"/>
        <v>114.04278074866311</v>
      </c>
      <c r="G60" s="3522">
        <v>2006</v>
      </c>
      <c r="H60" s="2621">
        <v>1</v>
      </c>
      <c r="I60" s="2621">
        <v>2.29</v>
      </c>
      <c r="J60" s="2621">
        <v>3.72</v>
      </c>
      <c r="K60" s="2621">
        <v>0.75</v>
      </c>
      <c r="L60" s="2632">
        <v>0.04</v>
      </c>
      <c r="N60" s="2677">
        <f t="shared" si="122"/>
        <v>4.3778675988638847E-2</v>
      </c>
      <c r="O60" s="2678">
        <f t="shared" si="122"/>
        <v>3.9114251466784385E-2</v>
      </c>
      <c r="P60" s="2678">
        <f t="shared" si="123"/>
        <v>2.1433929911049188E-2</v>
      </c>
      <c r="Q60" s="2678">
        <f t="shared" si="123"/>
        <v>3.7526972511492629E-4</v>
      </c>
      <c r="R60" s="2628"/>
      <c r="S60" s="2634">
        <f>B60/B61-1</f>
        <v>4.3778675988638716E-2</v>
      </c>
      <c r="T60" s="2635">
        <f>C60/C61-1</f>
        <v>3.91142514667846E-2</v>
      </c>
      <c r="U60" s="2635">
        <f>E60/E61-1</f>
        <v>2.143392991104931E-2</v>
      </c>
      <c r="V60" s="2635">
        <f>F60/F61-1</f>
        <v>3.7526972511492396E-4</v>
      </c>
      <c r="X60" s="2676"/>
      <c r="Y60" s="2676"/>
      <c r="Z60" s="2676"/>
    </row>
    <row r="61" spans="1:26" ht="13.5" thickBot="1">
      <c r="A61" s="2618" t="s">
        <v>2615</v>
      </c>
      <c r="B61" s="2645">
        <v>138</v>
      </c>
      <c r="C61" s="2645">
        <v>131</v>
      </c>
      <c r="D61" s="2645">
        <f t="shared" si="98"/>
        <v>131</v>
      </c>
      <c r="E61" s="2645">
        <v>155</v>
      </c>
      <c r="F61" s="2646">
        <v>114</v>
      </c>
      <c r="G61" s="3521">
        <v>2005</v>
      </c>
      <c r="H61" s="2637">
        <v>4</v>
      </c>
      <c r="I61" s="2637">
        <v>3.29</v>
      </c>
      <c r="J61" s="2637">
        <v>1.44</v>
      </c>
      <c r="K61" s="2637">
        <v>0.66</v>
      </c>
      <c r="L61" s="2638">
        <v>7.78</v>
      </c>
      <c r="N61" s="2674">
        <f t="shared" ref="N61:O64" si="126">I61/SUM(I$61:I$64)*(B$61/B$65-1)</f>
        <v>9.9404603216919935E-2</v>
      </c>
      <c r="O61" s="2675">
        <f t="shared" si="126"/>
        <v>4.7636550760861554E-2</v>
      </c>
      <c r="P61" s="2675">
        <f t="shared" ref="P61:Q64" si="127">K61/SUM(K$61:K$64)*(E$61/E$65-1)</f>
        <v>8.3756345177664976E-2</v>
      </c>
      <c r="Q61" s="2675">
        <f t="shared" si="127"/>
        <v>5.2148766661559584E-2</v>
      </c>
      <c r="R61" s="2628"/>
      <c r="S61" s="2629"/>
      <c r="T61" s="2630"/>
      <c r="U61" s="2630"/>
      <c r="V61" s="2630"/>
      <c r="X61" s="2676"/>
      <c r="Y61" s="2676"/>
      <c r="Z61" s="2676"/>
    </row>
    <row r="62" spans="1:26">
      <c r="A62" s="2618" t="s">
        <v>2616</v>
      </c>
      <c r="B62" s="2631">
        <f t="shared" ref="B62:C64" si="128">B63+(B$61-B$65)*I62/SUM(I$61:I$64)</f>
        <v>125.9720430107527</v>
      </c>
      <c r="C62" s="2631">
        <f t="shared" si="128"/>
        <v>125.1883408071749</v>
      </c>
      <c r="D62" s="2631">
        <f t="shared" si="98"/>
        <v>125.1883408071749</v>
      </c>
      <c r="E62" s="2631">
        <f t="shared" ref="E62:F64" si="129">E63+(E$61-E$65)*K62/SUM(K$61:K$64)</f>
        <v>144.61421319796952</v>
      </c>
      <c r="F62" s="2631">
        <f t="shared" si="129"/>
        <v>108.42008196721311</v>
      </c>
      <c r="G62" s="3519">
        <v>2005</v>
      </c>
      <c r="H62" s="2642">
        <v>3</v>
      </c>
      <c r="I62" s="2642">
        <v>0.46</v>
      </c>
      <c r="J62" s="2642">
        <v>0.32</v>
      </c>
      <c r="K62" s="2642">
        <v>0.42</v>
      </c>
      <c r="L62" s="2643">
        <v>0.64</v>
      </c>
      <c r="N62" s="2674">
        <f t="shared" si="126"/>
        <v>1.3898515951301874E-2</v>
      </c>
      <c r="O62" s="2675">
        <f t="shared" si="126"/>
        <v>1.0585900169080346E-2</v>
      </c>
      <c r="P62" s="2675">
        <f t="shared" si="127"/>
        <v>5.3299492385786795E-2</v>
      </c>
      <c r="Q62" s="2675">
        <f t="shared" si="127"/>
        <v>4.2898728359123568E-3</v>
      </c>
      <c r="R62" s="2628"/>
      <c r="S62" s="2626"/>
      <c r="T62" s="2627"/>
      <c r="U62" s="2627"/>
      <c r="V62" s="2627"/>
      <c r="X62" s="2676"/>
      <c r="Y62" s="2676"/>
      <c r="Z62" s="2676"/>
    </row>
    <row r="63" spans="1:26">
      <c r="A63" s="2618" t="s">
        <v>2617</v>
      </c>
      <c r="B63" s="2631">
        <f t="shared" si="128"/>
        <v>124.29032258064517</v>
      </c>
      <c r="C63" s="2631">
        <f t="shared" si="128"/>
        <v>123.8968609865471</v>
      </c>
      <c r="D63" s="2631">
        <f t="shared" si="98"/>
        <v>123.8968609865471</v>
      </c>
      <c r="E63" s="2631">
        <f t="shared" si="129"/>
        <v>138.00507614213197</v>
      </c>
      <c r="F63" s="2631">
        <f t="shared" si="129"/>
        <v>107.96106557377048</v>
      </c>
      <c r="G63" s="3519">
        <v>2005</v>
      </c>
      <c r="H63" s="2622">
        <v>2</v>
      </c>
      <c r="I63" s="2622">
        <v>0.47</v>
      </c>
      <c r="J63" s="2622">
        <v>0.1</v>
      </c>
      <c r="K63" s="2622">
        <v>0.52</v>
      </c>
      <c r="L63" s="2633">
        <v>0.79</v>
      </c>
      <c r="N63" s="2674">
        <f t="shared" si="126"/>
        <v>1.420065760241713E-2</v>
      </c>
      <c r="O63" s="2675">
        <f t="shared" si="126"/>
        <v>3.3080938028376083E-3</v>
      </c>
      <c r="P63" s="2675">
        <f t="shared" si="127"/>
        <v>6.598984771573603E-2</v>
      </c>
      <c r="Q63" s="2675">
        <f t="shared" si="127"/>
        <v>5.2953117818293153E-3</v>
      </c>
      <c r="R63" s="2628"/>
      <c r="S63" s="2626"/>
      <c r="T63" s="2627"/>
      <c r="U63" s="2627"/>
      <c r="V63" s="2627"/>
      <c r="X63" s="2676"/>
      <c r="Y63" s="2676"/>
      <c r="Z63" s="2676"/>
    </row>
    <row r="64" spans="1:26">
      <c r="A64" s="2618" t="s">
        <v>2618</v>
      </c>
      <c r="B64" s="2631">
        <f t="shared" si="128"/>
        <v>122.57204301075269</v>
      </c>
      <c r="C64" s="2631">
        <f t="shared" si="128"/>
        <v>123.4932735426009</v>
      </c>
      <c r="D64" s="2631">
        <f t="shared" si="98"/>
        <v>123.4932735426009</v>
      </c>
      <c r="E64" s="2631">
        <f t="shared" si="129"/>
        <v>129.82233502538071</v>
      </c>
      <c r="F64" s="2631">
        <f t="shared" si="129"/>
        <v>107.39446721311475</v>
      </c>
      <c r="G64" s="3522">
        <v>2005</v>
      </c>
      <c r="H64" s="2621">
        <v>1</v>
      </c>
      <c r="I64" s="2621">
        <v>0.43</v>
      </c>
      <c r="J64" s="2621">
        <v>0.37</v>
      </c>
      <c r="K64" s="2621">
        <v>0.37</v>
      </c>
      <c r="L64" s="2632">
        <v>0.55000000000000004</v>
      </c>
      <c r="N64" s="2677">
        <f t="shared" si="126"/>
        <v>1.2992090997956099E-2</v>
      </c>
      <c r="O64" s="2678">
        <f t="shared" si="126"/>
        <v>1.2239947070499151E-2</v>
      </c>
      <c r="P64" s="2678">
        <f t="shared" si="127"/>
        <v>4.6954314720812178E-2</v>
      </c>
      <c r="Q64" s="2678">
        <f t="shared" si="127"/>
        <v>3.6866094683621815E-3</v>
      </c>
      <c r="R64" s="2628"/>
      <c r="S64" s="2634">
        <f>B64/B65-1</f>
        <v>1.2992090997956174E-2</v>
      </c>
      <c r="T64" s="2635">
        <f>C64/C65-1</f>
        <v>1.2239947070499246E-2</v>
      </c>
      <c r="U64" s="2635">
        <f>E64/E65-1</f>
        <v>4.695431472081224E-2</v>
      </c>
      <c r="V64" s="2635">
        <f>F64/F65-1</f>
        <v>3.6866094683620787E-3</v>
      </c>
      <c r="X64" s="2676"/>
      <c r="Y64" s="2676"/>
      <c r="Z64" s="2676"/>
    </row>
    <row r="65" spans="1:26" ht="13.5" thickBot="1">
      <c r="A65" s="2618" t="s">
        <v>2619</v>
      </c>
      <c r="B65" s="2661">
        <v>121</v>
      </c>
      <c r="C65" s="2661">
        <v>122</v>
      </c>
      <c r="D65" s="2661">
        <f t="shared" si="98"/>
        <v>122</v>
      </c>
      <c r="E65" s="2661">
        <v>124</v>
      </c>
      <c r="F65" s="2662">
        <v>107</v>
      </c>
      <c r="G65" s="3521">
        <v>2004</v>
      </c>
      <c r="H65" s="2637">
        <v>4</v>
      </c>
      <c r="I65" s="2637">
        <v>0.33</v>
      </c>
      <c r="J65" s="2637">
        <v>0.5</v>
      </c>
      <c r="K65" s="2637">
        <v>0.5</v>
      </c>
      <c r="L65" s="2638">
        <v>0</v>
      </c>
      <c r="N65" s="2674">
        <f t="shared" ref="N65:O68" si="130">I65/SUM(I$65:I$68)*(B$65/B$69-1)</f>
        <v>1.3391770148526898E-2</v>
      </c>
      <c r="O65" s="2675">
        <f t="shared" si="130"/>
        <v>1.063264221158958E-2</v>
      </c>
      <c r="P65" s="2675">
        <f t="shared" ref="P65:Q68" si="131">K65/SUM(K$65:K$68)*(E$65/E$69-1)</f>
        <v>2.2244466688911134E-2</v>
      </c>
      <c r="Q65" s="2675">
        <f t="shared" si="131"/>
        <v>0</v>
      </c>
      <c r="R65" s="2628"/>
      <c r="S65" s="2629"/>
      <c r="T65" s="2630"/>
      <c r="U65" s="2630"/>
      <c r="V65" s="2630"/>
      <c r="X65" s="2676"/>
      <c r="Y65" s="2676"/>
      <c r="Z65" s="2676"/>
    </row>
    <row r="66" spans="1:26">
      <c r="A66" s="2618" t="s">
        <v>2620</v>
      </c>
      <c r="B66" s="2631">
        <f t="shared" ref="B66:C68" si="132">B67+(B$65-B$69)*I66/SUM(I$65:I$68)</f>
        <v>119.51351351351352</v>
      </c>
      <c r="C66" s="2631">
        <f t="shared" si="132"/>
        <v>120.7878787878788</v>
      </c>
      <c r="D66" s="2631">
        <f t="shared" si="98"/>
        <v>120.7878787878788</v>
      </c>
      <c r="E66" s="2631">
        <f t="shared" ref="E66:F68" si="133">E67+(E$65-E$69)*K66/SUM(K$65:K$68)</f>
        <v>121.5975975975976</v>
      </c>
      <c r="F66" s="2631">
        <f t="shared" si="133"/>
        <v>107</v>
      </c>
      <c r="G66" s="3519">
        <v>2004</v>
      </c>
      <c r="H66" s="2642">
        <v>3</v>
      </c>
      <c r="I66" s="2642">
        <v>0.56000000000000005</v>
      </c>
      <c r="J66" s="2642">
        <v>0.8</v>
      </c>
      <c r="K66" s="2642">
        <v>0.83</v>
      </c>
      <c r="L66" s="2643">
        <v>0.06</v>
      </c>
      <c r="N66" s="2674">
        <f t="shared" si="130"/>
        <v>2.2725428130833527E-2</v>
      </c>
      <c r="O66" s="2675">
        <f t="shared" si="130"/>
        <v>1.7012227538543329E-2</v>
      </c>
      <c r="P66" s="2675">
        <f t="shared" si="131"/>
        <v>3.6925814703592477E-2</v>
      </c>
      <c r="Q66" s="2675">
        <f t="shared" si="131"/>
        <v>2.8846153846153744E-2</v>
      </c>
      <c r="R66" s="2628"/>
      <c r="S66" s="2626"/>
      <c r="T66" s="2627"/>
      <c r="U66" s="2627"/>
      <c r="V66" s="2627"/>
      <c r="X66" s="2676"/>
      <c r="Y66" s="2676"/>
      <c r="Z66" s="2676"/>
    </row>
    <row r="67" spans="1:26">
      <c r="A67" s="2618" t="s">
        <v>2621</v>
      </c>
      <c r="B67" s="2631">
        <f t="shared" si="132"/>
        <v>116.99099099099099</v>
      </c>
      <c r="C67" s="2631">
        <f t="shared" si="132"/>
        <v>118.84848484848486</v>
      </c>
      <c r="D67" s="2631">
        <f t="shared" si="98"/>
        <v>118.84848484848486</v>
      </c>
      <c r="E67" s="2631">
        <f t="shared" si="133"/>
        <v>117.60960960960961</v>
      </c>
      <c r="F67" s="2631">
        <f t="shared" si="133"/>
        <v>104</v>
      </c>
      <c r="G67" s="3519">
        <v>2004</v>
      </c>
      <c r="H67" s="2622">
        <v>2</v>
      </c>
      <c r="I67" s="2622">
        <v>1</v>
      </c>
      <c r="J67" s="2622">
        <v>1.5</v>
      </c>
      <c r="K67" s="2622">
        <v>1.5</v>
      </c>
      <c r="L67" s="2633">
        <v>0</v>
      </c>
      <c r="N67" s="2674">
        <f t="shared" si="130"/>
        <v>4.0581121662202721E-2</v>
      </c>
      <c r="O67" s="2675">
        <f t="shared" si="130"/>
        <v>3.1897926634768738E-2</v>
      </c>
      <c r="P67" s="2675">
        <f t="shared" si="131"/>
        <v>6.6733400066733395E-2</v>
      </c>
      <c r="Q67" s="2675">
        <f t="shared" si="131"/>
        <v>0</v>
      </c>
      <c r="R67" s="2628"/>
      <c r="S67" s="2626"/>
      <c r="T67" s="2627"/>
      <c r="U67" s="2627"/>
      <c r="V67" s="2627"/>
      <c r="X67" s="2676"/>
      <c r="Y67" s="2676"/>
      <c r="Z67" s="2676"/>
    </row>
    <row r="68" spans="1:26" s="2667" customFormat="1" ht="13.5" thickBot="1">
      <c r="A68" s="2618" t="s">
        <v>2622</v>
      </c>
      <c r="B68" s="2664">
        <f t="shared" si="132"/>
        <v>112.48648648648648</v>
      </c>
      <c r="C68" s="2664">
        <f t="shared" si="132"/>
        <v>115.21212121212122</v>
      </c>
      <c r="D68" s="2664">
        <f t="shared" si="98"/>
        <v>115.21212121212122</v>
      </c>
      <c r="E68" s="2664">
        <f t="shared" si="133"/>
        <v>110.4024024024024</v>
      </c>
      <c r="F68" s="2664">
        <f t="shared" si="133"/>
        <v>104</v>
      </c>
      <c r="G68" s="3522">
        <v>2004</v>
      </c>
      <c r="H68" s="2665">
        <v>1</v>
      </c>
      <c r="I68" s="2665">
        <v>0.33</v>
      </c>
      <c r="J68" s="2665">
        <v>0.5</v>
      </c>
      <c r="K68" s="2665">
        <v>0.5</v>
      </c>
      <c r="L68" s="2666">
        <v>0</v>
      </c>
      <c r="N68" s="2679">
        <f t="shared" si="130"/>
        <v>1.3391770148526898E-2</v>
      </c>
      <c r="O68" s="2680">
        <f t="shared" si="130"/>
        <v>1.063264221158958E-2</v>
      </c>
      <c r="P68" s="2680">
        <f t="shared" si="131"/>
        <v>2.2244466688911134E-2</v>
      </c>
      <c r="Q68" s="2680">
        <f t="shared" si="131"/>
        <v>0</v>
      </c>
      <c r="R68" s="2670"/>
      <c r="S68" s="2668">
        <f>B68/B69-1</f>
        <v>1.3391770148526883E-2</v>
      </c>
      <c r="T68" s="2669">
        <f>C68/C69-1</f>
        <v>1.063264221158966E-2</v>
      </c>
      <c r="U68" s="2669">
        <f>E68/E69-1</f>
        <v>2.2244466688911224E-2</v>
      </c>
      <c r="V68" s="2669">
        <f>F68/F69-1</f>
        <v>0</v>
      </c>
      <c r="X68" s="2681"/>
      <c r="Y68" s="2681"/>
      <c r="Z68" s="2681"/>
    </row>
    <row r="69" spans="1:26" ht="13.5" thickBot="1">
      <c r="A69" s="2618" t="s">
        <v>2623</v>
      </c>
      <c r="B69" s="2682">
        <v>111</v>
      </c>
      <c r="C69" s="2682">
        <v>114</v>
      </c>
      <c r="D69" s="2682">
        <f t="shared" si="98"/>
        <v>114</v>
      </c>
      <c r="E69" s="2682">
        <v>108</v>
      </c>
      <c r="F69" s="2683">
        <v>104</v>
      </c>
      <c r="G69" s="3521">
        <v>2003</v>
      </c>
      <c r="H69" s="2672">
        <v>4</v>
      </c>
      <c r="I69" s="2684"/>
      <c r="J69" s="2684"/>
      <c r="K69" s="2684"/>
      <c r="L69" s="2684"/>
      <c r="N69" s="2685"/>
      <c r="O69" s="2684"/>
      <c r="P69" s="2684"/>
      <c r="Q69" s="2684"/>
      <c r="S69" s="2685"/>
      <c r="T69" s="2684"/>
      <c r="U69" s="2684"/>
      <c r="V69" s="2684"/>
      <c r="X69" s="2676"/>
      <c r="Y69" s="2676"/>
      <c r="Z69" s="2676"/>
    </row>
    <row r="70" spans="1:26">
      <c r="A70" s="2618" t="s">
        <v>2624</v>
      </c>
      <c r="B70" s="2686">
        <f t="shared" ref="B70:C72" si="134">B71+(B$69-B$73)/4</f>
        <v>109.75</v>
      </c>
      <c r="C70" s="2686">
        <f t="shared" si="134"/>
        <v>112.25</v>
      </c>
      <c r="D70" s="2686">
        <f t="shared" si="98"/>
        <v>112.25</v>
      </c>
      <c r="E70" s="2686">
        <f t="shared" ref="E70:F72" si="135">E71+(E$69-E$73)/4</f>
        <v>107.25</v>
      </c>
      <c r="F70" s="2686">
        <f t="shared" si="135"/>
        <v>103.5</v>
      </c>
      <c r="G70" s="3519">
        <v>2003</v>
      </c>
      <c r="H70" s="2642">
        <v>3</v>
      </c>
      <c r="I70" s="2684"/>
      <c r="J70" s="2684"/>
      <c r="K70" s="2684"/>
      <c r="L70" s="2684"/>
      <c r="X70" s="2676"/>
      <c r="Y70" s="2676"/>
      <c r="Z70" s="2676"/>
    </row>
    <row r="71" spans="1:26">
      <c r="A71" s="2618" t="s">
        <v>2625</v>
      </c>
      <c r="B71" s="2686">
        <f t="shared" si="134"/>
        <v>108.5</v>
      </c>
      <c r="C71" s="2686">
        <f t="shared" si="134"/>
        <v>110.5</v>
      </c>
      <c r="D71" s="2686">
        <f t="shared" si="98"/>
        <v>110.5</v>
      </c>
      <c r="E71" s="2686">
        <f t="shared" si="135"/>
        <v>106.5</v>
      </c>
      <c r="F71" s="2686">
        <f t="shared" si="135"/>
        <v>103</v>
      </c>
      <c r="G71" s="3519">
        <v>2003</v>
      </c>
      <c r="H71" s="2622">
        <v>2</v>
      </c>
      <c r="I71" s="2684"/>
      <c r="J71" s="2684"/>
      <c r="K71" s="2684"/>
      <c r="L71" s="2684"/>
      <c r="X71" s="2676"/>
      <c r="Y71" s="2676"/>
      <c r="Z71" s="2676"/>
    </row>
    <row r="72" spans="1:26" ht="13.5" thickBot="1">
      <c r="A72" s="2618" t="s">
        <v>2626</v>
      </c>
      <c r="B72" s="2686">
        <f t="shared" si="134"/>
        <v>107.25</v>
      </c>
      <c r="C72" s="2686">
        <f t="shared" si="134"/>
        <v>108.75</v>
      </c>
      <c r="D72" s="2686">
        <f t="shared" si="98"/>
        <v>108.75</v>
      </c>
      <c r="E72" s="2686">
        <f t="shared" si="135"/>
        <v>105.75</v>
      </c>
      <c r="F72" s="2686">
        <f t="shared" si="135"/>
        <v>102.5</v>
      </c>
      <c r="G72" s="3522">
        <v>2003</v>
      </c>
      <c r="H72" s="2687">
        <v>1</v>
      </c>
      <c r="I72" s="2684"/>
      <c r="J72" s="2684"/>
      <c r="K72" s="2684"/>
      <c r="L72" s="2684"/>
      <c r="S72" s="2626"/>
      <c r="T72" s="2627"/>
      <c r="U72" s="2627"/>
      <c r="X72" s="2676"/>
      <c r="Y72" s="2676"/>
      <c r="Z72" s="2676"/>
    </row>
    <row r="73" spans="1:26" ht="13.5" thickBot="1">
      <c r="A73" s="2618" t="s">
        <v>2627</v>
      </c>
      <c r="B73" s="2688">
        <v>106</v>
      </c>
      <c r="C73" s="2688">
        <v>107</v>
      </c>
      <c r="D73" s="2688">
        <f t="shared" si="98"/>
        <v>107</v>
      </c>
      <c r="E73" s="2688">
        <v>105</v>
      </c>
      <c r="F73" s="2689">
        <v>102</v>
      </c>
      <c r="G73" s="3521">
        <v>2002</v>
      </c>
      <c r="H73" s="2637">
        <v>4</v>
      </c>
      <c r="I73" s="2684"/>
      <c r="J73" s="2684"/>
      <c r="K73" s="2684"/>
      <c r="L73" s="2684"/>
      <c r="N73" s="2685"/>
      <c r="O73" s="2684"/>
      <c r="P73" s="2684"/>
      <c r="Q73" s="2684"/>
      <c r="S73" s="2685"/>
      <c r="T73" s="2684"/>
      <c r="U73" s="2684"/>
      <c r="V73" s="2684"/>
      <c r="X73" s="2676"/>
      <c r="Y73" s="2676"/>
      <c r="Z73" s="2676"/>
    </row>
    <row r="74" spans="1:26">
      <c r="A74" s="2618" t="s">
        <v>2628</v>
      </c>
      <c r="B74" s="2686">
        <f t="shared" ref="B74:C76" si="136">B75+(B$73-B$77)/4</f>
        <v>105</v>
      </c>
      <c r="C74" s="2686">
        <f t="shared" si="136"/>
        <v>106</v>
      </c>
      <c r="D74" s="2686">
        <f t="shared" si="98"/>
        <v>106</v>
      </c>
      <c r="E74" s="2686">
        <f t="shared" ref="E74:F76" si="137">E75+(E$73-E$77)/4</f>
        <v>104.5</v>
      </c>
      <c r="F74" s="2686">
        <f t="shared" si="137"/>
        <v>101.5</v>
      </c>
      <c r="G74" s="3519">
        <v>2002</v>
      </c>
      <c r="H74" s="2642">
        <v>3</v>
      </c>
      <c r="I74" s="2684"/>
      <c r="J74" s="2684"/>
      <c r="K74" s="2684"/>
      <c r="L74" s="2684"/>
      <c r="X74" s="2676"/>
      <c r="Y74" s="2676"/>
      <c r="Z74" s="2676"/>
    </row>
    <row r="75" spans="1:26">
      <c r="A75" s="2618" t="s">
        <v>2629</v>
      </c>
      <c r="B75" s="2686">
        <f t="shared" si="136"/>
        <v>104</v>
      </c>
      <c r="C75" s="2686">
        <f t="shared" si="136"/>
        <v>105</v>
      </c>
      <c r="D75" s="2686">
        <f t="shared" si="98"/>
        <v>105</v>
      </c>
      <c r="E75" s="2686">
        <f t="shared" si="137"/>
        <v>104</v>
      </c>
      <c r="F75" s="2686">
        <f t="shared" si="137"/>
        <v>101</v>
      </c>
      <c r="G75" s="3519">
        <v>2002</v>
      </c>
      <c r="H75" s="2622">
        <v>2</v>
      </c>
      <c r="I75" s="2684"/>
      <c r="J75" s="2684"/>
      <c r="K75" s="2684"/>
      <c r="L75" s="2684"/>
      <c r="X75" s="2676"/>
      <c r="Y75" s="2676"/>
      <c r="Z75" s="2676"/>
    </row>
    <row r="76" spans="1:26" s="2653" customFormat="1" ht="13.5" thickBot="1">
      <c r="A76" s="2649" t="s">
        <v>2630</v>
      </c>
      <c r="B76" s="2690">
        <f t="shared" si="136"/>
        <v>103</v>
      </c>
      <c r="C76" s="2690">
        <f t="shared" si="136"/>
        <v>104</v>
      </c>
      <c r="D76" s="2690">
        <f t="shared" si="98"/>
        <v>104</v>
      </c>
      <c r="E76" s="2690">
        <f t="shared" si="137"/>
        <v>103.5</v>
      </c>
      <c r="F76" s="2690">
        <f t="shared" si="137"/>
        <v>100.5</v>
      </c>
      <c r="G76" s="3522">
        <v>2002</v>
      </c>
      <c r="H76" s="2691">
        <v>1</v>
      </c>
      <c r="I76" s="2692"/>
      <c r="J76" s="2692"/>
      <c r="K76" s="2692"/>
      <c r="L76" s="2692"/>
      <c r="N76" s="2693"/>
      <c r="S76" s="2693"/>
      <c r="X76" s="2694"/>
      <c r="Y76" s="2694"/>
      <c r="Z76" s="2694"/>
    </row>
    <row r="77" spans="1:26" ht="13.5" thickBot="1">
      <c r="B77" s="2695">
        <v>102</v>
      </c>
      <c r="C77" s="2696">
        <v>103</v>
      </c>
      <c r="D77" s="2696">
        <f t="shared" si="98"/>
        <v>103</v>
      </c>
      <c r="E77" s="2696">
        <v>103</v>
      </c>
      <c r="F77" s="2697">
        <v>100</v>
      </c>
      <c r="I77" s="2684"/>
      <c r="J77" s="2684"/>
      <c r="K77" s="2684"/>
      <c r="L77" s="2684"/>
      <c r="N77" s="2685"/>
      <c r="O77" s="2684"/>
      <c r="P77" s="2684"/>
      <c r="Q77" s="2684"/>
      <c r="S77" s="2685"/>
      <c r="T77" s="2684"/>
      <c r="U77" s="2684"/>
      <c r="V77" s="2684"/>
      <c r="X77" s="2630"/>
      <c r="Y77" s="2630"/>
      <c r="Z77" s="2630"/>
    </row>
    <row r="79" spans="1:26" s="2699" customFormat="1">
      <c r="A79" s="2698" t="s">
        <v>2631</v>
      </c>
      <c r="G79" s="2700"/>
      <c r="N79" s="2700"/>
      <c r="S79" s="2700"/>
    </row>
    <row r="80" spans="1:26" s="2699" customFormat="1">
      <c r="A80" s="2699" t="s">
        <v>2632</v>
      </c>
      <c r="G80" s="2700"/>
      <c r="N80" s="2700"/>
      <c r="S80" s="2700"/>
    </row>
    <row r="81" spans="1:22" s="2699" customFormat="1">
      <c r="A81" s="2699" t="s">
        <v>2633</v>
      </c>
      <c r="G81" s="2700"/>
      <c r="I81" s="2701"/>
      <c r="J81" s="2701"/>
      <c r="K81" s="2701"/>
      <c r="L81" s="2701"/>
      <c r="N81" s="2702"/>
      <c r="O81" s="2701"/>
      <c r="P81" s="2701"/>
      <c r="Q81" s="2701"/>
      <c r="S81" s="2702"/>
      <c r="T81" s="2701"/>
      <c r="U81" s="2701"/>
      <c r="V81" s="2701"/>
    </row>
    <row r="82" spans="1:22" s="2699" customFormat="1">
      <c r="A82" s="2699" t="s">
        <v>2634</v>
      </c>
      <c r="G82" s="2700"/>
      <c r="N82" s="2700"/>
      <c r="S82" s="2700"/>
    </row>
    <row r="89" spans="1:22" ht="13.5" thickBot="1"/>
    <row r="90" spans="1:22">
      <c r="G90" s="2625"/>
      <c r="S90" s="2703" t="s">
        <v>2635</v>
      </c>
      <c r="T90" s="2704" t="s">
        <v>2636</v>
      </c>
      <c r="U90" s="2704" t="s">
        <v>2637</v>
      </c>
      <c r="V90" s="2704" t="s">
        <v>2638</v>
      </c>
    </row>
    <row r="91" spans="1:22">
      <c r="G91" s="2625"/>
      <c r="N91" s="2629"/>
      <c r="O91" s="2630"/>
      <c r="P91" s="2630"/>
      <c r="Q91" s="2630"/>
      <c r="S91" s="2705">
        <v>2006</v>
      </c>
      <c r="T91" s="2706">
        <v>15.1</v>
      </c>
      <c r="U91" s="2706">
        <v>7.43</v>
      </c>
      <c r="V91" s="2706">
        <v>26.26</v>
      </c>
    </row>
    <row r="92" spans="1:22">
      <c r="G92" s="2625"/>
      <c r="N92" s="2629"/>
      <c r="O92" s="2630"/>
      <c r="P92" s="2630"/>
      <c r="Q92" s="2630"/>
      <c r="S92" s="2708">
        <v>2005</v>
      </c>
      <c r="T92" s="2707">
        <v>13.9</v>
      </c>
      <c r="U92" s="2707">
        <v>7.49</v>
      </c>
      <c r="V92" s="2707">
        <v>24.92</v>
      </c>
    </row>
    <row r="93" spans="1:22">
      <c r="G93" s="2625"/>
      <c r="N93" s="2629"/>
      <c r="O93" s="2630"/>
      <c r="P93" s="2630"/>
      <c r="Q93" s="2630"/>
      <c r="S93" s="2705">
        <v>2004</v>
      </c>
      <c r="T93" s="2706">
        <v>9.48</v>
      </c>
      <c r="U93" s="2706">
        <v>7.2</v>
      </c>
      <c r="V93" s="2706">
        <v>14.68</v>
      </c>
    </row>
    <row r="94" spans="1:22">
      <c r="G94" s="2625"/>
      <c r="N94" s="2629"/>
      <c r="O94" s="2630"/>
      <c r="P94" s="2630"/>
      <c r="Q94" s="2630"/>
      <c r="S94" s="2708">
        <v>2003</v>
      </c>
      <c r="T94" s="2707">
        <v>4.5</v>
      </c>
      <c r="U94" s="2707">
        <v>6.12</v>
      </c>
      <c r="V94" s="2707">
        <v>2.34</v>
      </c>
    </row>
    <row r="95" spans="1:22" ht="13.5" thickBot="1">
      <c r="G95" s="2625"/>
      <c r="N95" s="2629"/>
      <c r="O95" s="2630"/>
      <c r="P95" s="2630"/>
      <c r="Q95" s="2630"/>
      <c r="S95" s="2709">
        <v>2002</v>
      </c>
      <c r="T95" s="2710">
        <v>3.59</v>
      </c>
      <c r="U95" s="2710">
        <v>4.54</v>
      </c>
      <c r="V95" s="2710">
        <v>2.5499999999999998</v>
      </c>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9"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3004</v>
      </c>
      <c r="D1" s="3073" t="s">
        <v>952</v>
      </c>
      <c r="E1" s="2350" t="s">
        <v>870</v>
      </c>
      <c r="F1" s="2351">
        <f ca="1">J53</f>
        <v>36.58</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467</v>
      </c>
      <c r="B2" s="774">
        <f ca="1">C40+J29+L46</f>
        <v>16817</v>
      </c>
      <c r="C2" s="2041"/>
      <c r="D2" s="2039"/>
      <c r="E2" s="2040"/>
      <c r="F2" s="2040"/>
      <c r="G2" s="1575"/>
      <c r="H2" s="2041"/>
      <c r="I2" s="2041"/>
      <c r="J2" s="2041"/>
      <c r="K2" s="2042"/>
      <c r="L2" s="2041"/>
      <c r="M2" s="2041"/>
    </row>
    <row r="3" spans="1:33" ht="18" customHeight="1" thickBot="1">
      <c r="A3" s="832" t="s">
        <v>519</v>
      </c>
      <c r="B3" s="833">
        <f ca="1">IF(ISERROR(B2*10000/F43),0,ROUND(B2*10000/F43,0))</f>
        <v>17796</v>
      </c>
      <c r="C3" s="2041"/>
      <c r="D3" s="2039"/>
      <c r="E3" s="2040"/>
      <c r="F3" s="2040"/>
      <c r="G3" s="1575"/>
      <c r="H3" s="775" t="s">
        <v>695</v>
      </c>
      <c r="I3" s="1358"/>
      <c r="J3" s="1358"/>
      <c r="K3" s="1576"/>
      <c r="L3" s="1358"/>
      <c r="M3" s="1358"/>
    </row>
    <row r="4" spans="1:33" ht="18" customHeight="1">
      <c r="A4" s="776" t="s">
        <v>630</v>
      </c>
      <c r="B4" s="777" t="s">
        <v>631</v>
      </c>
      <c r="C4" s="777" t="s">
        <v>632</v>
      </c>
      <c r="D4" s="777" t="s">
        <v>633</v>
      </c>
      <c r="E4" s="778" t="s">
        <v>634</v>
      </c>
      <c r="F4" s="779"/>
      <c r="G4" s="1577"/>
      <c r="H4" s="776" t="s">
        <v>630</v>
      </c>
      <c r="I4" s="777" t="s">
        <v>631</v>
      </c>
      <c r="J4" s="777" t="s">
        <v>632</v>
      </c>
      <c r="K4" s="777" t="s">
        <v>633</v>
      </c>
      <c r="L4" s="778" t="s">
        <v>634</v>
      </c>
      <c r="M4" s="779"/>
    </row>
    <row r="5" spans="1:33" ht="18" customHeight="1">
      <c r="A5" s="780">
        <v>1</v>
      </c>
      <c r="B5" s="781" t="s">
        <v>2458</v>
      </c>
      <c r="C5" s="55">
        <f ca="1">C6+C10+C12</f>
        <v>931</v>
      </c>
      <c r="D5" s="2459" t="s">
        <v>2461</v>
      </c>
      <c r="E5" s="2453"/>
      <c r="F5" s="2454"/>
      <c r="G5" s="1577"/>
      <c r="H5" s="780">
        <v>1</v>
      </c>
      <c r="I5" s="781" t="s">
        <v>2458</v>
      </c>
      <c r="J5" s="55">
        <f ca="1">J6+J10+J12</f>
        <v>0</v>
      </c>
      <c r="K5" s="2459" t="s">
        <v>2461</v>
      </c>
      <c r="L5" s="2453"/>
      <c r="M5" s="2454"/>
    </row>
    <row r="6" spans="1:33" ht="18" customHeight="1">
      <c r="A6" s="1814" t="s">
        <v>1824</v>
      </c>
      <c r="B6" s="3482" t="s">
        <v>2463</v>
      </c>
      <c r="C6" s="782">
        <f ca="1">ROUND(F6*F8*F7*(1-F9)/10000,0)</f>
        <v>931</v>
      </c>
      <c r="D6" s="2460" t="s">
        <v>2462</v>
      </c>
      <c r="E6" s="783" t="s">
        <v>637</v>
      </c>
      <c r="F6" s="784">
        <f ca="1">INDIRECT("'数据-取费表'!u"&amp;$G$1)</f>
        <v>3</v>
      </c>
      <c r="G6" s="1577"/>
      <c r="H6" s="2467" t="s">
        <v>1824</v>
      </c>
      <c r="I6" s="3482" t="s">
        <v>2463</v>
      </c>
      <c r="J6" s="782">
        <f ca="1">ROUND(M6*M8*M7*(1-M9)/10000,0)</f>
        <v>0</v>
      </c>
      <c r="K6" s="340" t="s">
        <v>636</v>
      </c>
      <c r="L6" s="783" t="s">
        <v>637</v>
      </c>
      <c r="M6" s="784">
        <f ca="1">INDIRECT("'数据-取费表'!z"&amp;$G$1)</f>
        <v>0</v>
      </c>
    </row>
    <row r="7" spans="1:33" ht="18" customHeight="1">
      <c r="A7" s="2463"/>
      <c r="B7" s="3483"/>
      <c r="C7" s="787"/>
      <c r="D7" s="788"/>
      <c r="E7" s="783" t="s">
        <v>638</v>
      </c>
      <c r="F7" s="784">
        <f ca="1">IF(INDIRECT("'数据-取费表'!ah"&amp;$G$1)="",INDIRECT("'数据-取费表'!k"&amp;$G$1),INDIRECT("'数据-取费表'!ah"&amp;$G$1))</f>
        <v>9450</v>
      </c>
      <c r="G7" s="1577"/>
      <c r="H7" s="2452"/>
      <c r="I7" s="3483"/>
      <c r="J7" s="787"/>
      <c r="K7" s="788"/>
      <c r="L7" s="783" t="s">
        <v>638</v>
      </c>
      <c r="M7" s="784">
        <f ca="1">F7</f>
        <v>9450</v>
      </c>
    </row>
    <row r="8" spans="1:33" ht="18" customHeight="1">
      <c r="A8" s="2456"/>
      <c r="B8" s="3484"/>
      <c r="C8" s="787"/>
      <c r="D8" s="788"/>
      <c r="E8" s="783" t="s">
        <v>639</v>
      </c>
      <c r="F8" s="784">
        <f ca="1">INDIRECT("'数据-取费表'!ai"&amp;$G$1)</f>
        <v>365</v>
      </c>
      <c r="G8" s="1577"/>
      <c r="H8" s="2452"/>
      <c r="I8" s="3484"/>
      <c r="J8" s="787"/>
      <c r="K8" s="788"/>
      <c r="L8" s="783" t="s">
        <v>639</v>
      </c>
      <c r="M8" s="784">
        <f ca="1">INDIRECT("'数据-取费表'!ai"&amp;$G$1)</f>
        <v>365</v>
      </c>
    </row>
    <row r="9" spans="1:33" ht="18" customHeight="1">
      <c r="A9" s="785"/>
      <c r="B9" s="3485"/>
      <c r="C9" s="787"/>
      <c r="D9" s="788"/>
      <c r="E9" s="783" t="s">
        <v>640</v>
      </c>
      <c r="F9" s="793">
        <f ca="1">INDIRECT("'数据-取费表'!w"&amp;$G$1)</f>
        <v>0.1</v>
      </c>
      <c r="G9" s="1577"/>
      <c r="H9" s="2468"/>
      <c r="I9" s="3484"/>
      <c r="J9" s="787"/>
      <c r="K9" s="788"/>
      <c r="L9" s="794" t="s">
        <v>640</v>
      </c>
      <c r="M9" s="795">
        <f ca="1">INDIRECT("'数据-取费表'!ab"&amp;$G$1)</f>
        <v>0</v>
      </c>
    </row>
    <row r="10" spans="1:33" ht="18" customHeight="1">
      <c r="A10" s="1814" t="s">
        <v>1825</v>
      </c>
      <c r="B10" s="2457" t="s">
        <v>2459</v>
      </c>
      <c r="C10" s="798">
        <f ca="1">ROUND(IF(F10="押一",C6/12*F11,IF(F10="押二",C6/12*2*F11,IF(F10="押三",C6/12*3*F11,C11*F11))),0)</f>
        <v>0</v>
      </c>
      <c r="D10" s="2464" t="s">
        <v>2975</v>
      </c>
      <c r="E10" s="2461" t="s">
        <v>2464</v>
      </c>
      <c r="F10" s="2584"/>
      <c r="G10" s="1577"/>
      <c r="H10" s="2524" t="s">
        <v>1825</v>
      </c>
      <c r="I10" s="2529" t="s">
        <v>2459</v>
      </c>
      <c r="J10" s="782">
        <f ca="1">ROUND(IF(M10="押一",J6/12*M11,IF(M10="押二",J6/12*2*M11,IF(M10="押三",J6/12*3*M11,J11*M11))),0)</f>
        <v>0</v>
      </c>
      <c r="K10" s="2464" t="s">
        <v>2975</v>
      </c>
      <c r="L10" s="2461" t="s">
        <v>2464</v>
      </c>
      <c r="M10" s="2584"/>
    </row>
    <row r="11" spans="1:33" ht="18" customHeight="1">
      <c r="A11" s="789"/>
      <c r="B11" s="2458" t="s">
        <v>2573</v>
      </c>
      <c r="C11" s="2462"/>
      <c r="D11" s="788"/>
      <c r="E11" s="2461" t="s">
        <v>2456</v>
      </c>
      <c r="F11" s="795">
        <f ca="1">'数据-取费表'!B39</f>
        <v>1.4999999999999999E-2</v>
      </c>
      <c r="G11" s="1577"/>
      <c r="H11" s="2525"/>
      <c r="I11" s="2458" t="s">
        <v>2573</v>
      </c>
      <c r="J11" s="2462"/>
      <c r="K11" s="2526"/>
      <c r="L11" s="2461" t="s">
        <v>2456</v>
      </c>
      <c r="M11" s="2455">
        <f ca="1">'数据-取费表'!B39</f>
        <v>1.4999999999999999E-2</v>
      </c>
    </row>
    <row r="12" spans="1:33" ht="18" customHeight="1" thickBot="1">
      <c r="A12" s="2500" t="s">
        <v>2467</v>
      </c>
      <c r="B12" s="2501" t="s">
        <v>2460</v>
      </c>
      <c r="C12" s="2502"/>
      <c r="D12" s="2503"/>
      <c r="E12" s="2504"/>
      <c r="F12" s="2505"/>
      <c r="G12" s="1577"/>
      <c r="H12" s="2514" t="s">
        <v>2467</v>
      </c>
      <c r="I12" s="2527" t="s">
        <v>2460</v>
      </c>
      <c r="J12" s="2528"/>
      <c r="K12" s="2503"/>
      <c r="L12" s="2504"/>
      <c r="M12" s="2517"/>
    </row>
    <row r="13" spans="1:33" ht="18" customHeight="1" thickTop="1">
      <c r="A13" s="1813">
        <v>2</v>
      </c>
      <c r="B13" s="1811" t="s">
        <v>644</v>
      </c>
      <c r="C13" s="791">
        <f ca="1">ROUND(C29*F13,0)</f>
        <v>0</v>
      </c>
      <c r="D13" s="1818" t="s">
        <v>2297</v>
      </c>
      <c r="E13" s="1818" t="s">
        <v>643</v>
      </c>
      <c r="F13" s="2499">
        <f ca="1">INDIRECT("'数据-取费表'!y"&amp;$G$1)</f>
        <v>0</v>
      </c>
      <c r="G13" s="1577"/>
      <c r="H13" s="1813">
        <v>2</v>
      </c>
      <c r="I13" s="1811" t="s">
        <v>644</v>
      </c>
      <c r="J13" s="1803">
        <f ca="1">ROUND(J14*J15,0)</f>
        <v>0</v>
      </c>
      <c r="K13" s="1805" t="s">
        <v>642</v>
      </c>
      <c r="L13" s="2515"/>
      <c r="M13" s="2516"/>
    </row>
    <row r="14" spans="1:33" ht="18" customHeight="1">
      <c r="A14" s="1632" t="s">
        <v>1831</v>
      </c>
      <c r="B14" s="783" t="s">
        <v>645</v>
      </c>
      <c r="C14" s="803">
        <f ca="1">INDIRECT("'数据-取费表'!m"&amp;$G$1)+INDIRECT("'数据-取费表'!t"&amp;$G$1)</f>
        <v>2090</v>
      </c>
      <c r="D14" s="3188" t="s">
        <v>646</v>
      </c>
      <c r="E14" s="3187"/>
      <c r="F14" s="804"/>
      <c r="G14" s="1577"/>
      <c r="H14" s="1633" t="s">
        <v>1824</v>
      </c>
      <c r="I14" s="2215" t="s">
        <v>2825</v>
      </c>
      <c r="J14" s="53">
        <f ca="1">C29</f>
        <v>3142</v>
      </c>
      <c r="K14" s="26"/>
      <c r="L14" s="800"/>
      <c r="M14" s="801"/>
    </row>
    <row r="15" spans="1:33" s="2048" customFormat="1" ht="18" customHeight="1" thickBot="1">
      <c r="A15" s="1632" t="s">
        <v>1832</v>
      </c>
      <c r="B15" s="783" t="s">
        <v>647</v>
      </c>
      <c r="C15" s="53">
        <f ca="1">ROUND(C14*F15,0)</f>
        <v>63</v>
      </c>
      <c r="D15" s="805" t="s">
        <v>648</v>
      </c>
      <c r="E15" s="805" t="s">
        <v>649</v>
      </c>
      <c r="F15" s="806">
        <f>'数据-取费表'!B33</f>
        <v>0.03</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648</v>
      </c>
      <c r="E16" s="783" t="s">
        <v>649</v>
      </c>
      <c r="F16" s="808">
        <f ca="1">IF(INDIRECT("'数据-取费表'!c"&amp;$G$1)="住宅",'数据-取费表'!B34,0)</f>
        <v>0</v>
      </c>
      <c r="G16" s="1577"/>
      <c r="H16" s="1813" t="s">
        <v>1748</v>
      </c>
      <c r="I16" s="1811" t="s">
        <v>651</v>
      </c>
      <c r="J16" s="791">
        <f ca="1">ROUND(J17+J22+J23+J24,0)</f>
        <v>312</v>
      </c>
      <c r="K16" s="1805" t="s">
        <v>652</v>
      </c>
      <c r="L16" s="3190"/>
      <c r="M16" s="2454"/>
    </row>
    <row r="17" spans="1:33" s="2048" customFormat="1" ht="18" customHeight="1">
      <c r="A17" s="1632" t="s">
        <v>1887</v>
      </c>
      <c r="B17" s="783" t="s">
        <v>653</v>
      </c>
      <c r="C17" s="53">
        <f ca="1">ROUND(F17*(F43+INDIRECT("'数据-取费表'!S"&amp;$G$1))/10000,0)</f>
        <v>143</v>
      </c>
      <c r="D17" s="783" t="s">
        <v>654</v>
      </c>
      <c r="E17" s="783" t="s">
        <v>655</v>
      </c>
      <c r="F17" s="56">
        <f>'数据-取费表'!B35</f>
        <v>150</v>
      </c>
      <c r="G17" s="1578"/>
      <c r="H17" s="1633" t="s">
        <v>1824</v>
      </c>
      <c r="I17" s="783" t="s">
        <v>656</v>
      </c>
      <c r="J17" s="53">
        <f ca="1">ROUND(IF(项目基本情况!B11="自然人",J6*M17/(1+'数据-取费表'!C42),J18+J19+J20),0)</f>
        <v>265</v>
      </c>
      <c r="K17" s="3188" t="s">
        <v>657</v>
      </c>
      <c r="L17" s="3189" t="s">
        <v>658</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31</v>
      </c>
      <c r="D18" s="783" t="s">
        <v>648</v>
      </c>
      <c r="E18" s="783" t="s">
        <v>649</v>
      </c>
      <c r="F18" s="808">
        <f>'数据-取费表'!B36</f>
        <v>1.4999999999999999E-2</v>
      </c>
      <c r="G18" s="1578"/>
      <c r="H18" s="1632" t="s">
        <v>1831</v>
      </c>
      <c r="I18" s="783" t="s">
        <v>660</v>
      </c>
      <c r="J18" s="53">
        <f ca="1">ROUND(J6*M18/(1+'数据-取费表'!C42),1)</f>
        <v>0</v>
      </c>
      <c r="K18" s="3189" t="s">
        <v>661</v>
      </c>
      <c r="L18" s="783" t="s">
        <v>649</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3" t="s">
        <v>662</v>
      </c>
      <c r="C19" s="53">
        <f ca="1">SUM(C14:C18)</f>
        <v>2327</v>
      </c>
      <c r="D19" s="260" t="s">
        <v>663</v>
      </c>
      <c r="E19" s="3191"/>
      <c r="F19" s="56"/>
      <c r="G19" s="1577"/>
      <c r="H19" s="1632" t="s">
        <v>1832</v>
      </c>
      <c r="I19" s="783" t="s">
        <v>664</v>
      </c>
      <c r="J19" s="53">
        <f ca="1">IF(K19="按租金收入计税",ROUND(J6*M19/(1+'数据-取费表'!C42),1),ROUND(C29*F33*0.7,1))</f>
        <v>263.89999999999998</v>
      </c>
      <c r="K19" s="810" t="s">
        <v>665</v>
      </c>
      <c r="L19" s="783" t="s">
        <v>649</v>
      </c>
      <c r="M19" s="808">
        <f>IF(K19="按租金收入计税",'数据-取费表'!B51,'数据-取费表'!B50)</f>
        <v>1.2E-2</v>
      </c>
    </row>
    <row r="20" spans="1:33" s="2048" customFormat="1" ht="18" customHeight="1">
      <c r="A20" s="1633" t="s">
        <v>1889</v>
      </c>
      <c r="B20" s="783" t="s">
        <v>666</v>
      </c>
      <c r="C20" s="53">
        <f ca="1">ROUND(C19*F20,0)</f>
        <v>47</v>
      </c>
      <c r="D20" s="811" t="s">
        <v>667</v>
      </c>
      <c r="E20" s="783" t="s">
        <v>649</v>
      </c>
      <c r="F20" s="808">
        <f>'数据-取费表'!B37</f>
        <v>0.02</v>
      </c>
      <c r="G20" s="1578"/>
      <c r="H20" s="1635" t="s">
        <v>1833</v>
      </c>
      <c r="I20" s="340" t="s">
        <v>668</v>
      </c>
      <c r="J20" s="54">
        <f ca="1">ROUND(M20*M21/10000,0)</f>
        <v>1</v>
      </c>
      <c r="K20" s="813" t="s">
        <v>669</v>
      </c>
      <c r="L20" s="783" t="s">
        <v>670</v>
      </c>
      <c r="M20" s="639">
        <f>'数据-取费表'!B52</f>
        <v>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0.02</v>
      </c>
      <c r="G21" s="1578"/>
      <c r="H21" s="2469"/>
      <c r="I21" s="792"/>
      <c r="J21" s="69"/>
      <c r="K21" s="815"/>
      <c r="L21" s="783" t="s">
        <v>674</v>
      </c>
      <c r="M21" s="784">
        <f ca="1">INDIRECT("'数据-取费表'!r"&amp;$G$1)</f>
        <v>2864.37</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91"/>
      <c r="F22" s="56"/>
      <c r="G22" s="1577"/>
      <c r="H22" s="1633" t="s">
        <v>1889</v>
      </c>
      <c r="I22" s="783" t="s">
        <v>676</v>
      </c>
      <c r="J22" s="53">
        <f ca="1">ROUND(J14*M22,0)</f>
        <v>47</v>
      </c>
      <c r="K22" s="3189" t="s">
        <v>677</v>
      </c>
      <c r="L22" s="783" t="s">
        <v>649</v>
      </c>
      <c r="M22" s="816">
        <f ca="1">INDIRECT("'数据-取费表'!Ak"&amp;$G$1)</f>
        <v>1.4999999999999999E-2</v>
      </c>
    </row>
    <row r="23" spans="1:33" s="2048" customFormat="1" ht="18" customHeight="1">
      <c r="A23" s="1632" t="s">
        <v>1831</v>
      </c>
      <c r="B23" s="783" t="s">
        <v>2437</v>
      </c>
      <c r="C23" s="53">
        <f ca="1">ROUND(IF('数据-取费表'!B22&lt;=1,(C19+C20)*F24*F23/2,(C19+C20)*(POWER((1+F24),F23/2)-1)),0)</f>
        <v>171</v>
      </c>
      <c r="D23" s="2534" t="str">
        <f>IF(F23&lt;=1,"(建造成本+管理费用)×利率×(建设周期÷2)","(建造成本+管理费用)×((1+利率)^(建设周期÷2)-1)")</f>
        <v>(建造成本+管理费用)×((1+利率)^(建设周期÷2)-1)</v>
      </c>
      <c r="E23" s="783" t="s">
        <v>678</v>
      </c>
      <c r="F23" s="639">
        <f>'数据-取费表'!B20</f>
        <v>3</v>
      </c>
      <c r="G23" s="1578"/>
      <c r="H23" s="1633" t="s">
        <v>1890</v>
      </c>
      <c r="I23" s="783" t="s">
        <v>679</v>
      </c>
      <c r="J23" s="53">
        <f ca="1">ROUND(J13*M23,0)</f>
        <v>0</v>
      </c>
      <c r="K23" s="3189" t="s">
        <v>680</v>
      </c>
      <c r="L23" s="783" t="s">
        <v>649</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1.4E-3</v>
      </c>
      <c r="D24" s="2534" t="str">
        <f>IF(F23&lt;=1,"销售费用×利率×(建设周期÷2)","销售费用×((1+利率)^(建设周期÷2)-1)")</f>
        <v>销售费用×((1+利率)^(建设周期÷2)-1)</v>
      </c>
      <c r="E24" s="783" t="s">
        <v>682</v>
      </c>
      <c r="F24" s="818">
        <f ca="1">'数据-取费表'!B40</f>
        <v>4.7500000000000001E-2</v>
      </c>
      <c r="G24" s="1578"/>
      <c r="H24" s="2514" t="s">
        <v>1891</v>
      </c>
      <c r="I24" s="2509" t="s">
        <v>666</v>
      </c>
      <c r="J24" s="2507">
        <f ca="1">ROUND(J5*M24,0)</f>
        <v>0</v>
      </c>
      <c r="K24" s="2508" t="s">
        <v>683</v>
      </c>
      <c r="L24" s="2509" t="s">
        <v>649</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685</v>
      </c>
      <c r="E25" s="3191"/>
      <c r="F25" s="56"/>
      <c r="G25" s="1577"/>
      <c r="H25" s="1813" t="s">
        <v>1776</v>
      </c>
      <c r="I25" s="2961" t="s">
        <v>2822</v>
      </c>
      <c r="J25" s="791">
        <f ca="1">J5-J16</f>
        <v>-312</v>
      </c>
      <c r="K25" s="2511" t="s">
        <v>700</v>
      </c>
      <c r="L25" s="2512"/>
      <c r="M25" s="2513"/>
    </row>
    <row r="26" spans="1:33" ht="18" customHeight="1">
      <c r="A26" s="1632" t="s">
        <v>1831</v>
      </c>
      <c r="B26" s="783" t="s">
        <v>2438</v>
      </c>
      <c r="C26" s="53">
        <f ca="1">ROUND((C19+C20)*F26,0)</f>
        <v>356</v>
      </c>
      <c r="D26" s="811" t="s">
        <v>701</v>
      </c>
      <c r="E26" s="794" t="s">
        <v>702</v>
      </c>
      <c r="F26" s="793">
        <f ca="1">INDIRECT("'数据-取费表'!q"&amp;$G$1)</f>
        <v>0.15</v>
      </c>
      <c r="G26" s="1577"/>
      <c r="H26" s="2465" t="s">
        <v>1780</v>
      </c>
      <c r="I26" s="2216" t="s">
        <v>2827</v>
      </c>
      <c r="J26" s="782">
        <f ca="1">IF(J5&lt;&gt;0,ROUND(J25*(1-((1+M28)/(1+M26))^M27)/(M26-M28),0),0)</f>
        <v>0</v>
      </c>
      <c r="K26" s="813" t="s">
        <v>704</v>
      </c>
      <c r="L26" s="783" t="s">
        <v>2419</v>
      </c>
      <c r="M26" s="793">
        <f ca="1">INDIRECT("'数据-取费表'!I"&amp;$G$1)</f>
        <v>0.06</v>
      </c>
    </row>
    <row r="27" spans="1:33" ht="18" customHeight="1">
      <c r="A27" s="1632" t="s">
        <v>1832</v>
      </c>
      <c r="B27" s="783" t="s">
        <v>686</v>
      </c>
      <c r="C27" s="53">
        <f ca="1">ROUND(F21*F26,4)</f>
        <v>3.0000000000000001E-3</v>
      </c>
      <c r="D27" s="811" t="s">
        <v>706</v>
      </c>
      <c r="E27" s="805"/>
      <c r="F27" s="806"/>
      <c r="G27" s="1577"/>
      <c r="H27" s="2466"/>
      <c r="I27" s="786"/>
      <c r="J27" s="787"/>
      <c r="K27" s="820" t="s">
        <v>707</v>
      </c>
      <c r="L27" s="783" t="s">
        <v>708</v>
      </c>
      <c r="M27" s="821">
        <f ca="1">INDIRECT("'数据-取费表'!ag"&amp;$G$1)</f>
        <v>0</v>
      </c>
    </row>
    <row r="28" spans="1:33" s="2048" customFormat="1" ht="18" customHeight="1">
      <c r="A28" s="1634" t="s">
        <v>1841</v>
      </c>
      <c r="B28" s="783" t="s">
        <v>687</v>
      </c>
      <c r="C28" s="53">
        <f>ROUND(F28/(1+'数据-取费表'!C42),4)</f>
        <v>5.2400000000000002E-2</v>
      </c>
      <c r="D28" s="811" t="s">
        <v>2299</v>
      </c>
      <c r="E28" s="783" t="s">
        <v>649</v>
      </c>
      <c r="F28" s="808">
        <f>'数据-取费表'!B41</f>
        <v>5.5000000000000007E-2</v>
      </c>
      <c r="G28" s="1578"/>
      <c r="H28" s="1813"/>
      <c r="I28" s="790"/>
      <c r="J28" s="791"/>
      <c r="K28" s="815"/>
      <c r="L28" s="783" t="s">
        <v>710</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3142</v>
      </c>
      <c r="D29" s="2508"/>
      <c r="E29" s="2509"/>
      <c r="F29" s="2510"/>
      <c r="G29" s="1578"/>
      <c r="H29" s="822" t="s">
        <v>1787</v>
      </c>
      <c r="I29" s="823" t="s">
        <v>1788</v>
      </c>
      <c r="J29" s="824">
        <f ca="1">ROUND(J26/(1+F40)^F41,0)</f>
        <v>0</v>
      </c>
      <c r="K29" s="825" t="s">
        <v>688</v>
      </c>
      <c r="L29" s="826"/>
      <c r="M29" s="827">
        <f ca="1">INDIRECT("'数据-取费表'!k"&amp;$G$1)</f>
        <v>9450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1748</v>
      </c>
      <c r="B30" s="1811" t="s">
        <v>651</v>
      </c>
      <c r="C30" s="791">
        <f ca="1">ROUND(C31+C36+C37+C38,0)</f>
        <v>213</v>
      </c>
      <c r="D30" s="1805" t="s">
        <v>652</v>
      </c>
      <c r="E30" s="3190"/>
      <c r="F30" s="2454"/>
      <c r="G30" s="2046"/>
      <c r="H30" s="2049"/>
      <c r="I30" s="2050"/>
      <c r="J30" s="2051"/>
      <c r="K30" s="2052"/>
      <c r="L30" s="2053"/>
      <c r="M30" s="2054"/>
    </row>
    <row r="31" spans="1:33" ht="18" customHeight="1">
      <c r="A31" s="1633" t="s">
        <v>1824</v>
      </c>
      <c r="B31" s="783" t="s">
        <v>656</v>
      </c>
      <c r="C31" s="53">
        <f ca="1">ROUND(IF(项目基本情况!B11="自然人",C6*F31/(1+'数据-取费表'!C42),C32+C33+C34),1)</f>
        <v>156.6</v>
      </c>
      <c r="D31" s="3188" t="s">
        <v>657</v>
      </c>
      <c r="E31" s="3189" t="s">
        <v>690</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660</v>
      </c>
      <c r="C32" s="53">
        <f ca="1">ROUND(C6*F32/(1+'数据-取费表'!C42),1)</f>
        <v>48.8</v>
      </c>
      <c r="D32" s="3189" t="s">
        <v>661</v>
      </c>
      <c r="E32" s="783" t="s">
        <v>649</v>
      </c>
      <c r="F32" s="808">
        <f>'数据-取费表'!B41</f>
        <v>5.5000000000000007E-2</v>
      </c>
      <c r="G32" s="2046"/>
      <c r="H32" s="2055"/>
      <c r="I32" s="2056"/>
      <c r="J32" s="2057"/>
      <c r="K32" s="2058"/>
      <c r="L32" s="2059"/>
      <c r="M32" s="2060"/>
    </row>
    <row r="33" spans="1:18" ht="18" customHeight="1">
      <c r="A33" s="1632" t="s">
        <v>1832</v>
      </c>
      <c r="B33" s="783" t="s">
        <v>664</v>
      </c>
      <c r="C33" s="53">
        <f ca="1">IF(D33="按租金收入计税",ROUND(C6*F33/(1+'数据-取费表'!C42),1),IF(D33="按房产原值计税",ROUND(C29*F33*0.7,1),INDIRECT("'数据-取费表'!Aj"&amp;$G$1)))</f>
        <v>106.4</v>
      </c>
      <c r="D33" s="810" t="s">
        <v>3051</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668</v>
      </c>
      <c r="C34" s="54">
        <f ca="1">ROUND(F34*F35/10000,1)</f>
        <v>1.4</v>
      </c>
      <c r="D34" s="813" t="s">
        <v>669</v>
      </c>
      <c r="E34" s="783" t="s">
        <v>670</v>
      </c>
      <c r="F34" s="639">
        <f>'数据-取费表'!B52</f>
        <v>5</v>
      </c>
      <c r="G34" s="2046"/>
      <c r="H34" s="2049"/>
      <c r="I34" s="834" t="s">
        <v>1813</v>
      </c>
      <c r="J34" s="835"/>
      <c r="K34" s="2064"/>
      <c r="L34" s="2063"/>
      <c r="M34" s="2063"/>
    </row>
    <row r="35" spans="1:18" ht="18" customHeight="1">
      <c r="A35" s="814"/>
      <c r="B35" s="792"/>
      <c r="C35" s="69"/>
      <c r="D35" s="815"/>
      <c r="E35" s="783" t="s">
        <v>674</v>
      </c>
      <c r="F35" s="784">
        <f ca="1">INDIRECT("'数据-取费表'!r"&amp;$G$1)</f>
        <v>2864.37</v>
      </c>
      <c r="G35" s="2046"/>
      <c r="H35" s="2049"/>
      <c r="I35" s="836" t="s">
        <v>1814</v>
      </c>
      <c r="J35" s="837">
        <f ca="1">ROUND(C13*J36,0)</f>
        <v>0</v>
      </c>
      <c r="K35" s="2062"/>
      <c r="L35" s="2061"/>
      <c r="M35" s="2061"/>
    </row>
    <row r="36" spans="1:18" ht="18" customHeight="1">
      <c r="A36" s="1633" t="s">
        <v>1889</v>
      </c>
      <c r="B36" s="783" t="s">
        <v>676</v>
      </c>
      <c r="C36" s="53">
        <f ca="1">ROUND(C29*F36,1)</f>
        <v>47.1</v>
      </c>
      <c r="D36" s="3189" t="s">
        <v>691</v>
      </c>
      <c r="E36" s="783" t="s">
        <v>649</v>
      </c>
      <c r="F36" s="816">
        <f ca="1">INDIRECT("'数据-取费表'!Ak"&amp;$G$1)</f>
        <v>1.4999999999999999E-2</v>
      </c>
      <c r="G36" s="2046"/>
      <c r="H36" s="2061"/>
      <c r="I36" s="838" t="s">
        <v>1815</v>
      </c>
      <c r="J36" s="839">
        <f ca="1">INDIRECT("'数据-取费表'!j"&amp;$G$1)</f>
        <v>0</v>
      </c>
      <c r="K36" s="2066"/>
      <c r="L36" s="2061"/>
      <c r="M36" s="2061"/>
    </row>
    <row r="37" spans="1:18" ht="18" customHeight="1">
      <c r="A37" s="1633" t="s">
        <v>1890</v>
      </c>
      <c r="B37" s="783" t="s">
        <v>679</v>
      </c>
      <c r="C37" s="53">
        <f ca="1">ROUND(C13*F37,1)</f>
        <v>0</v>
      </c>
      <c r="D37" s="3189" t="s">
        <v>680</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9.3000000000000007</v>
      </c>
      <c r="D38" s="2508" t="s">
        <v>683</v>
      </c>
      <c r="E38" s="2509" t="s">
        <v>649</v>
      </c>
      <c r="F38" s="2505">
        <f ca="1">INDIRECT("'数据-取费表'!Am"&amp;$G$1)</f>
        <v>0.01</v>
      </c>
      <c r="G38" s="2046"/>
      <c r="H38" s="2061"/>
      <c r="I38" s="842" t="s">
        <v>1817</v>
      </c>
      <c r="J38" s="843"/>
      <c r="K38" s="2067"/>
      <c r="L38" s="2061"/>
      <c r="M38" s="2061"/>
    </row>
    <row r="39" spans="1:18" ht="24.6" customHeight="1" thickTop="1">
      <c r="A39" s="1813" t="s">
        <v>1776</v>
      </c>
      <c r="B39" s="2961" t="s">
        <v>2822</v>
      </c>
      <c r="C39" s="791">
        <f ca="1">C5-C30</f>
        <v>718</v>
      </c>
      <c r="D39" s="2511" t="s">
        <v>700</v>
      </c>
      <c r="E39" s="2512"/>
      <c r="F39" s="2513"/>
      <c r="G39" s="2046"/>
      <c r="H39" s="2061"/>
      <c r="I39" s="836" t="s">
        <v>1818</v>
      </c>
      <c r="J39" s="844">
        <f ca="1">ROUND(J35/C39,3)</f>
        <v>0</v>
      </c>
      <c r="K39" s="2067"/>
      <c r="L39" s="2061"/>
      <c r="M39" s="2061"/>
    </row>
    <row r="40" spans="1:18" ht="18" customHeight="1">
      <c r="A40" s="780" t="s">
        <v>1780</v>
      </c>
      <c r="B40" s="2216" t="s">
        <v>2301</v>
      </c>
      <c r="C40" s="782">
        <f ca="1">ROUND(C39*(1-((1+F42)/(1+F40))^F41)/(F40-F42),0)</f>
        <v>15560</v>
      </c>
      <c r="D40" s="813" t="s">
        <v>704</v>
      </c>
      <c r="E40" s="783" t="s">
        <v>2419</v>
      </c>
      <c r="F40" s="793">
        <f ca="1">INDIRECT("'数据-取费表'!I"&amp;$G$1)</f>
        <v>0.06</v>
      </c>
      <c r="G40" s="2046"/>
      <c r="H40" s="2046"/>
      <c r="I40" s="836" t="s">
        <v>1819</v>
      </c>
      <c r="J40" s="844">
        <f ca="1">1-J39</f>
        <v>1</v>
      </c>
      <c r="K40" s="2067"/>
      <c r="L40" s="2046"/>
      <c r="M40" s="2046"/>
    </row>
    <row r="41" spans="1:18" ht="18" customHeight="1">
      <c r="A41" s="785"/>
      <c r="B41" s="786"/>
      <c r="C41" s="787"/>
      <c r="D41" s="820" t="s">
        <v>1808</v>
      </c>
      <c r="E41" s="783" t="s">
        <v>708</v>
      </c>
      <c r="F41" s="821">
        <f ca="1">IF(INDIRECT("'数据-取费表'!af"&amp;$G$1)=0,INDIRECT("'数据-取费表'!ae"&amp;$G$1),INDIRECT("'数据-取费表'!af"&amp;$G$1))</f>
        <v>36.58</v>
      </c>
      <c r="G41" s="2046"/>
      <c r="H41" s="1972"/>
      <c r="I41" s="842" t="s">
        <v>1820</v>
      </c>
      <c r="J41" s="845"/>
      <c r="K41" s="2066"/>
      <c r="L41" s="1972"/>
      <c r="M41" s="1972"/>
    </row>
    <row r="42" spans="1:18" ht="18" customHeight="1">
      <c r="A42" s="789"/>
      <c r="B42" s="790"/>
      <c r="C42" s="791"/>
      <c r="D42" s="815"/>
      <c r="E42" s="783" t="s">
        <v>710</v>
      </c>
      <c r="F42" s="793">
        <f ca="1">INDIRECT("'数据-取费表'!v"&amp;$G$1)</f>
        <v>0.03</v>
      </c>
      <c r="G42" s="2046"/>
      <c r="H42" s="1972"/>
      <c r="I42" s="846" t="s">
        <v>1821</v>
      </c>
      <c r="J42" s="844">
        <f ca="1">ROUND(C13/C40,3)</f>
        <v>0</v>
      </c>
      <c r="K42" s="2066"/>
      <c r="L42" s="1972"/>
      <c r="M42" s="1972"/>
    </row>
    <row r="43" spans="1:18" ht="18" customHeight="1" thickBot="1">
      <c r="A43" s="822" t="s">
        <v>1787</v>
      </c>
      <c r="B43" s="823" t="s">
        <v>1810</v>
      </c>
      <c r="C43" s="824">
        <f ca="1">ROUND(C40*10000/F43,0)</f>
        <v>16466</v>
      </c>
      <c r="D43" s="825" t="s">
        <v>1811</v>
      </c>
      <c r="E43" s="826" t="s">
        <v>1812</v>
      </c>
      <c r="F43" s="827">
        <f ca="1">INDIRECT("'数据-取费表'!k"&amp;$G$1)</f>
        <v>9450</v>
      </c>
      <c r="G43" s="2046"/>
      <c r="H43" s="1972"/>
      <c r="I43" s="846" t="s">
        <v>1822</v>
      </c>
      <c r="J43" s="847">
        <f ca="1">1-J42</f>
        <v>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-16280</v>
      </c>
      <c r="D46" s="2069"/>
      <c r="E46" s="2069"/>
      <c r="F46" s="2069"/>
      <c r="I46" s="2341" t="s">
        <v>2343</v>
      </c>
      <c r="J46" s="2342"/>
      <c r="K46" s="2343"/>
      <c r="L46" s="3104">
        <f ca="1">IF(OR(M47="住宅",D1="土地（套用方法）"),0,IF(L48&gt;J51,L60,J60))</f>
        <v>1257</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3052</v>
      </c>
      <c r="K47" s="3101" t="s">
        <v>2349</v>
      </c>
      <c r="L47" s="3105">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1870</v>
      </c>
      <c r="B48" s="2606" t="s">
        <v>2538</v>
      </c>
      <c r="C48" s="2337">
        <f ca="1">ROUND(F48*F50*F49*(1-F51)/10000,0)</f>
        <v>0</v>
      </c>
      <c r="D48" s="2338" t="s">
        <v>636</v>
      </c>
      <c r="E48" s="2339" t="s">
        <v>2296</v>
      </c>
      <c r="F48" s="2340"/>
      <c r="G48" s="2074"/>
      <c r="I48" s="3074" t="s">
        <v>2345</v>
      </c>
      <c r="J48" s="2345" t="s">
        <v>2350</v>
      </c>
      <c r="K48" s="3102" t="s">
        <v>2351</v>
      </c>
      <c r="L48" s="1892">
        <f ca="1">INDIRECT("'数据-取费表'!f"&amp;$G$1)</f>
        <v>36.58</v>
      </c>
      <c r="O48" s="2361" t="s">
        <v>2379</v>
      </c>
      <c r="P48" s="2362" t="s">
        <v>2405</v>
      </c>
      <c r="Q48" s="2363">
        <f ca="1">C40+J29</f>
        <v>15560</v>
      </c>
      <c r="R48" s="2362" t="s">
        <v>2380</v>
      </c>
    </row>
    <row r="49" spans="1:18" s="2043" customFormat="1" ht="18" customHeight="1" thickBot="1">
      <c r="A49" s="785"/>
      <c r="B49" s="786"/>
      <c r="C49" s="787"/>
      <c r="D49" s="788"/>
      <c r="E49" s="783" t="s">
        <v>638</v>
      </c>
      <c r="F49" s="784">
        <f ca="1">F7</f>
        <v>9450</v>
      </c>
      <c r="G49" s="2074"/>
      <c r="H49" s="2077"/>
      <c r="I49" s="3074" t="s">
        <v>2346</v>
      </c>
      <c r="J49" s="2346">
        <v>2019</v>
      </c>
      <c r="K49" s="3103" t="s">
        <v>2352</v>
      </c>
      <c r="L49" s="2347"/>
      <c r="O49" s="2361" t="s">
        <v>2381</v>
      </c>
      <c r="P49" s="2362" t="s">
        <v>2406</v>
      </c>
      <c r="Q49" s="2363">
        <f ca="1">J60</f>
        <v>1257</v>
      </c>
      <c r="R49" s="2362" t="s">
        <v>2382</v>
      </c>
    </row>
    <row r="50" spans="1:18" s="2043" customFormat="1" ht="18" customHeight="1" thickBot="1">
      <c r="A50" s="785"/>
      <c r="B50" s="786"/>
      <c r="C50" s="787"/>
      <c r="D50" s="788"/>
      <c r="E50" s="783" t="s">
        <v>639</v>
      </c>
      <c r="F50" s="784">
        <f ca="1">F8</f>
        <v>365</v>
      </c>
      <c r="G50" s="2079"/>
      <c r="H50" s="2077"/>
      <c r="I50" s="3074" t="s">
        <v>2347</v>
      </c>
      <c r="J50" s="3099">
        <f>SUMPRODUCT((I63:I65=J47)*(J62:L62=J48)*(J63:L65))</f>
        <v>60</v>
      </c>
      <c r="K50" s="3103" t="s">
        <v>2353</v>
      </c>
      <c r="L50" s="2347"/>
      <c r="O50" s="2364" t="s">
        <v>2383</v>
      </c>
      <c r="P50" s="2362" t="s">
        <v>2407</v>
      </c>
      <c r="Q50" s="2363">
        <f ca="1">C29</f>
        <v>3142</v>
      </c>
      <c r="R50" s="2362" t="s">
        <v>2380</v>
      </c>
    </row>
    <row r="51" spans="1:18" s="2043" customFormat="1" ht="18" customHeight="1" thickBot="1">
      <c r="A51" s="785"/>
      <c r="B51" s="786"/>
      <c r="C51" s="787"/>
      <c r="D51" s="788"/>
      <c r="E51" s="783" t="s">
        <v>640</v>
      </c>
      <c r="F51" s="2334"/>
      <c r="H51" s="2077"/>
      <c r="I51" s="3096" t="s">
        <v>2348</v>
      </c>
      <c r="J51" s="3100">
        <f>IF(J49="",J50,J49+J50-YEAR('数据-取费表'!B2))</f>
        <v>59</v>
      </c>
      <c r="K51" s="3074" t="s">
        <v>2354</v>
      </c>
      <c r="L51" s="3106">
        <f ca="1">ROUND(-PV(INDIRECT("'数据-取费表'!h"&amp;$G$1),L48,(C39-C13*J36),0),0)</f>
        <v>12767</v>
      </c>
      <c r="O51" s="2364" t="s">
        <v>2384</v>
      </c>
      <c r="P51" s="2362" t="s">
        <v>2385</v>
      </c>
      <c r="Q51" s="2365">
        <f ca="1">J58</f>
        <v>0.4</v>
      </c>
      <c r="R51" s="2366"/>
    </row>
    <row r="52" spans="1:18" s="2043" customFormat="1" ht="18" customHeight="1" thickBot="1">
      <c r="A52" s="780" t="s">
        <v>2536</v>
      </c>
      <c r="B52" s="2457" t="s">
        <v>2459</v>
      </c>
      <c r="C52" s="798">
        <f ca="1">ROUND(IF(F52="押一",C48/12*F11,IF(F52="押二",C48/12*2*F11,IF(F52="押三",C48/12*3*F11,C53*F11))),0)</f>
        <v>0</v>
      </c>
      <c r="D52" s="2464" t="s">
        <v>2975</v>
      </c>
      <c r="E52" s="2461" t="s">
        <v>2464</v>
      </c>
      <c r="F52" s="2584"/>
      <c r="I52" s="3097" t="s">
        <v>2421</v>
      </c>
      <c r="J52" s="2348"/>
      <c r="K52" s="3097"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8" t="s">
        <v>2979</v>
      </c>
      <c r="J53" s="3177">
        <f ca="1">IF(M47="住宅",IF(D1="——",MAX(J51,L48),MAX(J51,L48-'数据-取费表'!B20)),IF(D1="——",MIN(J51,L48),MIN(J51,L48-'数据-取费表'!B20)))</f>
        <v>36.58</v>
      </c>
      <c r="K53" s="3488" t="s">
        <v>2967</v>
      </c>
      <c r="L53" s="3489"/>
      <c r="O53" s="2364" t="s">
        <v>2388</v>
      </c>
      <c r="P53" s="2362" t="s">
        <v>2389</v>
      </c>
      <c r="Q53" s="2363">
        <f ca="1">J53</f>
        <v>36.58</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16817</v>
      </c>
      <c r="R54" s="2366" t="s">
        <v>2392</v>
      </c>
    </row>
    <row r="55" spans="1:18" s="2043" customFormat="1" ht="18" customHeight="1" thickTop="1" thickBot="1">
      <c r="A55" s="796">
        <v>2</v>
      </c>
      <c r="B55" s="797" t="s">
        <v>644</v>
      </c>
      <c r="C55" s="798">
        <f ca="1">C13</f>
        <v>0</v>
      </c>
      <c r="D55" s="794"/>
      <c r="E55" s="794"/>
      <c r="F55" s="799"/>
      <c r="I55" s="3109" t="s">
        <v>2355</v>
      </c>
      <c r="J55" s="3049">
        <f ca="1">ROUND(IF(J47="钢混",J57/J50,1-(1-2%)*(J50-J57)/J50),3)</f>
        <v>0.374</v>
      </c>
      <c r="K55" s="3110" t="s">
        <v>2356</v>
      </c>
      <c r="L55" s="2349"/>
      <c r="O55" s="2367" t="s">
        <v>2411</v>
      </c>
      <c r="P55" s="1577"/>
      <c r="Q55" s="1588"/>
      <c r="R55" s="1577"/>
    </row>
    <row r="56" spans="1:18" s="2043" customFormat="1" ht="42.75" customHeight="1" thickBot="1">
      <c r="A56" s="1634"/>
      <c r="B56" s="2215" t="s">
        <v>2300</v>
      </c>
      <c r="C56" s="53">
        <f ca="1">C29</f>
        <v>3142</v>
      </c>
      <c r="D56" s="3189"/>
      <c r="E56" s="783"/>
      <c r="F56" s="808"/>
      <c r="I56" s="3111" t="s">
        <v>2357</v>
      </c>
      <c r="J56" s="3121"/>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49</v>
      </c>
      <c r="D57" s="26" t="s">
        <v>652</v>
      </c>
      <c r="E57" s="3191"/>
      <c r="F57" s="56"/>
      <c r="I57" s="3112" t="s">
        <v>2358</v>
      </c>
      <c r="J57" s="3113">
        <f ca="1">IF(OR(M47="住宅",J51&lt;L48,J56="是"),"——",J51-L48)</f>
        <v>22.42</v>
      </c>
      <c r="K57" s="3074" t="s">
        <v>2363</v>
      </c>
      <c r="L57" s="1892" t="str">
        <f ca="1">IF(L48&lt;J51,"——",IF(L55="比较法",L49,IF(L55="基准地价",L50,L51)))</f>
        <v>——</v>
      </c>
      <c r="O57" s="2361" t="s">
        <v>2379</v>
      </c>
      <c r="P57" s="2362" t="s">
        <v>2405</v>
      </c>
      <c r="Q57" s="2363">
        <f ca="1">C40+J29</f>
        <v>15560</v>
      </c>
      <c r="R57" s="2362" t="s">
        <v>2380</v>
      </c>
    </row>
    <row r="58" spans="1:18" s="2043" customFormat="1" ht="28.5" customHeight="1" thickBot="1">
      <c r="A58" s="1633" t="s">
        <v>1824</v>
      </c>
      <c r="B58" s="783" t="s">
        <v>656</v>
      </c>
      <c r="C58" s="53">
        <f ca="1">ROUND(IF(项目基本情况!B11="自然人",C47*F58,C59+C60+C61),1)</f>
        <v>1.4</v>
      </c>
      <c r="D58" s="3188" t="s">
        <v>657</v>
      </c>
      <c r="E58" s="3189" t="s">
        <v>690</v>
      </c>
      <c r="F58" s="809" t="str">
        <f ca="1">IF(项目基本情况!B11="企业","",IF(INDIRECT("'数据-取费表'!c"&amp;$G$1)="住宅",5%,IF(F48*F49*F50/12/(1+'数据-取费表'!C42)&gt;20000,12%,7%)))</f>
        <v/>
      </c>
      <c r="I58" s="3112" t="s">
        <v>2359</v>
      </c>
      <c r="J58" s="3050">
        <f ca="1">IF(J55&lt;0.4,0.4,J55)</f>
        <v>0.4</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3189" t="s">
        <v>661</v>
      </c>
      <c r="E59" s="783" t="s">
        <v>649</v>
      </c>
      <c r="F59" s="808">
        <f t="shared" ref="F59:F65" si="0">F32</f>
        <v>5.5000000000000007E-2</v>
      </c>
      <c r="I59" s="3112" t="s">
        <v>2360</v>
      </c>
      <c r="J59" s="3113">
        <f ca="1">IF(OR(M47="住宅",J51&lt;L48,J56="是"),"——",ROUND(C29*J58,0))</f>
        <v>1257</v>
      </c>
      <c r="K59" s="3074"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664</v>
      </c>
      <c r="C60" s="53">
        <f ca="1">IF(D60="按租金收入计税",ROUND(C47*F60,1),IF(D60="按房产原值计税",ROUND(C56*F60*0.7,1),INDIRECT("'数据-取费表'!Aj"&amp;$G$1)))</f>
        <v>0</v>
      </c>
      <c r="D60" s="3189" t="str">
        <f>D33</f>
        <v>按租金收入计税</v>
      </c>
      <c r="E60" s="783" t="s">
        <v>649</v>
      </c>
      <c r="F60" s="808">
        <f t="shared" si="0"/>
        <v>0.12</v>
      </c>
      <c r="I60" s="3114" t="s">
        <v>2361</v>
      </c>
      <c r="J60" s="3115">
        <f ca="1">IF(OR(M47="住宅",J51&lt;L48,J56="是"),"0",ROUND(J59/(1+J52)^J53,0))</f>
        <v>1257</v>
      </c>
      <c r="K60" s="3116" t="s">
        <v>2366</v>
      </c>
      <c r="L60" s="3115">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1.4</v>
      </c>
      <c r="D61" s="813" t="s">
        <v>669</v>
      </c>
      <c r="E61" s="783" t="s">
        <v>670</v>
      </c>
      <c r="F61" s="639">
        <f t="shared" si="0"/>
        <v>5</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2864.37</v>
      </c>
      <c r="I62" s="3117" t="s">
        <v>2367</v>
      </c>
      <c r="J62" s="3118" t="s">
        <v>2368</v>
      </c>
      <c r="K62" s="3118" t="s">
        <v>2369</v>
      </c>
      <c r="L62" s="3118" t="s">
        <v>2350</v>
      </c>
      <c r="M62" s="3119" t="s">
        <v>2944</v>
      </c>
      <c r="O62" s="2364" t="s">
        <v>2388</v>
      </c>
      <c r="P62" s="2362" t="str">
        <f>K59</f>
        <v>建筑物剩余耐用年限下的土地年期修正系数Kn</v>
      </c>
      <c r="Q62" s="2363" t="e">
        <f ca="1">L59</f>
        <v>#DIV/0!</v>
      </c>
      <c r="R62" s="2366" t="s">
        <v>2397</v>
      </c>
    </row>
    <row r="63" spans="1:18" s="2043" customFormat="1" ht="15.75" thickBot="1">
      <c r="A63" s="1633" t="s">
        <v>1889</v>
      </c>
      <c r="B63" s="783" t="s">
        <v>676</v>
      </c>
      <c r="C63" s="53">
        <f ca="1">ROUND(C56*F63,1)</f>
        <v>47.1</v>
      </c>
      <c r="D63" s="3189" t="s">
        <v>691</v>
      </c>
      <c r="E63" s="783" t="s">
        <v>649</v>
      </c>
      <c r="F63" s="816">
        <f t="shared" ca="1" si="0"/>
        <v>1.4999999999999999E-2</v>
      </c>
      <c r="I63" s="3117" t="s">
        <v>2370</v>
      </c>
      <c r="J63" s="3118">
        <v>70</v>
      </c>
      <c r="K63" s="3118">
        <v>50</v>
      </c>
      <c r="L63" s="3118">
        <v>80</v>
      </c>
      <c r="M63" s="3120">
        <v>0.02</v>
      </c>
      <c r="O63" s="2361" t="s">
        <v>2391</v>
      </c>
      <c r="P63" s="2362" t="s">
        <v>2408</v>
      </c>
      <c r="Q63" s="2363">
        <f ca="1">Q57+Q58</f>
        <v>15560</v>
      </c>
      <c r="R63" s="2366" t="s">
        <v>2392</v>
      </c>
    </row>
    <row r="64" spans="1:18" s="2043" customFormat="1" ht="16.5" thickBot="1">
      <c r="A64" s="1633" t="s">
        <v>1890</v>
      </c>
      <c r="B64" s="783" t="s">
        <v>679</v>
      </c>
      <c r="C64" s="53">
        <f ca="1">ROUND(C55*F64,1)</f>
        <v>0</v>
      </c>
      <c r="D64" s="3189" t="s">
        <v>680</v>
      </c>
      <c r="E64" s="783" t="s">
        <v>649</v>
      </c>
      <c r="F64" s="817">
        <f t="shared" ca="1" si="0"/>
        <v>1.5E-3</v>
      </c>
      <c r="I64" s="3117" t="s">
        <v>2371</v>
      </c>
      <c r="J64" s="3118">
        <v>50</v>
      </c>
      <c r="K64" s="3118">
        <v>35</v>
      </c>
      <c r="L64" s="3118">
        <v>60</v>
      </c>
      <c r="M64" s="845">
        <v>0</v>
      </c>
      <c r="O64" s="2367" t="s">
        <v>2415</v>
      </c>
      <c r="P64" s="1577"/>
      <c r="Q64" s="1588"/>
      <c r="R64" s="1577"/>
    </row>
    <row r="65" spans="1:18" s="2043" customFormat="1" ht="15.75" thickBot="1">
      <c r="A65" s="1633" t="s">
        <v>1891</v>
      </c>
      <c r="B65" s="783" t="s">
        <v>666</v>
      </c>
      <c r="C65" s="53">
        <f ca="1">ROUND(C47*F65,1)</f>
        <v>0</v>
      </c>
      <c r="D65" s="3189" t="s">
        <v>683</v>
      </c>
      <c r="E65" s="783" t="s">
        <v>649</v>
      </c>
      <c r="F65" s="793">
        <f t="shared" ca="1" si="0"/>
        <v>0.01</v>
      </c>
      <c r="I65" s="3117" t="s">
        <v>2372</v>
      </c>
      <c r="J65" s="3118">
        <v>40</v>
      </c>
      <c r="K65" s="3118">
        <v>30</v>
      </c>
      <c r="L65" s="3118">
        <v>50</v>
      </c>
      <c r="M65" s="3120">
        <v>0.02</v>
      </c>
      <c r="O65" s="2358" t="s">
        <v>2375</v>
      </c>
      <c r="P65" s="2359" t="s">
        <v>2376</v>
      </c>
      <c r="Q65" s="2360" t="s">
        <v>2377</v>
      </c>
      <c r="R65" s="2359" t="s">
        <v>2378</v>
      </c>
    </row>
    <row r="66" spans="1:18" s="2043" customFormat="1" ht="24.75" thickBot="1">
      <c r="A66" s="796" t="s">
        <v>1776</v>
      </c>
      <c r="B66" s="2962" t="s">
        <v>2822</v>
      </c>
      <c r="C66" s="798">
        <f ca="1">C47-C57</f>
        <v>-49</v>
      </c>
      <c r="D66" s="3188" t="s">
        <v>700</v>
      </c>
      <c r="E66" s="3186"/>
      <c r="F66" s="819"/>
      <c r="K66" s="2070"/>
      <c r="O66" s="2361" t="s">
        <v>2379</v>
      </c>
      <c r="P66" s="2362" t="s">
        <v>2405</v>
      </c>
      <c r="Q66" s="2363">
        <f ca="1">C40+J29</f>
        <v>15560</v>
      </c>
      <c r="R66" s="2362" t="s">
        <v>2380</v>
      </c>
    </row>
    <row r="67" spans="1:18" s="2043" customFormat="1" ht="20.25" thickBot="1">
      <c r="A67" s="780" t="s">
        <v>1780</v>
      </c>
      <c r="B67" s="2216" t="s">
        <v>2301</v>
      </c>
      <c r="C67" s="782">
        <f ca="1">ROUND(C66*(1-((1+F69)/(1+F67))^F68)/(F67-F69),0)</f>
        <v>-720</v>
      </c>
      <c r="D67" s="813" t="s">
        <v>704</v>
      </c>
      <c r="E67" s="783" t="s">
        <v>705</v>
      </c>
      <c r="F67" s="793">
        <f ca="1">F40</f>
        <v>0.06</v>
      </c>
      <c r="K67" s="2070"/>
      <c r="O67" s="2361" t="s">
        <v>2381</v>
      </c>
      <c r="P67" s="2362" t="s">
        <v>2412</v>
      </c>
      <c r="Q67" s="2363">
        <f ca="1">L60</f>
        <v>0</v>
      </c>
      <c r="R67" s="2366" t="s">
        <v>2414</v>
      </c>
    </row>
    <row r="68" spans="1:18" ht="21.75" thickBot="1">
      <c r="A68" s="785"/>
      <c r="B68" s="786"/>
      <c r="C68" s="787"/>
      <c r="D68" s="820" t="s">
        <v>1808</v>
      </c>
      <c r="E68" s="783" t="s">
        <v>708</v>
      </c>
      <c r="F68" s="821">
        <f ca="1">F41</f>
        <v>36.58</v>
      </c>
      <c r="O68" s="2364" t="s">
        <v>2383</v>
      </c>
      <c r="P68" s="2362" t="s">
        <v>2413</v>
      </c>
      <c r="Q68" s="2368">
        <f ca="1">L51</f>
        <v>12767</v>
      </c>
      <c r="R68" s="2369" t="s">
        <v>2416</v>
      </c>
    </row>
    <row r="69" spans="1:18" ht="20.25" thickBot="1">
      <c r="A69" s="789"/>
      <c r="B69" s="790"/>
      <c r="C69" s="791"/>
      <c r="D69" s="815"/>
      <c r="E69" s="783" t="s">
        <v>710</v>
      </c>
      <c r="F69" s="2334"/>
      <c r="O69" s="2364" t="s">
        <v>2384</v>
      </c>
      <c r="P69" s="2370" t="s">
        <v>2398</v>
      </c>
      <c r="Q69" s="2363">
        <f ca="1">ROUND(Q70-Q71*Q72,0)</f>
        <v>718</v>
      </c>
      <c r="R69" s="2366"/>
    </row>
    <row r="70" spans="1:18" ht="15.75" thickBot="1">
      <c r="A70" s="822" t="s">
        <v>1787</v>
      </c>
      <c r="B70" s="823" t="s">
        <v>1810</v>
      </c>
      <c r="C70" s="824">
        <f ca="1">ROUND(C67*10000/F70,0)</f>
        <v>-762</v>
      </c>
      <c r="D70" s="825" t="s">
        <v>1811</v>
      </c>
      <c r="E70" s="826" t="s">
        <v>1812</v>
      </c>
      <c r="F70" s="827">
        <f ca="1">F43</f>
        <v>9450</v>
      </c>
      <c r="O70" s="2364" t="s">
        <v>2399</v>
      </c>
      <c r="P70" s="2370" t="s">
        <v>2400</v>
      </c>
      <c r="Q70" s="2363">
        <f ca="1">C39</f>
        <v>718</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建筑物剩余耐用年限下的土地年期修正系数Kn</v>
      </c>
      <c r="Q75" s="2363" t="e">
        <f ca="1">L59</f>
        <v>#DIV/0!</v>
      </c>
      <c r="R75" s="2366" t="s">
        <v>2397</v>
      </c>
    </row>
    <row r="76" spans="1:18" ht="15.75" thickBot="1">
      <c r="O76" s="2361" t="s">
        <v>2391</v>
      </c>
      <c r="P76" s="2362" t="s">
        <v>2408</v>
      </c>
      <c r="Q76" s="2363">
        <f ca="1">Q66+Q67</f>
        <v>15560</v>
      </c>
      <c r="R76" s="2366" t="s">
        <v>2392</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2303</v>
      </c>
      <c r="C1" s="3532" t="s">
        <v>2304</v>
      </c>
      <c r="D1" s="3533"/>
      <c r="E1" s="3533"/>
      <c r="F1" s="3533"/>
      <c r="G1" s="3533"/>
      <c r="H1" s="3533"/>
      <c r="I1" s="3533"/>
      <c r="J1" s="3533"/>
      <c r="K1" s="3533"/>
      <c r="L1" s="3533"/>
      <c r="M1" s="3533"/>
      <c r="N1" s="3533"/>
      <c r="O1" s="3533"/>
      <c r="P1" s="3533"/>
      <c r="Q1" s="3533"/>
      <c r="R1" s="3533"/>
      <c r="S1" s="3534"/>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7" t="s">
        <v>2930</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9" t="s">
        <v>2929</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9" t="s">
        <v>2928</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7" t="s">
        <v>2941</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7" t="s">
        <v>2927</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7" t="s">
        <v>2926</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3529" t="s">
        <v>20</v>
      </c>
      <c r="D22" s="3530"/>
      <c r="E22" s="3530"/>
      <c r="F22" s="3530"/>
      <c r="G22" s="3530"/>
      <c r="H22" s="3530"/>
      <c r="I22" s="3530"/>
      <c r="J22" s="3530"/>
      <c r="K22" s="3530"/>
      <c r="L22" s="3530"/>
      <c r="M22" s="3530"/>
      <c r="N22" s="3530"/>
      <c r="O22" s="3530"/>
      <c r="P22" s="3530"/>
      <c r="Q22" s="3531"/>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2788</v>
      </c>
      <c r="C1" s="2958">
        <f>项目基本情况!D3</f>
        <v>43833</v>
      </c>
      <c r="H1" s="2892">
        <f>IF(C1&gt;C13,0,MATCH(C1,C$13:C$100,-1))+IF(SUMIF(C13:C100,C1,D13:D100)=0,13,12)</f>
        <v>13</v>
      </c>
      <c r="I1" s="2892">
        <f ca="1">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2819</v>
      </c>
      <c r="C2" s="2959">
        <f>'数据-取费表'!B22</f>
        <v>3</v>
      </c>
      <c r="D2" s="2954" t="s">
        <v>2789</v>
      </c>
      <c r="E2" s="2957">
        <f ca="1">INDIRECT("I"&amp;$I$1)/100</f>
        <v>4.7500000000000001E-2</v>
      </c>
      <c r="G2" s="2894"/>
      <c r="H2" s="2894"/>
      <c r="I2" s="2894" t="s">
        <v>2790</v>
      </c>
      <c r="K2" s="2894"/>
      <c r="L2" s="2894"/>
      <c r="M2" s="2894"/>
      <c r="N2" s="2894" t="s">
        <v>2791</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2821</v>
      </c>
      <c r="C3" s="2956">
        <f>'数据-取费表'!B19</f>
        <v>0</v>
      </c>
      <c r="D3" s="2954" t="s">
        <v>2789</v>
      </c>
      <c r="E3" s="2957">
        <f ca="1">INDIRECT("J"&amp;$J$1)/100</f>
        <v>0</v>
      </c>
      <c r="G3" s="2896" t="s">
        <v>2792</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2820</v>
      </c>
      <c r="C4" s="2957">
        <f ca="1">N4/100</f>
        <v>1.4999999999999999E-2</v>
      </c>
      <c r="G4" s="2902" t="s">
        <v>2793</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2794</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2795</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2796</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2797</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2798</v>
      </c>
      <c r="C10" s="2921"/>
      <c r="D10" s="2921"/>
      <c r="E10" s="2921"/>
      <c r="F10" s="2921"/>
      <c r="G10" s="2921"/>
      <c r="H10" s="2921"/>
      <c r="I10" s="2895"/>
      <c r="J10" s="2895"/>
      <c r="K10" s="2921"/>
      <c r="L10" s="2922" t="s">
        <v>2799</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2800</v>
      </c>
      <c r="C11" s="2926" t="s">
        <v>2801</v>
      </c>
      <c r="D11" s="2927" t="s">
        <v>2802</v>
      </c>
      <c r="E11" s="2928"/>
      <c r="F11" s="2927" t="s">
        <v>2803</v>
      </c>
      <c r="G11" s="2929"/>
      <c r="H11" s="2928"/>
      <c r="I11" s="2927" t="s">
        <v>2804</v>
      </c>
      <c r="J11" s="2928"/>
      <c r="K11" s="2924"/>
      <c r="L11" s="2925" t="s">
        <v>2800</v>
      </c>
      <c r="M11" s="2926" t="s">
        <v>2801</v>
      </c>
      <c r="N11" s="2925" t="s">
        <v>2805</v>
      </c>
      <c r="O11" s="2927" t="s">
        <v>2806</v>
      </c>
      <c r="P11" s="2929"/>
      <c r="Q11" s="2929"/>
      <c r="R11" s="2929"/>
      <c r="S11" s="2929"/>
      <c r="T11" s="2928"/>
      <c r="U11" s="2927" t="s">
        <v>2807</v>
      </c>
      <c r="V11" s="2929"/>
      <c r="W11" s="2928"/>
      <c r="X11" s="2925" t="s">
        <v>2808</v>
      </c>
      <c r="Y11" s="2925" t="s">
        <v>2809</v>
      </c>
      <c r="Z11" s="2925" t="s">
        <v>2810</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2811</v>
      </c>
      <c r="E12" s="2934" t="s">
        <v>2812</v>
      </c>
      <c r="F12" s="2934" t="s">
        <v>2813</v>
      </c>
      <c r="G12" s="2934" t="s">
        <v>2814</v>
      </c>
      <c r="H12" s="2934" t="s">
        <v>2796</v>
      </c>
      <c r="I12" s="2935" t="s">
        <v>2815</v>
      </c>
      <c r="J12" s="2935" t="s">
        <v>2815</v>
      </c>
      <c r="K12" s="2931"/>
      <c r="L12" s="2932"/>
      <c r="M12" s="2933"/>
      <c r="N12" s="2932"/>
      <c r="O12" s="2935" t="s">
        <v>2816</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2817</v>
      </c>
      <c r="C13" s="2939">
        <v>42301</v>
      </c>
      <c r="D13" s="2940">
        <v>4.3499999999999996</v>
      </c>
      <c r="E13" s="2940">
        <v>4.3499999999999996</v>
      </c>
      <c r="F13" s="2940">
        <v>4.75</v>
      </c>
      <c r="G13" s="2940">
        <v>4.75</v>
      </c>
      <c r="H13" s="2940">
        <v>4.9000000000000004</v>
      </c>
      <c r="I13" s="2940">
        <v>2.75</v>
      </c>
      <c r="J13" s="2940">
        <v>3.25</v>
      </c>
      <c r="K13" s="2937"/>
      <c r="L13" s="2938" t="s">
        <v>2817</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2818</v>
      </c>
      <c r="Y42" s="2944" t="s">
        <v>2818</v>
      </c>
      <c r="Z42" s="2944" t="s">
        <v>2818</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2818</v>
      </c>
      <c r="Y43" s="2944" t="s">
        <v>2818</v>
      </c>
      <c r="Z43" s="2944" t="s">
        <v>2818</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2818</v>
      </c>
      <c r="Y44" s="2944" t="s">
        <v>2818</v>
      </c>
      <c r="Z44" s="2944" t="s">
        <v>2818</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2818</v>
      </c>
      <c r="Y45" s="2944" t="s">
        <v>2818</v>
      </c>
      <c r="Z45" s="2944" t="s">
        <v>2818</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2818</v>
      </c>
      <c r="Y46" s="2944" t="s">
        <v>2818</v>
      </c>
      <c r="Z46" s="2944" t="s">
        <v>2818</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2818</v>
      </c>
      <c r="Y47" s="2944" t="s">
        <v>2818</v>
      </c>
      <c r="Z47" s="2944" t="s">
        <v>2818</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2818</v>
      </c>
      <c r="Y48" s="2944" t="s">
        <v>2818</v>
      </c>
      <c r="Z48" s="2944" t="s">
        <v>2818</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2818</v>
      </c>
      <c r="Y49" s="2944" t="s">
        <v>2818</v>
      </c>
      <c r="Z49" s="2944" t="s">
        <v>2818</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2818</v>
      </c>
      <c r="Y50" s="2944" t="s">
        <v>2818</v>
      </c>
      <c r="Z50" s="2944" t="s">
        <v>2818</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2818</v>
      </c>
      <c r="V51" s="2944" t="s">
        <v>2818</v>
      </c>
      <c r="W51" s="2944" t="s">
        <v>2818</v>
      </c>
      <c r="X51" s="2944" t="s">
        <v>2818</v>
      </c>
      <c r="Y51" s="2944" t="s">
        <v>2818</v>
      </c>
      <c r="Z51" s="2944" t="s">
        <v>2818</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2818</v>
      </c>
      <c r="J55" s="2944" t="s">
        <v>2818</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
  <sheetViews>
    <sheetView workbookViewId="0">
      <selection activeCell="H14" sqref="H14"/>
    </sheetView>
  </sheetViews>
  <sheetFormatPr defaultRowHeight="13.5"/>
  <cols>
    <col min="10" max="10" width="13.5" customWidth="1"/>
    <col min="15" max="15" width="11.75" customWidth="1"/>
  </cols>
  <sheetData>
    <row r="1" spans="1:45" s="2893" customFormat="1">
      <c r="A1" s="2893" t="s">
        <v>3014</v>
      </c>
      <c r="B1" s="2893" t="s">
        <v>3015</v>
      </c>
      <c r="C1" s="2893" t="s">
        <v>3016</v>
      </c>
      <c r="D1" s="2893" t="s">
        <v>3017</v>
      </c>
      <c r="E1" s="2893" t="s">
        <v>3018</v>
      </c>
      <c r="F1" s="2893" t="s">
        <v>3120</v>
      </c>
      <c r="G1" s="2893" t="s">
        <v>3019</v>
      </c>
      <c r="H1" s="2893" t="s">
        <v>3121</v>
      </c>
      <c r="I1" s="2893" t="s">
        <v>3020</v>
      </c>
      <c r="J1" s="2893" t="s">
        <v>3021</v>
      </c>
      <c r="K1" s="2893" t="s">
        <v>3022</v>
      </c>
      <c r="L1" s="2893" t="s">
        <v>2032</v>
      </c>
      <c r="M1" s="2893" t="s">
        <v>3023</v>
      </c>
      <c r="N1" s="2893" t="s">
        <v>3122</v>
      </c>
      <c r="O1" s="2893" t="s">
        <v>3123</v>
      </c>
      <c r="P1" s="2893" t="s">
        <v>3124</v>
      </c>
      <c r="Q1" s="2893" t="s">
        <v>3125</v>
      </c>
      <c r="R1" s="2893" t="s">
        <v>3126</v>
      </c>
      <c r="S1" s="2893" t="s">
        <v>3127</v>
      </c>
      <c r="T1" s="2893" t="s">
        <v>3024</v>
      </c>
      <c r="U1" s="2893" t="s">
        <v>3025</v>
      </c>
      <c r="V1" s="2893" t="s">
        <v>3128</v>
      </c>
      <c r="W1" s="2893" t="s">
        <v>3026</v>
      </c>
      <c r="X1" s="2893" t="s">
        <v>3129</v>
      </c>
      <c r="Y1" s="2893" t="s">
        <v>3130</v>
      </c>
      <c r="Z1" s="2893" t="s">
        <v>3131</v>
      </c>
      <c r="AA1" s="2893" t="s">
        <v>3027</v>
      </c>
      <c r="AB1" s="2893" t="s">
        <v>3028</v>
      </c>
      <c r="AC1" s="2893" t="s">
        <v>3029</v>
      </c>
      <c r="AD1" s="2893" t="s">
        <v>3030</v>
      </c>
      <c r="AE1" s="2893" t="s">
        <v>3132</v>
      </c>
      <c r="AF1" s="2893" t="s">
        <v>3133</v>
      </c>
      <c r="AG1" s="2893" t="s">
        <v>3031</v>
      </c>
      <c r="AH1" s="2893" t="s">
        <v>3032</v>
      </c>
      <c r="AI1" s="2893" t="s">
        <v>3033</v>
      </c>
      <c r="AJ1" s="2893" t="s">
        <v>3034</v>
      </c>
      <c r="AK1" s="2893" t="s">
        <v>3035</v>
      </c>
      <c r="AL1" s="2893" t="s">
        <v>3134</v>
      </c>
      <c r="AM1" s="2893" t="s">
        <v>3135</v>
      </c>
      <c r="AN1" s="2893" t="s">
        <v>3036</v>
      </c>
      <c r="AO1" s="2893" t="s">
        <v>3037</v>
      </c>
      <c r="AP1" s="2893" t="s">
        <v>3038</v>
      </c>
      <c r="AQ1" s="2893" t="s">
        <v>3039</v>
      </c>
      <c r="AR1" s="2893" t="s">
        <v>3040</v>
      </c>
      <c r="AS1" s="2893" t="s">
        <v>3041</v>
      </c>
    </row>
    <row r="2" spans="1:45" s="2893" customFormat="1">
      <c r="A2" s="2893" t="s">
        <v>3204</v>
      </c>
      <c r="B2" s="2893" t="s">
        <v>3178</v>
      </c>
      <c r="C2" s="2893" t="s">
        <v>3119</v>
      </c>
      <c r="D2" s="2893" t="s">
        <v>3179</v>
      </c>
      <c r="E2" s="2893" t="s">
        <v>2818</v>
      </c>
      <c r="F2" s="2893" t="s">
        <v>3204</v>
      </c>
      <c r="G2" s="2893" t="s">
        <v>3118</v>
      </c>
      <c r="H2" s="2893" t="s">
        <v>3205</v>
      </c>
      <c r="I2" s="2893" t="s">
        <v>3206</v>
      </c>
      <c r="J2" s="2893">
        <v>28631</v>
      </c>
      <c r="K2" s="2893">
        <v>71577.5</v>
      </c>
      <c r="L2" s="2893" t="s">
        <v>3207</v>
      </c>
      <c r="M2" s="2893" t="s">
        <v>2818</v>
      </c>
      <c r="N2" s="2893" t="s">
        <v>3181</v>
      </c>
      <c r="O2" s="2893" t="s">
        <v>3208</v>
      </c>
      <c r="P2" s="2893" t="s">
        <v>2818</v>
      </c>
      <c r="Q2" s="2893" t="s">
        <v>2818</v>
      </c>
      <c r="R2" s="2893" t="s">
        <v>2818</v>
      </c>
      <c r="S2" s="2893" t="s">
        <v>2818</v>
      </c>
      <c r="T2" s="2893" t="s">
        <v>2818</v>
      </c>
      <c r="U2" s="2893" t="s">
        <v>2818</v>
      </c>
      <c r="V2" s="2893" t="s">
        <v>2818</v>
      </c>
      <c r="W2" s="2893" t="s">
        <v>3209</v>
      </c>
      <c r="X2" s="2893" t="s">
        <v>3210</v>
      </c>
      <c r="Y2" s="2893" t="s">
        <v>3211</v>
      </c>
      <c r="Z2" s="2893" t="s">
        <v>3212</v>
      </c>
      <c r="AA2" s="2893" t="s">
        <v>3212</v>
      </c>
      <c r="AB2" s="2893" t="s">
        <v>3213</v>
      </c>
      <c r="AC2" s="2893" t="s">
        <v>3042</v>
      </c>
      <c r="AD2" s="2893" t="s">
        <v>3214</v>
      </c>
      <c r="AE2" s="2893">
        <v>4584</v>
      </c>
      <c r="AF2" s="2893">
        <v>9167</v>
      </c>
      <c r="AG2" s="2893">
        <v>9167</v>
      </c>
      <c r="AH2" s="2893">
        <v>213.45</v>
      </c>
      <c r="AI2" s="2893">
        <v>213.45</v>
      </c>
      <c r="AJ2" s="2893">
        <v>1280.7</v>
      </c>
      <c r="AK2" s="2893">
        <v>1280.71</v>
      </c>
      <c r="AL2" s="2893" t="s">
        <v>2818</v>
      </c>
      <c r="AM2" s="2893" t="s">
        <v>2818</v>
      </c>
      <c r="AN2" s="2893">
        <v>0</v>
      </c>
      <c r="AO2" s="2893" t="s">
        <v>3182</v>
      </c>
      <c r="AP2" s="2893" t="s">
        <v>2818</v>
      </c>
      <c r="AQ2" s="2893" t="s">
        <v>2818</v>
      </c>
      <c r="AR2" s="2893" t="s">
        <v>2818</v>
      </c>
      <c r="AS2" s="2893" t="s">
        <v>3203</v>
      </c>
    </row>
    <row r="3" spans="1:45" s="2893" customFormat="1">
      <c r="A3" s="2893" t="s">
        <v>3215</v>
      </c>
      <c r="B3" s="2893" t="s">
        <v>3178</v>
      </c>
      <c r="C3" s="2893" t="s">
        <v>3119</v>
      </c>
      <c r="D3" s="2893" t="s">
        <v>3179</v>
      </c>
      <c r="E3" s="2893" t="s">
        <v>2818</v>
      </c>
      <c r="F3" s="2893" t="s">
        <v>3215</v>
      </c>
      <c r="G3" s="2893" t="s">
        <v>3118</v>
      </c>
      <c r="H3" s="2893" t="s">
        <v>3216</v>
      </c>
      <c r="I3" s="2893" t="s">
        <v>3206</v>
      </c>
      <c r="J3" s="2893">
        <v>42108</v>
      </c>
      <c r="K3" s="2893">
        <v>105270</v>
      </c>
      <c r="L3" s="2893" t="s">
        <v>3207</v>
      </c>
      <c r="M3" s="2893" t="s">
        <v>2818</v>
      </c>
      <c r="N3" s="2893" t="s">
        <v>3181</v>
      </c>
      <c r="O3" s="2893" t="s">
        <v>3208</v>
      </c>
      <c r="P3" s="2893" t="s">
        <v>2818</v>
      </c>
      <c r="Q3" s="2893" t="s">
        <v>2818</v>
      </c>
      <c r="R3" s="2893" t="s">
        <v>2818</v>
      </c>
      <c r="S3" s="2893" t="s">
        <v>2818</v>
      </c>
      <c r="T3" s="2893" t="s">
        <v>2818</v>
      </c>
      <c r="U3" s="2893" t="s">
        <v>2818</v>
      </c>
      <c r="V3" s="2893" t="s">
        <v>2818</v>
      </c>
      <c r="W3" s="2893" t="s">
        <v>3209</v>
      </c>
      <c r="X3" s="2893" t="s">
        <v>3210</v>
      </c>
      <c r="Y3" s="2893" t="s">
        <v>3211</v>
      </c>
      <c r="Z3" s="2893" t="s">
        <v>3212</v>
      </c>
      <c r="AA3" s="2893" t="s">
        <v>3212</v>
      </c>
      <c r="AB3" s="2893" t="s">
        <v>3213</v>
      </c>
      <c r="AC3" s="2893" t="s">
        <v>3042</v>
      </c>
      <c r="AD3" s="2893" t="s">
        <v>3214</v>
      </c>
      <c r="AE3" s="2893">
        <v>6707</v>
      </c>
      <c r="AF3" s="2893">
        <v>13414</v>
      </c>
      <c r="AG3" s="2893">
        <v>13414</v>
      </c>
      <c r="AH3" s="2893">
        <v>212.37</v>
      </c>
      <c r="AI3" s="2893">
        <v>212.37</v>
      </c>
      <c r="AJ3" s="2893">
        <v>1274.24</v>
      </c>
      <c r="AK3" s="2893">
        <v>1274.25</v>
      </c>
      <c r="AL3" s="2893" t="s">
        <v>2818</v>
      </c>
      <c r="AM3" s="2893" t="s">
        <v>2818</v>
      </c>
      <c r="AN3" s="2893">
        <v>0</v>
      </c>
      <c r="AO3" s="2893" t="s">
        <v>3182</v>
      </c>
      <c r="AP3" s="2893" t="s">
        <v>2818</v>
      </c>
      <c r="AQ3" s="2893" t="s">
        <v>2818</v>
      </c>
      <c r="AR3" s="2893" t="s">
        <v>2818</v>
      </c>
      <c r="AS3" s="2893" t="s">
        <v>3203</v>
      </c>
    </row>
    <row r="4" spans="1:45" s="2893" customFormat="1">
      <c r="A4" s="2893" t="s">
        <v>3183</v>
      </c>
      <c r="B4" s="2893" t="s">
        <v>3178</v>
      </c>
      <c r="C4" s="2893" t="s">
        <v>3119</v>
      </c>
      <c r="D4" s="2893" t="s">
        <v>3179</v>
      </c>
      <c r="E4" s="2893" t="s">
        <v>2818</v>
      </c>
      <c r="F4" s="2893" t="s">
        <v>3183</v>
      </c>
      <c r="G4" s="2893" t="s">
        <v>3118</v>
      </c>
      <c r="H4" s="2893" t="s">
        <v>3184</v>
      </c>
      <c r="I4" s="2893" t="s">
        <v>3180</v>
      </c>
      <c r="J4" s="2893">
        <v>20506.09</v>
      </c>
      <c r="K4" s="2893">
        <v>82024.36</v>
      </c>
      <c r="L4" s="2893" t="s">
        <v>3185</v>
      </c>
      <c r="M4" s="2893" t="s">
        <v>2818</v>
      </c>
      <c r="N4" s="2893" t="s">
        <v>3186</v>
      </c>
      <c r="O4" s="2893" t="s">
        <v>2818</v>
      </c>
      <c r="P4" s="2893" t="s">
        <v>2818</v>
      </c>
      <c r="Q4" s="2893" t="s">
        <v>2818</v>
      </c>
      <c r="R4" s="2893" t="s">
        <v>2818</v>
      </c>
      <c r="S4" s="2893" t="s">
        <v>2818</v>
      </c>
      <c r="T4" s="2893" t="s">
        <v>2818</v>
      </c>
      <c r="U4" s="2893" t="s">
        <v>2818</v>
      </c>
      <c r="V4" s="2893" t="s">
        <v>2818</v>
      </c>
      <c r="W4" s="2893" t="s">
        <v>3047</v>
      </c>
      <c r="X4" s="2893" t="s">
        <v>3187</v>
      </c>
      <c r="Y4" s="2893" t="s">
        <v>3188</v>
      </c>
      <c r="Z4" s="2893" t="s">
        <v>3189</v>
      </c>
      <c r="AA4" s="2893" t="s">
        <v>3189</v>
      </c>
      <c r="AB4" s="2893" t="s">
        <v>3190</v>
      </c>
      <c r="AC4" s="2893" t="s">
        <v>3042</v>
      </c>
      <c r="AD4" s="2893" t="s">
        <v>3191</v>
      </c>
      <c r="AE4" s="2893">
        <v>3275</v>
      </c>
      <c r="AF4" s="2893">
        <v>6550</v>
      </c>
      <c r="AG4" s="2893">
        <v>6810</v>
      </c>
      <c r="AH4" s="2893">
        <v>212.94</v>
      </c>
      <c r="AI4" s="2893">
        <v>221.4</v>
      </c>
      <c r="AJ4" s="2893">
        <v>798.54</v>
      </c>
      <c r="AK4" s="2893">
        <v>830.24</v>
      </c>
      <c r="AL4" s="2893" t="s">
        <v>2818</v>
      </c>
      <c r="AM4" s="2893" t="s">
        <v>2818</v>
      </c>
      <c r="AN4" s="2893">
        <v>3.97</v>
      </c>
      <c r="AO4" s="2893" t="s">
        <v>3182</v>
      </c>
      <c r="AP4" s="2893" t="s">
        <v>2818</v>
      </c>
      <c r="AQ4" s="2893" t="s">
        <v>2818</v>
      </c>
      <c r="AR4" s="2893" t="s">
        <v>2818</v>
      </c>
      <c r="AS4" s="2893" t="s">
        <v>3192</v>
      </c>
    </row>
    <row r="7" spans="1:45" s="3235" customFormat="1">
      <c r="A7" s="3235" t="s">
        <v>3193</v>
      </c>
      <c r="B7" s="3235" t="s">
        <v>3178</v>
      </c>
      <c r="C7" s="3235" t="s">
        <v>3119</v>
      </c>
      <c r="D7" s="3235" t="s">
        <v>3179</v>
      </c>
      <c r="E7" s="3235" t="s">
        <v>2818</v>
      </c>
      <c r="F7" s="3235" t="s">
        <v>3193</v>
      </c>
      <c r="G7" s="3235" t="s">
        <v>3118</v>
      </c>
      <c r="H7" s="3235" t="s">
        <v>3194</v>
      </c>
      <c r="I7" s="3235" t="s">
        <v>3195</v>
      </c>
      <c r="J7" s="3235">
        <v>54677</v>
      </c>
      <c r="K7" s="3235">
        <v>136692.5</v>
      </c>
      <c r="L7" s="3235" t="s">
        <v>3196</v>
      </c>
      <c r="M7" s="3235" t="s">
        <v>2818</v>
      </c>
      <c r="N7" s="3235" t="s">
        <v>3186</v>
      </c>
      <c r="O7" s="3235" t="s">
        <v>2818</v>
      </c>
      <c r="P7" s="3235" t="s">
        <v>2818</v>
      </c>
      <c r="Q7" s="3235" t="s">
        <v>2818</v>
      </c>
      <c r="R7" s="3235" t="s">
        <v>2818</v>
      </c>
      <c r="S7" s="3235" t="s">
        <v>2818</v>
      </c>
      <c r="T7" s="3235" t="s">
        <v>2818</v>
      </c>
      <c r="U7" s="3235" t="s">
        <v>2818</v>
      </c>
      <c r="V7" s="3235" t="s">
        <v>2818</v>
      </c>
      <c r="W7" s="3235" t="s">
        <v>3197</v>
      </c>
      <c r="X7" s="3235" t="s">
        <v>3198</v>
      </c>
      <c r="Y7" s="3235" t="s">
        <v>3199</v>
      </c>
      <c r="Z7" s="3235" t="s">
        <v>3200</v>
      </c>
      <c r="AA7" s="3235" t="s">
        <v>3200</v>
      </c>
      <c r="AB7" s="3235" t="s">
        <v>3201</v>
      </c>
      <c r="AC7" s="3235" t="s">
        <v>3042</v>
      </c>
      <c r="AD7" s="3235" t="s">
        <v>3202</v>
      </c>
      <c r="AE7" s="3235">
        <v>1970</v>
      </c>
      <c r="AF7" s="3235">
        <v>9850</v>
      </c>
      <c r="AG7" s="3235">
        <v>12302.32</v>
      </c>
      <c r="AH7" s="3235">
        <v>120.1</v>
      </c>
      <c r="AI7" s="3235">
        <v>150</v>
      </c>
      <c r="AJ7" s="3235">
        <v>720.59</v>
      </c>
      <c r="AK7" s="3235">
        <v>900</v>
      </c>
      <c r="AL7" s="3235" t="s">
        <v>2818</v>
      </c>
      <c r="AM7" s="3235" t="s">
        <v>2818</v>
      </c>
      <c r="AN7" s="3235">
        <v>24.9</v>
      </c>
      <c r="AO7" s="3235" t="s">
        <v>3182</v>
      </c>
      <c r="AP7" s="3235" t="s">
        <v>2818</v>
      </c>
      <c r="AQ7" s="3235" t="s">
        <v>2818</v>
      </c>
      <c r="AR7" s="3235" t="s">
        <v>2818</v>
      </c>
      <c r="AS7" s="3235" t="s">
        <v>3203</v>
      </c>
    </row>
  </sheetData>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0" t="s">
        <v>2038</v>
      </c>
      <c r="B1" s="3240"/>
      <c r="C1" s="3240"/>
      <c r="D1" s="3240"/>
      <c r="E1" s="3240"/>
      <c r="F1" s="3240"/>
      <c r="G1" s="3240"/>
      <c r="H1" s="3240"/>
      <c r="I1" s="3240"/>
      <c r="J1" s="3240"/>
      <c r="K1" s="3240"/>
      <c r="L1" s="3240"/>
      <c r="M1" s="3240"/>
      <c r="N1" s="3240"/>
      <c r="O1" s="3240"/>
      <c r="P1" s="3240"/>
      <c r="Q1" s="3240"/>
      <c r="R1" s="3240"/>
    </row>
    <row r="2" spans="1:18">
      <c r="A2" s="1791" t="s">
        <v>2040</v>
      </c>
      <c r="B2" s="1791"/>
      <c r="C2" s="1791"/>
      <c r="D2" s="1791"/>
      <c r="E2" s="1791"/>
      <c r="F2" s="1791"/>
      <c r="G2" s="1791"/>
      <c r="H2" s="1791"/>
      <c r="I2" s="1792"/>
      <c r="J2" s="1792"/>
      <c r="K2" s="1793" t="str">
        <f>"估价期日："&amp;TEXT(项目基本情况!D3,"yyyy年m月d日;;")</f>
        <v>估价期日：2020年1月3日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41" t="s">
        <v>2029</v>
      </c>
      <c r="B3" s="3241" t="s">
        <v>2731</v>
      </c>
      <c r="C3" s="3242" t="s">
        <v>2030</v>
      </c>
      <c r="D3" s="3241" t="s">
        <v>2735</v>
      </c>
      <c r="E3" s="3244" t="s">
        <v>2031</v>
      </c>
      <c r="F3" s="3244"/>
      <c r="G3" s="3244"/>
      <c r="H3" s="3244" t="s">
        <v>2032</v>
      </c>
      <c r="I3" s="3244"/>
      <c r="J3" s="3244"/>
      <c r="K3" s="3242" t="s">
        <v>2033</v>
      </c>
      <c r="L3" s="3242" t="s">
        <v>2034</v>
      </c>
      <c r="M3" s="3241" t="s">
        <v>2732</v>
      </c>
      <c r="N3" s="3243" t="str">
        <f>"（分摊）"&amp;项目基本情况!B16&amp;"国有建设用地使用权面积/㎡"</f>
        <v>（分摊）出让国有建设用地使用权面积/㎡</v>
      </c>
      <c r="O3" s="3241" t="s">
        <v>2063</v>
      </c>
      <c r="P3" s="3242" t="s">
        <v>2043</v>
      </c>
      <c r="Q3" s="3242" t="s">
        <v>2064</v>
      </c>
      <c r="R3" s="3242" t="s">
        <v>2035</v>
      </c>
    </row>
    <row r="4" spans="1:18" ht="36.75" customHeight="1">
      <c r="A4" s="3241"/>
      <c r="B4" s="3241"/>
      <c r="C4" s="3242"/>
      <c r="D4" s="3241"/>
      <c r="E4" s="2612" t="s">
        <v>2042</v>
      </c>
      <c r="F4" s="2612" t="s">
        <v>2744</v>
      </c>
      <c r="G4" s="2612" t="s">
        <v>2036</v>
      </c>
      <c r="H4" s="2612" t="s">
        <v>2037</v>
      </c>
      <c r="I4" s="2612" t="s">
        <v>2745</v>
      </c>
      <c r="J4" s="2612" t="s">
        <v>2036</v>
      </c>
      <c r="K4" s="3242"/>
      <c r="L4" s="3242"/>
      <c r="M4" s="3241"/>
      <c r="N4" s="3243"/>
      <c r="O4" s="3241"/>
      <c r="P4" s="3242"/>
      <c r="Q4" s="3242"/>
      <c r="R4" s="3242"/>
    </row>
    <row r="5" spans="1:18" ht="135" customHeight="1">
      <c r="A5" s="1927" t="s">
        <v>2655</v>
      </c>
      <c r="B5" s="2821" t="s">
        <v>2653</v>
      </c>
      <c r="C5" s="2611">
        <v>22</v>
      </c>
      <c r="D5" s="2610" t="s">
        <v>2654</v>
      </c>
      <c r="E5" s="1794" t="str">
        <f>项目基本情况!B12</f>
        <v>住宅、商业、办公</v>
      </c>
      <c r="F5" s="2610">
        <v>258</v>
      </c>
      <c r="G5" s="1794" t="str">
        <f>项目基本情况!B13</f>
        <v>住宅、商业、办公</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153365</v>
      </c>
      <c r="O5" s="1794">
        <f>项目基本情况!C21</f>
        <v>508675</v>
      </c>
      <c r="P5" s="1794">
        <f ca="1">结果表!E42</f>
        <v>2562</v>
      </c>
      <c r="Q5" s="1794">
        <f ca="1">结果表!D42</f>
        <v>773</v>
      </c>
      <c r="R5" s="1795">
        <f ca="1">结果表!C42</f>
        <v>39298</v>
      </c>
    </row>
    <row r="6" spans="1:18">
      <c r="A6" s="3237" t="str">
        <f>IF(项目基本情况!B9="市场价格","——","抵押价格")</f>
        <v>抵押价格</v>
      </c>
      <c r="B6" s="3238"/>
      <c r="C6" s="3238"/>
      <c r="D6" s="3238"/>
      <c r="E6" s="3238"/>
      <c r="F6" s="3238"/>
      <c r="G6" s="3238"/>
      <c r="H6" s="3238"/>
      <c r="I6" s="3238"/>
      <c r="J6" s="3238"/>
      <c r="K6" s="3238"/>
      <c r="L6" s="3238"/>
      <c r="M6" s="3238"/>
      <c r="N6" s="3238"/>
      <c r="O6" s="3238"/>
      <c r="P6" s="3238"/>
      <c r="Q6" s="3239"/>
      <c r="R6" s="1796">
        <f ca="1">结果表!O39</f>
        <v>39298</v>
      </c>
    </row>
    <row r="7" spans="1:18">
      <c r="A7" s="3237" t="str">
        <f>IF(项目基本情况!B9="市场价格","——",IF(项目基本情况!E8="已注销及未注销","抵押担保权已注销时的抵押价格","——"))</f>
        <v>——</v>
      </c>
      <c r="B7" s="3238"/>
      <c r="C7" s="3238"/>
      <c r="D7" s="3238"/>
      <c r="E7" s="3238"/>
      <c r="F7" s="3238"/>
      <c r="G7" s="3238"/>
      <c r="H7" s="3238"/>
      <c r="I7" s="3238"/>
      <c r="J7" s="3238"/>
      <c r="K7" s="3238"/>
      <c r="L7" s="3238"/>
      <c r="M7" s="3238"/>
      <c r="N7" s="3238"/>
      <c r="O7" s="3238"/>
      <c r="P7" s="3238"/>
      <c r="Q7" s="3239"/>
      <c r="R7" s="1796" t="str">
        <f>结果表!O40</f>
        <v>——</v>
      </c>
    </row>
    <row r="8" spans="1:18">
      <c r="A8" s="3237">
        <f>IF(项目基本情况!B9="市场价格","——",项目基本情况!E9)</f>
        <v>0</v>
      </c>
      <c r="B8" s="3238"/>
      <c r="C8" s="3238"/>
      <c r="D8" s="3238"/>
      <c r="E8" s="3238"/>
      <c r="F8" s="3238"/>
      <c r="G8" s="3238"/>
      <c r="H8" s="3238"/>
      <c r="I8" s="3238"/>
      <c r="J8" s="3238"/>
      <c r="K8" s="3238"/>
      <c r="L8" s="3238"/>
      <c r="M8" s="3238"/>
      <c r="N8" s="3238"/>
      <c r="O8" s="3238"/>
      <c r="P8" s="3238"/>
      <c r="Q8" s="3239"/>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46" t="s">
        <v>2065</v>
      </c>
      <c r="B1" s="3246"/>
      <c r="C1" s="3246"/>
      <c r="D1" s="3246"/>
    </row>
    <row r="2" spans="1:4" ht="47.25" customHeight="1">
      <c r="A2" s="3247" t="str">
        <f>"1.权利限制："&amp;项目基本情况!L24&amp;"未设定租赁等其他他项权利。"</f>
        <v>1.权利限制：根据估价对象《不动产权证书》原件、《国有土地使用权》复印件，截至估价期日，估价对象抵押权未见登记。未设定租赁等其他他项权利。</v>
      </c>
      <c r="B2" s="3247"/>
      <c r="C2" s="3247"/>
      <c r="D2" s="3247"/>
    </row>
    <row r="3" spans="1:4" ht="48" customHeight="1">
      <c r="A3" s="324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6"/>
      <c r="C3" s="3246"/>
      <c r="D3" s="3246"/>
    </row>
    <row r="4" spans="1:4" ht="36.75" customHeight="1">
      <c r="A4" s="3246" t="str">
        <f>"3.估价规划限制条件：详见"&amp;项目基本情况!E21&amp;"。"</f>
        <v>3.估价规划限制条件：详见《建设工程规划许可证》[]、《出让合同》[]。</v>
      </c>
      <c r="B4" s="3246"/>
      <c r="C4" s="3246"/>
      <c r="D4" s="3246"/>
    </row>
    <row r="5" spans="1:4">
      <c r="A5" s="3245" t="s">
        <v>2066</v>
      </c>
      <c r="B5" s="3245"/>
      <c r="C5" s="3245"/>
      <c r="D5" s="3245"/>
    </row>
    <row r="6" spans="1:4">
      <c r="A6" s="3246" t="s">
        <v>2044</v>
      </c>
      <c r="B6" s="3246"/>
      <c r="C6" s="3246"/>
      <c r="D6" s="3246"/>
    </row>
    <row r="7" spans="1:4" ht="33" customHeight="1">
      <c r="A7" s="3246" t="s">
        <v>2575</v>
      </c>
      <c r="B7" s="3246"/>
      <c r="C7" s="3246"/>
      <c r="D7" s="3246"/>
    </row>
    <row r="8" spans="1:4" ht="32.25" customHeight="1">
      <c r="A8" s="32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6"/>
      <c r="C8" s="3246"/>
      <c r="D8" s="3246"/>
    </row>
    <row r="9" spans="1:4" ht="33.75" customHeight="1">
      <c r="A9" s="32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6"/>
      <c r="C9" s="3246"/>
      <c r="D9" s="3246"/>
    </row>
    <row r="10" spans="1:4">
      <c r="A10" s="3246" t="str">
        <f>IF(项目基本情况!B8="抵押","4.估价师所知悉的法定优先受偿款情况为：","——")</f>
        <v>4.估价师所知悉的法定优先受偿款情况为：</v>
      </c>
      <c r="B10" s="3246"/>
      <c r="C10" s="3246"/>
      <c r="D10" s="3246"/>
    </row>
    <row r="11" spans="1:4" ht="37.5" customHeight="1">
      <c r="A11" s="324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8"/>
      <c r="C11" s="3248"/>
      <c r="D11" s="3248"/>
    </row>
    <row r="12" spans="1:4" ht="168" customHeight="1">
      <c r="A12" s="3245" t="s">
        <v>2068</v>
      </c>
      <c r="B12" s="3245"/>
      <c r="C12" s="3245"/>
      <c r="D12" s="3245"/>
    </row>
    <row r="13" spans="1:4">
      <c r="A13" s="3249" t="s">
        <v>2746</v>
      </c>
      <c r="B13" s="3249"/>
      <c r="C13" s="3249"/>
      <c r="D13" s="3249"/>
    </row>
    <row r="14" spans="1:4">
      <c r="A14" s="3248" t="str">
        <f>IF(项目基本情况!B8="抵押","综上，"&amp;结果表!K47,"——")</f>
        <v>综上，本次评估不存在估价师知悉的法定优先受偿款</v>
      </c>
      <c r="B14" s="3248"/>
      <c r="C14" s="3248"/>
      <c r="D14" s="3248"/>
    </row>
    <row r="15" spans="1:4" ht="58.5" customHeight="1">
      <c r="A15" s="32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6"/>
      <c r="C15" s="3246"/>
      <c r="D15" s="3246"/>
    </row>
    <row r="16" spans="1:4" ht="70.5" customHeight="1">
      <c r="A16" s="32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6"/>
      <c r="C16" s="3246"/>
      <c r="D16" s="3246"/>
    </row>
    <row r="17" spans="1:4">
      <c r="A17" s="3246" t="s">
        <v>2702</v>
      </c>
      <c r="B17" s="3246"/>
      <c r="C17" s="3246"/>
      <c r="D17" s="3246"/>
    </row>
    <row r="18" spans="1:4">
      <c r="A18" s="3246" t="s">
        <v>2694</v>
      </c>
      <c r="B18" s="3246"/>
      <c r="C18" s="3246"/>
      <c r="D18" s="3246"/>
    </row>
    <row r="19" spans="1:4">
      <c r="A19" s="2822" t="s">
        <v>2695</v>
      </c>
      <c r="B19" s="2822" t="s">
        <v>2696</v>
      </c>
      <c r="C19" s="2822" t="s">
        <v>2697</v>
      </c>
      <c r="D19" s="2822" t="s">
        <v>2698</v>
      </c>
    </row>
    <row r="20" spans="1:4">
      <c r="A20" s="2822" t="str">
        <f>项目基本情况!B4</f>
        <v>土地估价师</v>
      </c>
      <c r="B20" s="2822">
        <f>项目基本情况!C4</f>
        <v>0</v>
      </c>
      <c r="C20" s="2824"/>
      <c r="D20" s="1784" t="s">
        <v>2703</v>
      </c>
    </row>
    <row r="21" spans="1:4">
      <c r="A21" s="2822" t="str">
        <f>项目基本情况!D4</f>
        <v>土地估价师</v>
      </c>
      <c r="B21" s="2822">
        <f>项目基本情况!E4</f>
        <v>0</v>
      </c>
      <c r="C21" s="2824"/>
      <c r="D21" s="1784" t="s">
        <v>2704</v>
      </c>
    </row>
    <row r="23" spans="1:4">
      <c r="A23" s="3246" t="s">
        <v>2699</v>
      </c>
      <c r="B23" s="3246"/>
      <c r="C23" s="3246"/>
      <c r="D23" s="3246"/>
    </row>
    <row r="24" spans="1:4">
      <c r="A24" s="2822" t="s">
        <v>2695</v>
      </c>
      <c r="B24" s="2822" t="s">
        <v>2700</v>
      </c>
      <c r="C24" s="2822" t="s">
        <v>2697</v>
      </c>
      <c r="D24" s="2822" t="s">
        <v>2698</v>
      </c>
    </row>
    <row r="25" spans="1:4">
      <c r="A25" s="2825" t="s">
        <v>2701</v>
      </c>
      <c r="B25" s="2822" t="s">
        <v>952</v>
      </c>
      <c r="C25" s="2824"/>
      <c r="D25" s="1784" t="s">
        <v>2704</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57" t="s">
        <v>53</v>
      </c>
      <c r="B15" s="3258" t="s">
        <v>846</v>
      </c>
      <c r="C15" s="3254"/>
    </row>
    <row r="16" spans="1:7" ht="14.25">
      <c r="A16" s="3257"/>
      <c r="B16" s="3255" t="s">
        <v>54</v>
      </c>
      <c r="C16" s="1167" t="s">
        <v>53</v>
      </c>
    </row>
    <row r="17" spans="1:3" ht="14.25">
      <c r="A17" s="3257"/>
      <c r="B17" s="3255"/>
      <c r="C17" s="1167" t="s">
        <v>55</v>
      </c>
    </row>
    <row r="18" spans="1:3" ht="14.25">
      <c r="A18" s="3257"/>
      <c r="B18" s="3255"/>
      <c r="C18" s="1167" t="s">
        <v>56</v>
      </c>
    </row>
    <row r="19" spans="1:3" ht="14.25">
      <c r="A19" s="3257"/>
      <c r="B19" s="3253" t="s">
        <v>57</v>
      </c>
      <c r="C19" s="3254"/>
    </row>
    <row r="20" spans="1:3" ht="14.25">
      <c r="A20" s="1168" t="s">
        <v>58</v>
      </c>
      <c r="B20" s="1169"/>
      <c r="C20" s="1170"/>
    </row>
    <row r="21" spans="1:3" ht="14.25">
      <c r="A21" s="3256" t="s">
        <v>59</v>
      </c>
      <c r="B21" s="3253" t="s">
        <v>60</v>
      </c>
      <c r="C21" s="3254"/>
    </row>
    <row r="22" spans="1:3" ht="14.25">
      <c r="A22" s="3256"/>
      <c r="B22" s="3253" t="s">
        <v>61</v>
      </c>
      <c r="C22" s="3254"/>
    </row>
    <row r="23" spans="1:3" ht="14.25">
      <c r="A23" s="3256"/>
      <c r="B23" s="3253" t="s">
        <v>62</v>
      </c>
      <c r="C23" s="3254"/>
    </row>
    <row r="24" spans="1:3" ht="14.25">
      <c r="A24" s="3256"/>
      <c r="B24" s="3259" t="s">
        <v>63</v>
      </c>
      <c r="C24" s="1171" t="s">
        <v>837</v>
      </c>
    </row>
    <row r="25" spans="1:3" ht="14.25">
      <c r="A25" s="3256"/>
      <c r="B25" s="3260"/>
      <c r="C25" s="1171" t="s">
        <v>838</v>
      </c>
    </row>
    <row r="26" spans="1:3" ht="14.25">
      <c r="A26" s="3256"/>
      <c r="B26" s="3260"/>
      <c r="C26" s="1171" t="s">
        <v>839</v>
      </c>
    </row>
    <row r="27" spans="1:3" ht="14.25">
      <c r="A27" s="3256"/>
      <c r="B27" s="3260"/>
      <c r="C27" s="1171" t="s">
        <v>840</v>
      </c>
    </row>
    <row r="28" spans="1:3" ht="14.25">
      <c r="A28" s="3256"/>
      <c r="B28" s="3260"/>
      <c r="C28" s="1171" t="s">
        <v>841</v>
      </c>
    </row>
    <row r="29" spans="1:3" ht="14.25">
      <c r="A29" s="3256"/>
      <c r="B29" s="3260"/>
      <c r="C29" s="1171" t="s">
        <v>842</v>
      </c>
    </row>
    <row r="30" spans="1:3" ht="14.25">
      <c r="A30" s="3256"/>
      <c r="B30" s="3260"/>
      <c r="C30" s="1171" t="s">
        <v>843</v>
      </c>
    </row>
    <row r="31" spans="1:3" ht="14.25">
      <c r="A31" s="3256"/>
      <c r="B31" s="3260"/>
      <c r="C31" s="1171" t="s">
        <v>844</v>
      </c>
    </row>
    <row r="32" spans="1:3" ht="14.25">
      <c r="A32" s="3256"/>
      <c r="B32" s="3260"/>
      <c r="C32" s="1171" t="s">
        <v>1646</v>
      </c>
    </row>
    <row r="33" spans="1:3" ht="14.25">
      <c r="A33" s="3256"/>
      <c r="B33" s="3250" t="s">
        <v>1652</v>
      </c>
      <c r="C33" s="1171" t="s">
        <v>1647</v>
      </c>
    </row>
    <row r="34" spans="1:3" ht="14.25">
      <c r="A34" s="3256"/>
      <c r="B34" s="3251"/>
      <c r="C34" s="1176" t="s">
        <v>1648</v>
      </c>
    </row>
    <row r="35" spans="1:3" ht="14.25">
      <c r="A35" s="3256"/>
      <c r="B35" s="3251"/>
      <c r="C35" s="1177" t="s">
        <v>1649</v>
      </c>
    </row>
    <row r="36" spans="1:3" ht="14.25">
      <c r="A36" s="3256"/>
      <c r="B36" s="3251"/>
      <c r="C36" s="1177" t="s">
        <v>1650</v>
      </c>
    </row>
    <row r="37" spans="1:3" ht="14.25">
      <c r="A37" s="3256"/>
      <c r="B37" s="3252"/>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1907</v>
      </c>
      <c r="B2" s="3123">
        <f ca="1">TODAY()</f>
        <v>43836</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43849</v>
      </c>
      <c r="D4" s="3127" t="s">
        <v>1914</v>
      </c>
      <c r="E4" s="3127">
        <f ca="1">IF(F4&lt;B2,"已过期",96010014)</f>
        <v>96010014</v>
      </c>
      <c r="F4" s="3130">
        <v>47118</v>
      </c>
    </row>
    <row r="5" spans="1:6" ht="20.25" customHeight="1">
      <c r="A5" s="3127" t="s">
        <v>1915</v>
      </c>
      <c r="B5" s="3127">
        <f ca="1">IF(C5&lt;B2,"已过期",1119970074)</f>
        <v>1119970074</v>
      </c>
      <c r="C5" s="3129">
        <v>43849</v>
      </c>
      <c r="D5" s="3127" t="s">
        <v>1915</v>
      </c>
      <c r="E5" s="3127">
        <f ca="1">IF(F5&lt;B2,"已过期",2002110027)</f>
        <v>2002110027</v>
      </c>
      <c r="F5" s="3130">
        <v>46752</v>
      </c>
    </row>
    <row r="6" spans="1:6" ht="20.25" customHeight="1">
      <c r="A6" s="3127" t="s">
        <v>1916</v>
      </c>
      <c r="B6" s="3127">
        <f ca="1">IF(C6&lt;B2,"已过期",1119970111)</f>
        <v>1119970111</v>
      </c>
      <c r="C6" s="3129">
        <v>43849</v>
      </c>
      <c r="D6" s="3127" t="s">
        <v>1916</v>
      </c>
      <c r="E6" s="3127">
        <f ca="1">IF(F6&lt;B2,"已过期",94010078)</f>
        <v>94010078</v>
      </c>
      <c r="F6" s="3130">
        <v>46387</v>
      </c>
    </row>
    <row r="7" spans="1:6" ht="20.25" customHeight="1">
      <c r="A7" s="3127" t="s">
        <v>1917</v>
      </c>
      <c r="B7" s="3127">
        <f ca="1">IF(C7&lt;B2,"已过期",1120050019)</f>
        <v>1120050019</v>
      </c>
      <c r="C7" s="3129">
        <v>44395</v>
      </c>
      <c r="D7" s="3127" t="s">
        <v>1917</v>
      </c>
      <c r="E7" s="3127">
        <f ca="1">IF(F7&lt;B2,"已过期",2002110030)</f>
        <v>2002110030</v>
      </c>
      <c r="F7" s="3130">
        <v>46387</v>
      </c>
    </row>
    <row r="8" spans="1:6" ht="20.25" customHeight="1">
      <c r="A8" s="3127" t="s">
        <v>1918</v>
      </c>
      <c r="B8" s="3127">
        <f ca="1">IF(C8&lt;B2,"已过期",1120000080)</f>
        <v>1120000080</v>
      </c>
      <c r="C8" s="3129">
        <v>43849</v>
      </c>
      <c r="D8" s="3127" t="s">
        <v>1918</v>
      </c>
      <c r="E8" s="3127">
        <f ca="1">IF(F8&lt;B2,"已过期",2000110082)</f>
        <v>2000110082</v>
      </c>
      <c r="F8" s="3130">
        <v>46387</v>
      </c>
    </row>
    <row r="9" spans="1:6" ht="20.25" customHeight="1">
      <c r="A9" s="3127" t="s">
        <v>1919</v>
      </c>
      <c r="B9" s="3127">
        <f ca="1">IF(C9&lt;B2,"已过期",1419970001)</f>
        <v>1419970001</v>
      </c>
      <c r="C9" s="3129">
        <v>43867</v>
      </c>
      <c r="D9" s="3127" t="s">
        <v>1919</v>
      </c>
      <c r="E9" s="3127">
        <f ca="1">IF(F9&lt;B2,"已过期",2002110125)</f>
        <v>2002110125</v>
      </c>
      <c r="F9" s="3130">
        <v>47118</v>
      </c>
    </row>
    <row r="10" spans="1:6" ht="20.25" customHeight="1">
      <c r="A10" s="3127" t="s">
        <v>1920</v>
      </c>
      <c r="B10" s="3127">
        <f ca="1">IF(C10&lt;B2,"已过期",1120060040)</f>
        <v>1120060040</v>
      </c>
      <c r="C10" s="3129">
        <v>44554</v>
      </c>
      <c r="D10" s="3127" t="s">
        <v>1920</v>
      </c>
      <c r="E10" s="3127">
        <f ca="1">IF(F10&lt;B2,"已过期",2004110096)</f>
        <v>2004110096</v>
      </c>
      <c r="F10" s="3130">
        <v>47118</v>
      </c>
    </row>
    <row r="11" spans="1:6" ht="20.25" customHeight="1">
      <c r="A11" s="3127" t="s">
        <v>1921</v>
      </c>
      <c r="B11" s="3127">
        <f ca="1">IF(C11&lt;B2,"已过期",1120100036)</f>
        <v>1120100036</v>
      </c>
      <c r="C11" s="3129">
        <v>44675</v>
      </c>
      <c r="D11" s="3127" t="s">
        <v>1921</v>
      </c>
      <c r="E11" s="3127">
        <f ca="1">IF(F11&lt;B2,"已过期",2010110070)</f>
        <v>2010110070</v>
      </c>
      <c r="F11" s="3130">
        <v>47907</v>
      </c>
    </row>
    <row r="12" spans="1:6" ht="20.25" customHeight="1">
      <c r="A12" s="3127"/>
      <c r="B12" s="3127"/>
      <c r="C12" s="3129"/>
      <c r="D12" s="3127"/>
      <c r="E12" s="3127"/>
      <c r="F12" s="3130"/>
    </row>
    <row r="13" spans="1:6" ht="20.25" customHeight="1">
      <c r="A13" s="3127" t="s">
        <v>1922</v>
      </c>
      <c r="B13" s="3127" t="str">
        <f ca="1">IF(C13&lt;B2,"已过期",1120070131)</f>
        <v>已过期</v>
      </c>
      <c r="C13" s="3129">
        <v>43814</v>
      </c>
      <c r="D13" s="3127" t="s">
        <v>1922</v>
      </c>
      <c r="E13" s="3127">
        <f ca="1">IF(F13&lt;B2,"已过期",2014110011)</f>
        <v>2014110011</v>
      </c>
      <c r="F13" s="3130">
        <v>49302</v>
      </c>
    </row>
    <row r="14" spans="1:6" ht="20.25" customHeight="1">
      <c r="A14" s="3127" t="s">
        <v>2982</v>
      </c>
      <c r="B14" s="3127" t="str">
        <f ca="1">IF(C14&lt;B2,"已过期",1120040230)</f>
        <v>已过期</v>
      </c>
      <c r="C14" s="3131">
        <v>43835</v>
      </c>
      <c r="D14" s="3132" t="s">
        <v>2983</v>
      </c>
      <c r="E14" s="3127">
        <f ca="1">IF(F14&lt;B2,"已过期",98030020)</f>
        <v>98030020</v>
      </c>
      <c r="F14" s="3130">
        <v>47118</v>
      </c>
    </row>
    <row r="15" spans="1:6" ht="20.25" customHeight="1">
      <c r="A15" s="3127" t="s">
        <v>2574</v>
      </c>
      <c r="B15" s="3127" t="str">
        <f ca="1">IF(C15&lt;B2,"已过期",1120070085)</f>
        <v>已过期</v>
      </c>
      <c r="C15" s="3131">
        <v>43814</v>
      </c>
      <c r="D15" s="3127" t="s">
        <v>2984</v>
      </c>
      <c r="E15" s="3127">
        <f ca="1">IF(F15&lt;B2,"已过期",2004110128)</f>
        <v>2004110128</v>
      </c>
      <c r="F15" s="3133">
        <v>47118</v>
      </c>
    </row>
    <row r="16" spans="1:6" ht="20.25" customHeight="1">
      <c r="A16" s="3127" t="s">
        <v>1923</v>
      </c>
      <c r="B16" s="3127">
        <f ca="1">IF(C16&lt;B2,"已过期",1120140022)</f>
        <v>1120140022</v>
      </c>
      <c r="C16" s="3129">
        <v>44029</v>
      </c>
      <c r="D16" s="3127" t="s">
        <v>2985</v>
      </c>
      <c r="E16" s="3127">
        <f ca="1">IF(F16&lt;B2,"已过期",2008110059)</f>
        <v>2008110059</v>
      </c>
      <c r="F16" s="3130">
        <v>47177</v>
      </c>
    </row>
    <row r="17" spans="1:7" ht="20.25" customHeight="1">
      <c r="A17" s="3127"/>
      <c r="B17" s="3127"/>
      <c r="C17" s="3129"/>
      <c r="D17" s="3132" t="s">
        <v>2986</v>
      </c>
      <c r="E17" s="3127">
        <f ca="1">IF(F17&lt;B2,"已过期",2014110076)</f>
        <v>2014110076</v>
      </c>
      <c r="F17" s="3130">
        <v>49302</v>
      </c>
    </row>
    <row r="18" spans="1:7" ht="20.25" customHeight="1">
      <c r="A18" s="3127" t="s">
        <v>2999</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1924</v>
      </c>
      <c r="E21" s="3127">
        <f ca="1">IF(F21&lt;B2,"已过期",2011110090)</f>
        <v>2011110090</v>
      </c>
      <c r="F21" s="3130">
        <v>48302</v>
      </c>
    </row>
    <row r="22" spans="1:7" ht="20.25" customHeight="1">
      <c r="A22" s="3127" t="s">
        <v>1925</v>
      </c>
      <c r="B22" s="3127">
        <f ca="1">IF(C22&lt;B2,"已过期",1120020033)</f>
        <v>1120020033</v>
      </c>
      <c r="C22" s="3129">
        <v>44339</v>
      </c>
      <c r="D22" s="3127" t="s">
        <v>1925</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2053</v>
      </c>
      <c r="B24" s="3126" t="s">
        <v>2053</v>
      </c>
      <c r="C24" s="3129"/>
      <c r="D24" s="3134" t="s">
        <v>2053</v>
      </c>
      <c r="E24" s="3126" t="s">
        <v>2053</v>
      </c>
      <c r="F24" s="3133"/>
    </row>
    <row r="25" spans="1:7" ht="20.25" customHeight="1">
      <c r="A25" s="3261" t="s">
        <v>1926</v>
      </c>
      <c r="B25" s="3261"/>
      <c r="C25" s="3261"/>
      <c r="D25" s="3261"/>
      <c r="E25" s="3261"/>
      <c r="F25" s="3261"/>
      <c r="G25" s="3261"/>
    </row>
    <row r="26" spans="1:7" ht="20.25" customHeight="1">
      <c r="A26" s="3262" t="s">
        <v>1927</v>
      </c>
      <c r="B26" s="3262"/>
      <c r="C26" s="3262"/>
      <c r="D26" s="3262" t="s">
        <v>1928</v>
      </c>
      <c r="E26" s="3262"/>
      <c r="F26" s="3262"/>
    </row>
    <row r="27" spans="1:7" s="3122" customFormat="1" ht="20.25" customHeight="1">
      <c r="A27" s="3136" t="s">
        <v>1929</v>
      </c>
      <c r="B27" s="3137" t="s">
        <v>1930</v>
      </c>
      <c r="C27" s="3137" t="s">
        <v>1931</v>
      </c>
      <c r="D27" s="3127" t="s">
        <v>1929</v>
      </c>
      <c r="E27" s="3137" t="s">
        <v>1930</v>
      </c>
      <c r="F27" s="3137" t="s">
        <v>1931</v>
      </c>
    </row>
    <row r="28" spans="1:7" s="3122" customFormat="1" ht="20.25" customHeight="1">
      <c r="A28" s="3138" t="s">
        <v>1932</v>
      </c>
      <c r="B28" s="3138" t="s">
        <v>1933</v>
      </c>
      <c r="C28" s="3130">
        <v>44820</v>
      </c>
      <c r="D28" s="3138" t="s">
        <v>1934</v>
      </c>
      <c r="E28" s="3138" t="s">
        <v>1935</v>
      </c>
      <c r="F28" s="3139">
        <v>44377</v>
      </c>
    </row>
    <row r="29" spans="1:7" s="3122" customFormat="1" ht="20.25" customHeight="1">
      <c r="A29" s="3138"/>
      <c r="B29" s="3138"/>
      <c r="C29" s="3140"/>
      <c r="D29" s="3138" t="s">
        <v>1936</v>
      </c>
      <c r="E29" s="3138" t="s">
        <v>3000</v>
      </c>
      <c r="F29" s="3139">
        <v>44012</v>
      </c>
    </row>
    <row r="30" spans="1:7" ht="20.25" customHeight="1">
      <c r="C30" s="3141"/>
      <c r="D30" s="3141"/>
    </row>
  </sheetData>
  <sheetProtection sheet="1" objects="1" scenarios="1"/>
  <mergeCells count="3">
    <mergeCell ref="A25:G25"/>
    <mergeCell ref="A26:C26"/>
    <mergeCell ref="D26:F26"/>
  </mergeCells>
  <phoneticPr fontId="4" type="noConversion"/>
  <conditionalFormatting sqref="C24:D24">
    <cfRule type="expression" dxfId="227" priority="137">
      <formula>AND($C24-TODAY()&lt;30,TODAY()&lt;$C24)</formula>
    </cfRule>
  </conditionalFormatting>
  <conditionalFormatting sqref="C28">
    <cfRule type="expression" dxfId="226" priority="136">
      <formula>AND($C28-TODAY()&lt;30,TODAY()&lt;$C28)</formula>
    </cfRule>
  </conditionalFormatting>
  <conditionalFormatting sqref="C28 F4">
    <cfRule type="cellIs" dxfId="225" priority="138" stopIfTrue="1" operator="lessThan">
      <formula>$B$2</formula>
    </cfRule>
  </conditionalFormatting>
  <conditionalFormatting sqref="F5">
    <cfRule type="cellIs" dxfId="224" priority="134" stopIfTrue="1" operator="lessThan">
      <formula>$B$2</formula>
    </cfRule>
  </conditionalFormatting>
  <conditionalFormatting sqref="F6 F8 F10">
    <cfRule type="cellIs" dxfId="223" priority="132" stopIfTrue="1" operator="lessThan">
      <formula>$B$2</formula>
    </cfRule>
  </conditionalFormatting>
  <conditionalFormatting sqref="C24:D24">
    <cfRule type="expression" dxfId="222" priority="130">
      <formula>AND($C24-TODAY()&lt;30,TODAY()&lt;$C24)</formula>
    </cfRule>
  </conditionalFormatting>
  <conditionalFormatting sqref="F7 F9 F11 C24:D24">
    <cfRule type="cellIs" dxfId="221" priority="131" stopIfTrue="1" operator="lessThan">
      <formula>$B$2</formula>
    </cfRule>
  </conditionalFormatting>
  <conditionalFormatting sqref="F22">
    <cfRule type="cellIs" dxfId="220" priority="102" stopIfTrue="1" operator="lessThan">
      <formula>$B$2</formula>
    </cfRule>
  </conditionalFormatting>
  <conditionalFormatting sqref="F21">
    <cfRule type="cellIs" dxfId="219" priority="101" stopIfTrue="1" operator="lessThan">
      <formula>$B$2</formula>
    </cfRule>
  </conditionalFormatting>
  <conditionalFormatting sqref="B4:B11 E4:E11 E19:E23 B17 B13 E13 B19:B23">
    <cfRule type="cellIs" dxfId="218" priority="99" stopIfTrue="1" operator="equal">
      <formula>"已过期"</formula>
    </cfRule>
  </conditionalFormatting>
  <conditionalFormatting sqref="F28">
    <cfRule type="cellIs" dxfId="217" priority="96" stopIfTrue="1" operator="lessThan">
      <formula>$B$2</formula>
    </cfRule>
  </conditionalFormatting>
  <conditionalFormatting sqref="F28">
    <cfRule type="expression" dxfId="216" priority="140">
      <formula>AND($E28-TODAY()&lt;30,TODAY()&lt;$E28)</formula>
    </cfRule>
  </conditionalFormatting>
  <conditionalFormatting sqref="C5">
    <cfRule type="expression" dxfId="215" priority="91">
      <formula>AND($C5-TODAY()&lt;30,TODAY()&lt;$C5)</formula>
    </cfRule>
  </conditionalFormatting>
  <conditionalFormatting sqref="C5">
    <cfRule type="cellIs" dxfId="214" priority="92" stopIfTrue="1" operator="lessThan">
      <formula>$B$2</formula>
    </cfRule>
  </conditionalFormatting>
  <conditionalFormatting sqref="C4:C6">
    <cfRule type="expression" dxfId="213" priority="89">
      <formula>AND($C4-TODAY()&lt;30,TODAY()&lt;$C4)</formula>
    </cfRule>
  </conditionalFormatting>
  <conditionalFormatting sqref="C4:C6">
    <cfRule type="cellIs" dxfId="212" priority="90" stopIfTrue="1" operator="lessThan">
      <formula>$B$2</formula>
    </cfRule>
  </conditionalFormatting>
  <conditionalFormatting sqref="C8:C9">
    <cfRule type="expression" dxfId="211" priority="87">
      <formula>AND($C8-TODAY()&lt;30,TODAY()&lt;$C8)</formula>
    </cfRule>
  </conditionalFormatting>
  <conditionalFormatting sqref="C8:C9">
    <cfRule type="cellIs" dxfId="210" priority="88" stopIfTrue="1" operator="lessThan">
      <formula>$B$2</formula>
    </cfRule>
  </conditionalFormatting>
  <conditionalFormatting sqref="C7">
    <cfRule type="expression" dxfId="209" priority="70">
      <formula>AND($C7-TODAY()&lt;30,TODAY()&lt;$C7)</formula>
    </cfRule>
  </conditionalFormatting>
  <conditionalFormatting sqref="C7">
    <cfRule type="cellIs" dxfId="208" priority="71" stopIfTrue="1" operator="lessThan">
      <formula>$B$2</formula>
    </cfRule>
  </conditionalFormatting>
  <conditionalFormatting sqref="C13 C23 C17 C19:C21">
    <cfRule type="expression" dxfId="207" priority="68">
      <formula>AND($C13-TODAY()&lt;30,TODAY()&lt;$C13)</formula>
    </cfRule>
  </conditionalFormatting>
  <conditionalFormatting sqref="C13 C23 C17 C19:C21">
    <cfRule type="cellIs" dxfId="206" priority="69" stopIfTrue="1" operator="lessThan">
      <formula>$B$2</formula>
    </cfRule>
  </conditionalFormatting>
  <conditionalFormatting sqref="F13">
    <cfRule type="cellIs" dxfId="205" priority="67" stopIfTrue="1" operator="lessThan">
      <formula>$B$2</formula>
    </cfRule>
  </conditionalFormatting>
  <conditionalFormatting sqref="F12">
    <cfRule type="cellIs" dxfId="204" priority="59" stopIfTrue="1" operator="lessThan">
      <formula>$B$2</formula>
    </cfRule>
  </conditionalFormatting>
  <conditionalFormatting sqref="B12 E12">
    <cfRule type="cellIs" dxfId="203" priority="58" stopIfTrue="1" operator="equal">
      <formula>"已过期"</formula>
    </cfRule>
  </conditionalFormatting>
  <conditionalFormatting sqref="C12">
    <cfRule type="expression" dxfId="202" priority="56">
      <formula>AND($C12-TODAY()&lt;30,TODAY()&lt;$C12)</formula>
    </cfRule>
  </conditionalFormatting>
  <conditionalFormatting sqref="C12">
    <cfRule type="cellIs" dxfId="201" priority="57" stopIfTrue="1" operator="lessThan">
      <formula>$B$2</formula>
    </cfRule>
  </conditionalFormatting>
  <conditionalFormatting sqref="C22">
    <cfRule type="expression" dxfId="200" priority="48">
      <formula>AND($C22-TODAY()&lt;30,TODAY()&lt;$C22)</formula>
    </cfRule>
  </conditionalFormatting>
  <conditionalFormatting sqref="C22">
    <cfRule type="cellIs" dxfId="199" priority="49" stopIfTrue="1" operator="lessThan">
      <formula>$B$2</formula>
    </cfRule>
  </conditionalFormatting>
  <conditionalFormatting sqref="C16">
    <cfRule type="expression" dxfId="198" priority="46">
      <formula>AND($C16-TODAY()&lt;30,TODAY()&lt;$C16)</formula>
    </cfRule>
  </conditionalFormatting>
  <conditionalFormatting sqref="C16">
    <cfRule type="cellIs" dxfId="197" priority="47" stopIfTrue="1" operator="lessThan">
      <formula>$B$2</formula>
    </cfRule>
  </conditionalFormatting>
  <conditionalFormatting sqref="C16">
    <cfRule type="expression" dxfId="196" priority="44">
      <formula>AND($C16-TODAY()&lt;30,TODAY()&lt;$C16)</formula>
    </cfRule>
  </conditionalFormatting>
  <conditionalFormatting sqref="C16">
    <cfRule type="cellIs" dxfId="195" priority="45" stopIfTrue="1" operator="lessThan">
      <formula>$B$2</formula>
    </cfRule>
  </conditionalFormatting>
  <conditionalFormatting sqref="B16">
    <cfRule type="cellIs" dxfId="194" priority="43" stopIfTrue="1" operator="equal">
      <formula>"已过期"</formula>
    </cfRule>
  </conditionalFormatting>
  <conditionalFormatting sqref="C14:C15">
    <cfRule type="expression" dxfId="193" priority="41">
      <formula>AND($C14-TODAY()&lt;30,TODAY()&lt;$C14)</formula>
    </cfRule>
  </conditionalFormatting>
  <conditionalFormatting sqref="C14:C15">
    <cfRule type="cellIs" dxfId="192" priority="42" stopIfTrue="1" operator="lessThan">
      <formula>$B$2</formula>
    </cfRule>
  </conditionalFormatting>
  <conditionalFormatting sqref="C14">
    <cfRule type="expression" dxfId="191" priority="39">
      <formula>AND($C14-TODAY()&lt;30,TODAY()&lt;$C14)</formula>
    </cfRule>
  </conditionalFormatting>
  <conditionalFormatting sqref="C14">
    <cfRule type="cellIs" dxfId="190" priority="40" stopIfTrue="1" operator="lessThan">
      <formula>$B$2</formula>
    </cfRule>
  </conditionalFormatting>
  <conditionalFormatting sqref="C15">
    <cfRule type="expression" dxfId="189" priority="37">
      <formula>AND($C15-TODAY()&lt;30,TODAY()&lt;$C15)</formula>
    </cfRule>
  </conditionalFormatting>
  <conditionalFormatting sqref="C15">
    <cfRule type="cellIs" dxfId="188" priority="38" stopIfTrue="1" operator="lessThan">
      <formula>$B$2</formula>
    </cfRule>
  </conditionalFormatting>
  <conditionalFormatting sqref="B14">
    <cfRule type="cellIs" dxfId="187" priority="36" stopIfTrue="1" operator="equal">
      <formula>"已过期"</formula>
    </cfRule>
  </conditionalFormatting>
  <conditionalFormatting sqref="B15">
    <cfRule type="cellIs" dxfId="186" priority="35" stopIfTrue="1" operator="equal">
      <formula>"已过期"</formula>
    </cfRule>
  </conditionalFormatting>
  <conditionalFormatting sqref="A15">
    <cfRule type="cellIs" dxfId="185" priority="34" stopIfTrue="1" operator="equal">
      <formula>"已过期"</formula>
    </cfRule>
  </conditionalFormatting>
  <conditionalFormatting sqref="C15">
    <cfRule type="expression" dxfId="184" priority="33">
      <formula>AND($C15-TODAY()&lt;30,TODAY()&lt;$C15)</formula>
    </cfRule>
  </conditionalFormatting>
  <conditionalFormatting sqref="F16">
    <cfRule type="cellIs" dxfId="183" priority="32" stopIfTrue="1" operator="lessThan">
      <formula>$B$2</formula>
    </cfRule>
  </conditionalFormatting>
  <conditionalFormatting sqref="E16">
    <cfRule type="cellIs" dxfId="182" priority="31" stopIfTrue="1" operator="equal">
      <formula>"已过期"</formula>
    </cfRule>
  </conditionalFormatting>
  <conditionalFormatting sqref="E15">
    <cfRule type="cellIs" dxfId="181" priority="30" stopIfTrue="1" operator="equal">
      <formula>"已过期"</formula>
    </cfRule>
  </conditionalFormatting>
  <conditionalFormatting sqref="D15">
    <cfRule type="cellIs" dxfId="180" priority="29" stopIfTrue="1" operator="equal">
      <formula>"已过期"</formula>
    </cfRule>
  </conditionalFormatting>
  <conditionalFormatting sqref="F17">
    <cfRule type="cellIs" dxfId="179" priority="28" stopIfTrue="1" operator="lessThan">
      <formula>$B$2</formula>
    </cfRule>
  </conditionalFormatting>
  <conditionalFormatting sqref="E17">
    <cfRule type="cellIs" dxfId="178" priority="27" stopIfTrue="1" operator="equal">
      <formula>"已过期"</formula>
    </cfRule>
  </conditionalFormatting>
  <conditionalFormatting sqref="E14">
    <cfRule type="cellIs" dxfId="177" priority="26" stopIfTrue="1" operator="equal">
      <formula>"已过期"</formula>
    </cfRule>
  </conditionalFormatting>
  <conditionalFormatting sqref="F14">
    <cfRule type="cellIs" dxfId="176" priority="25" stopIfTrue="1" operator="lessThan">
      <formula>$B$2</formula>
    </cfRule>
  </conditionalFormatting>
  <conditionalFormatting sqref="C10:C11">
    <cfRule type="expression" dxfId="175" priority="21">
      <formula>AND($C10-TODAY()&lt;30,TODAY()&lt;$C10)</formula>
    </cfRule>
  </conditionalFormatting>
  <conditionalFormatting sqref="C10:C11">
    <cfRule type="cellIs" dxfId="174" priority="22" stopIfTrue="1" operator="lessThan">
      <formula>$B$2</formula>
    </cfRule>
  </conditionalFormatting>
  <conditionalFormatting sqref="C18">
    <cfRule type="expression" dxfId="173" priority="10">
      <formula>AND($C18-TODAY()&lt;30,TODAY()&lt;$C18)</formula>
    </cfRule>
  </conditionalFormatting>
  <conditionalFormatting sqref="C18">
    <cfRule type="cellIs" dxfId="172" priority="11" stopIfTrue="1" operator="lessThan">
      <formula>$B$2</formula>
    </cfRule>
  </conditionalFormatting>
  <conditionalFormatting sqref="C18">
    <cfRule type="expression" dxfId="171" priority="8">
      <formula>AND($C18-TODAY()&lt;30,TODAY()&lt;$C18)</formula>
    </cfRule>
  </conditionalFormatting>
  <conditionalFormatting sqref="C18">
    <cfRule type="cellIs" dxfId="170" priority="9" stopIfTrue="1" operator="lessThan">
      <formula>$B$2</formula>
    </cfRule>
  </conditionalFormatting>
  <conditionalFormatting sqref="B18">
    <cfRule type="cellIs" dxfId="169" priority="7" stopIfTrue="1" operator="equal">
      <formula>"已过期"</formula>
    </cfRule>
  </conditionalFormatting>
  <conditionalFormatting sqref="F18">
    <cfRule type="cellIs" dxfId="168" priority="6" stopIfTrue="1" operator="lessThan">
      <formula>$B$2</formula>
    </cfRule>
  </conditionalFormatting>
  <conditionalFormatting sqref="E18">
    <cfRule type="cellIs" dxfId="167" priority="5" stopIfTrue="1" operator="equal">
      <formula>"已过期"</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9" sqref="Z19"/>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2545</v>
      </c>
      <c r="R1" s="2545" t="s">
        <v>2539</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0" t="s">
        <v>2956</v>
      </c>
      <c r="C18" s="1539"/>
    </row>
    <row r="19" spans="1:3">
      <c r="A19" s="8" t="s">
        <v>120</v>
      </c>
      <c r="B19" s="3060" t="s">
        <v>2964</v>
      </c>
      <c r="C19" s="1539"/>
    </row>
    <row r="20" spans="1:3">
      <c r="A20" s="8" t="s">
        <v>121</v>
      </c>
      <c r="B20" s="1144" t="s">
        <v>3136</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黄石市黄金山开发区大棋路以北卫楼下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63"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3日，在规划利用条件下、设定土地开发程度为红线外“七通”、宗地内场地，设定用途为住宅、商业、办公，剩余土地使用年限为的出让国有建设用地使用权价格。</v>
      </c>
      <c r="D53" s="1751"/>
      <c r="E53" s="1751"/>
    </row>
    <row r="54" spans="1:5">
      <c r="A54" s="3263"/>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63"/>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63"/>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63"/>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地价</vt:lpstr>
      <vt:lpstr>不动产收益法商</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2020-01-06T02:27:35Z</dcterms:modified>
</cp:coreProperties>
</file>