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894北京市朝阳区甜水园东里20号楼1层1单元102\"/>
    </mc:Choice>
  </mc:AlternateContent>
  <bookViews>
    <workbookView xWindow="0" yWindow="0" windowWidth="17880" windowHeight="135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G33" i="21"/>
  <c r="G7" i="21"/>
  <c r="G47" i="21"/>
  <c r="G6" i="21"/>
  <c r="D5" i="9"/>
  <c r="I37" i="21"/>
  <c r="G37" i="21"/>
  <c r="E37" i="21"/>
  <c r="I33" i="21"/>
  <c r="E33" i="21"/>
  <c r="C33" i="21"/>
  <c r="I47" i="21"/>
  <c r="E47" i="21"/>
  <c r="I27" i="21"/>
  <c r="E27" i="21"/>
  <c r="C27" i="21"/>
  <c r="E59" i="21"/>
  <c r="D59" i="21"/>
  <c r="I7" i="21"/>
  <c r="E7" i="21"/>
  <c r="I6" i="21"/>
  <c r="E6" i="21"/>
  <c r="Y6" i="1"/>
  <c r="D33" i="43" l="1"/>
  <c r="F19" i="6"/>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7" i="79"/>
  <c r="AD38" i="79"/>
  <c r="AD35" i="79"/>
  <c r="AD34" i="79"/>
  <c r="AR40" i="79"/>
  <c r="AR41" i="79" s="1"/>
  <c r="AR42" i="79" s="1"/>
  <c r="AR43" i="79" s="1"/>
  <c r="AR44" i="79" s="1"/>
  <c r="AR45" i="79" s="1"/>
  <c r="AR46" i="79" s="1"/>
  <c r="AR47" i="79" s="1"/>
  <c r="AR48" i="79" s="1"/>
  <c r="AR49" i="79" s="1"/>
  <c r="AR50" i="79" s="1"/>
  <c r="AR51" i="79" s="1"/>
  <c r="AR52" i="79" s="1"/>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18" i="79"/>
  <c r="AK18" i="79" s="1"/>
  <c r="AH18" i="79"/>
  <c r="W33" i="79"/>
  <c r="AK33" i="79" s="1"/>
  <c r="AH33" i="79"/>
  <c r="W14" i="79"/>
  <c r="AK14" i="79" s="1"/>
  <c r="AH14" i="79"/>
  <c r="W19" i="79"/>
  <c r="AK19" i="79" s="1"/>
  <c r="AH19" i="79"/>
  <c r="W16" i="79"/>
  <c r="AK16" i="79" s="1"/>
  <c r="AH16" i="79"/>
  <c r="W50" i="79"/>
  <c r="AK50" i="79" s="1"/>
  <c r="AH50" i="79"/>
  <c r="W41" i="79"/>
  <c r="AK41" i="79" s="1"/>
  <c r="AH41" i="79"/>
  <c r="W44" i="79"/>
  <c r="AK44" i="79" s="1"/>
  <c r="AH44"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0" i="79"/>
  <c r="AK10" i="79" s="1"/>
  <c r="AH10" i="79"/>
  <c r="W20" i="79"/>
  <c r="AK20" i="79" s="1"/>
  <c r="AH20" i="79"/>
  <c r="W42" i="79"/>
  <c r="AK42" i="79" s="1"/>
  <c r="W51" i="79"/>
  <c r="AK51" i="79" s="1"/>
  <c r="AH51"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N66" i="7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s="1"/>
  <c r="J45" i="39"/>
  <c r="W45" i="39" s="1"/>
  <c r="J44" i="39"/>
  <c r="AC44" i="39"/>
  <c r="F36" i="39"/>
  <c r="S36" i="39" s="1"/>
  <c r="H36" i="39"/>
  <c r="AB36" i="39" s="1"/>
  <c r="J35" i="39"/>
  <c r="AC35" i="39" s="1"/>
  <c r="F35" i="39"/>
  <c r="AA35" i="39"/>
  <c r="J36" i="39"/>
  <c r="AC36" i="39" s="1"/>
  <c r="U9" i="39"/>
  <c r="W40" i="39"/>
  <c r="W25" i="37"/>
  <c r="W31" i="37"/>
  <c r="F39" i="37"/>
  <c r="S39" i="37" s="1"/>
  <c r="F29" i="36"/>
  <c r="AA29" i="36" s="1"/>
  <c r="F16" i="36"/>
  <c r="AA16" i="36" s="1"/>
  <c r="W28" i="36"/>
  <c r="U31" i="36"/>
  <c r="J33" i="36"/>
  <c r="AC33" i="36" s="1"/>
  <c r="H22" i="35"/>
  <c r="AB22" i="35"/>
  <c r="W28" i="35"/>
  <c r="U31" i="35"/>
  <c r="W22" i="35"/>
  <c r="S31" i="35"/>
  <c r="U34" i="35"/>
  <c r="F36" i="34"/>
  <c r="J35" i="34"/>
  <c r="H39" i="33"/>
  <c r="AB39" i="33"/>
  <c r="F26" i="33"/>
  <c r="AA26" i="33"/>
  <c r="U35" i="33"/>
  <c r="S40" i="33"/>
  <c r="W33" i="33"/>
  <c r="W39" i="33"/>
  <c r="H39" i="37"/>
  <c r="AB39" i="37" s="1"/>
  <c r="F11" i="40"/>
  <c r="AA11" i="40"/>
  <c r="H11" i="40"/>
  <c r="AB11" i="40"/>
  <c r="W8" i="40"/>
  <c r="AA9" i="40"/>
  <c r="U9" i="40"/>
  <c r="S34" i="40"/>
  <c r="U38" i="40"/>
  <c r="U34" i="40"/>
  <c r="S38" i="40"/>
  <c r="F42" i="39"/>
  <c r="AA42" i="39" s="1"/>
  <c r="F41" i="39"/>
  <c r="S41" i="39" s="1"/>
  <c r="H40" i="39"/>
  <c r="AB40" i="39" s="1"/>
  <c r="H39" i="39"/>
  <c r="U39" i="39" s="1"/>
  <c r="S38" i="39"/>
  <c r="S34" i="39"/>
  <c r="H34"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c r="H23" i="40"/>
  <c r="AB23" i="40" s="1"/>
  <c r="H17" i="40"/>
  <c r="U17" i="40" s="1"/>
  <c r="J15" i="40"/>
  <c r="W15" i="40" s="1"/>
  <c r="J11" i="40"/>
  <c r="W11" i="40"/>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E101" i="37"/>
  <c r="F101" i="37"/>
  <c r="G101" i="37" s="1"/>
  <c r="H101" i="37" s="1"/>
  <c r="I101" i="37" s="1"/>
  <c r="J101" i="37" s="1"/>
  <c r="K101" i="37" s="1"/>
  <c r="L101" i="37" s="1"/>
  <c r="M101" i="37" s="1"/>
  <c r="J34" i="37"/>
  <c r="W34" i="37"/>
  <c r="J33" i="37"/>
  <c r="AC33" i="37" s="1"/>
  <c r="U42" i="34"/>
  <c r="H40" i="34"/>
  <c r="E114" i="34"/>
  <c r="H36" i="34"/>
  <c r="U36" i="34" s="1"/>
  <c r="F37" i="34"/>
  <c r="AA37" i="34" s="1"/>
  <c r="F28" i="34"/>
  <c r="AA28" i="34" s="1"/>
  <c r="F25" i="34"/>
  <c r="S25" i="34" s="1"/>
  <c r="H23" i="34"/>
  <c r="U23" i="34" s="1"/>
  <c r="J23" i="34"/>
  <c r="F19" i="34"/>
  <c r="H17" i="34"/>
  <c r="U17" i="34" s="1"/>
  <c r="F15" i="34"/>
  <c r="AA15" i="34" s="1"/>
  <c r="J15" i="34"/>
  <c r="H15" i="34"/>
  <c r="W8" i="34"/>
  <c r="J28" i="34"/>
  <c r="W28" i="34" s="1"/>
  <c r="F41" i="33"/>
  <c r="AA41" i="33"/>
  <c r="S38" i="33"/>
  <c r="E113" i="33"/>
  <c r="F32" i="33"/>
  <c r="AA32" i="33"/>
  <c r="J19" i="33"/>
  <c r="AC19" i="33" s="1"/>
  <c r="J15" i="33"/>
  <c r="AC15" i="33" s="1"/>
  <c r="F11" i="33"/>
  <c r="AA11" i="33" s="1"/>
  <c r="S26" i="33"/>
  <c r="W40" i="33"/>
  <c r="F37" i="40"/>
  <c r="AA37" i="40" s="1"/>
  <c r="F36" i="40"/>
  <c r="AA36" i="40"/>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W42" i="21" s="1"/>
  <c r="H42" i="21"/>
  <c r="U42" i="21" s="1"/>
  <c r="J44" i="34"/>
  <c r="F44" i="34"/>
  <c r="J10" i="35"/>
  <c r="AC10" i="35" s="1"/>
  <c r="J14" i="21"/>
  <c r="W14" i="21"/>
  <c r="F14" i="21"/>
  <c r="S14" i="21" s="1"/>
  <c r="H14" i="21"/>
  <c r="U14" i="21" s="1"/>
  <c r="H28" i="21"/>
  <c r="AB28" i="21" s="1"/>
  <c r="F28" i="21"/>
  <c r="AA28" i="21" s="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27" i="33"/>
  <c r="AA27" i="33" s="1"/>
  <c r="J13" i="33"/>
  <c r="J29" i="33"/>
  <c r="H29" i="33"/>
  <c r="U29" i="33"/>
  <c r="F29" i="33"/>
  <c r="S29" i="33" s="1"/>
  <c r="J31" i="33"/>
  <c r="H45" i="33"/>
  <c r="J45" i="33"/>
  <c r="W45" i="33" s="1"/>
  <c r="F45" i="33"/>
  <c r="AA45" i="33"/>
  <c r="J14" i="34"/>
  <c r="W14" i="34" s="1"/>
  <c r="F14" i="34"/>
  <c r="S14" i="34" s="1"/>
  <c r="H14" i="34"/>
  <c r="J30" i="34"/>
  <c r="H32" i="34"/>
  <c r="F32" i="34"/>
  <c r="J32" i="34"/>
  <c r="W32" i="34" s="1"/>
  <c r="H46" i="34"/>
  <c r="H11" i="35"/>
  <c r="AB11" i="35" s="1"/>
  <c r="J26" i="36"/>
  <c r="W26" i="36" s="1"/>
  <c r="H28" i="36"/>
  <c r="U28" i="36" s="1"/>
  <c r="H32" i="36"/>
  <c r="AB32" i="36" s="1"/>
  <c r="J32" i="36"/>
  <c r="W32" i="36" s="1"/>
  <c r="J11" i="36"/>
  <c r="AC11" i="36" s="1"/>
  <c r="H11" i="36"/>
  <c r="U11" i="36" s="1"/>
  <c r="F11" i="36"/>
  <c r="AA11" i="36" s="1"/>
  <c r="H13" i="36"/>
  <c r="J13" i="36"/>
  <c r="F13" i="36"/>
  <c r="S13" i="36"/>
  <c r="E89" i="37"/>
  <c r="F89" i="37"/>
  <c r="G89" i="37" s="1"/>
  <c r="H89" i="37" s="1"/>
  <c r="I89" i="37" s="1"/>
  <c r="J89" i="37" s="1"/>
  <c r="K89" i="37" s="1"/>
  <c r="L89" i="37" s="1"/>
  <c r="M89" i="37" s="1"/>
  <c r="J29" i="37"/>
  <c r="F29" i="37"/>
  <c r="S29" i="37"/>
  <c r="F105" i="37"/>
  <c r="G105" i="37" s="1"/>
  <c r="H36" i="37"/>
  <c r="AB36" i="37" s="1"/>
  <c r="J37" i="37"/>
  <c r="AC37" i="37" s="1"/>
  <c r="H37" i="37"/>
  <c r="H40" i="37"/>
  <c r="U40" i="37" s="1"/>
  <c r="J40" i="37"/>
  <c r="AC40" i="37"/>
  <c r="F40" i="37"/>
  <c r="AA40" i="37" s="1"/>
  <c r="H14" i="33"/>
  <c r="F14" i="33"/>
  <c r="S14" i="33"/>
  <c r="J14" i="33"/>
  <c r="H30" i="33"/>
  <c r="AB30" i="33" s="1"/>
  <c r="F30" i="33"/>
  <c r="J30" i="33"/>
  <c r="H44" i="33"/>
  <c r="J44" i="33"/>
  <c r="W44" i="33" s="1"/>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AZ584" i="3" s="1"/>
  <c r="BL580" i="3"/>
  <c r="BL576" i="3"/>
  <c r="BL572" i="3"/>
  <c r="BL560" i="3"/>
  <c r="BL554" i="3"/>
  <c r="BL546" i="3"/>
  <c r="BL542" i="3"/>
  <c r="BL538" i="3"/>
  <c r="AZ538" i="3" s="1"/>
  <c r="BL534" i="3"/>
  <c r="BL530" i="3"/>
  <c r="BL526" i="3"/>
  <c r="BL522" i="3"/>
  <c r="BL516" i="3"/>
  <c r="BL512" i="3"/>
  <c r="BL506" i="3"/>
  <c r="BL502" i="3"/>
  <c r="BL498" i="3"/>
  <c r="BL494" i="3"/>
  <c r="AZ494" i="3" s="1"/>
  <c r="BL582" i="3"/>
  <c r="BL578" i="3"/>
  <c r="BL574" i="3"/>
  <c r="BL570" i="3"/>
  <c r="BL562"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6" i="3"/>
  <c r="BA558" i="3"/>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7" i="3"/>
  <c r="BA559" i="3"/>
  <c r="BA555" i="3"/>
  <c r="BA553" i="3"/>
  <c r="BA549" i="3"/>
  <c r="BA547" i="3"/>
  <c r="BA545" i="3"/>
  <c r="BA543" i="3"/>
  <c r="BA541" i="3"/>
  <c r="BA539" i="3"/>
  <c r="BA537" i="3"/>
  <c r="BA535" i="3"/>
  <c r="BA533" i="3"/>
  <c r="BA531" i="3"/>
  <c r="BA529" i="3"/>
  <c r="BA527" i="3"/>
  <c r="AZ527" i="3" s="1"/>
  <c r="BA525" i="3"/>
  <c r="BA523" i="3"/>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5" i="3"/>
  <c r="G561" i="3"/>
  <c r="BA557" i="3"/>
  <c r="AC557" i="3"/>
  <c r="BQ557" i="3"/>
  <c r="BQ583" i="3"/>
  <c r="BL583" i="3" s="1"/>
  <c r="BQ581" i="3"/>
  <c r="BL581" i="3" s="1"/>
  <c r="BQ579" i="3"/>
  <c r="BL579" i="3" s="1"/>
  <c r="BQ577" i="3"/>
  <c r="BL577" i="3" s="1"/>
  <c r="AZ577" i="3" s="1"/>
  <c r="BQ575" i="3"/>
  <c r="BL575" i="3"/>
  <c r="BQ573" i="3"/>
  <c r="BL573" i="3" s="1"/>
  <c r="BQ571" i="3"/>
  <c r="BL571" i="3" s="1"/>
  <c r="BQ569" i="3"/>
  <c r="BQ567" i="3"/>
  <c r="BL567" i="3"/>
  <c r="BQ565" i="3"/>
  <c r="BQ563" i="3"/>
  <c r="BL563" i="3"/>
  <c r="BQ561" i="3"/>
  <c r="BQ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W47" i="34"/>
  <c r="AC45" i="33"/>
  <c r="U11" i="33"/>
  <c r="U19" i="21"/>
  <c r="W44" i="21"/>
  <c r="AB38" i="21"/>
  <c r="F43" i="33"/>
  <c r="W15" i="34"/>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19" i="40"/>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S42" i="39"/>
  <c r="AA41" i="39"/>
  <c r="W9" i="39"/>
  <c r="W8" i="39"/>
  <c r="J19" i="40"/>
  <c r="AC19" i="40" s="1"/>
  <c r="J50" i="40"/>
  <c r="H103" i="9"/>
  <c r="D8" i="53" s="1"/>
  <c r="B16" i="53"/>
  <c r="B33" i="72" s="1"/>
  <c r="C7" i="34"/>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52" i="3"/>
  <c r="AZ168"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69" i="3"/>
  <c r="BA379" i="3"/>
  <c r="AZ379" i="3" s="1"/>
  <c r="BL380" i="3"/>
  <c r="G381" i="3"/>
  <c r="BA383" i="3"/>
  <c r="AZ383" i="3" s="1"/>
  <c r="BL384" i="3"/>
  <c r="G385" i="3"/>
  <c r="BA387" i="3"/>
  <c r="AZ387" i="3" s="1"/>
  <c r="BL388" i="3"/>
  <c r="G389" i="3"/>
  <c r="BA391" i="3"/>
  <c r="BL392" i="3"/>
  <c r="G393" i="3"/>
  <c r="AZ291" i="3"/>
  <c r="BM5" i="3"/>
  <c r="BJ5" i="3"/>
  <c r="BH5" i="3"/>
  <c r="BD5" i="3"/>
  <c r="AZ325" i="3"/>
  <c r="AZ506" i="3"/>
  <c r="AZ496" i="3"/>
  <c r="G548" i="3"/>
  <c r="G538" i="3"/>
  <c r="G520" i="3"/>
  <c r="G502" i="3"/>
  <c r="BS5" i="3"/>
  <c r="BN5" i="3"/>
  <c r="BK5" i="3"/>
  <c r="BI5" i="3"/>
  <c r="BE5" i="3"/>
  <c r="BC5" i="3"/>
  <c r="G17" i="3"/>
  <c r="BA17" i="3"/>
  <c r="BT5" i="3"/>
  <c r="AZ350" i="3"/>
  <c r="AZ356" i="3"/>
  <c r="BA15" i="3"/>
  <c r="BB5" i="3"/>
  <c r="E5" i="6" s="1"/>
  <c r="BR5" i="3"/>
  <c r="AZ392" i="3"/>
  <c r="AZ499" i="3"/>
  <c r="AZ509" i="3"/>
  <c r="G509" i="3"/>
  <c r="BL493" i="3"/>
  <c r="AZ493" i="3"/>
  <c r="F83" i="43"/>
  <c r="H85" i="43" s="1"/>
  <c r="F50" i="43"/>
  <c r="H54" i="43" s="1"/>
  <c r="F72" i="43"/>
  <c r="H75" i="43" s="1"/>
  <c r="S14" i="35"/>
  <c r="U43" i="21"/>
  <c r="U35" i="21"/>
  <c r="AC11" i="39"/>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256" i="3"/>
  <c r="AZ259" i="3"/>
  <c r="AZ130" i="3"/>
  <c r="AZ72"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W12" i="33"/>
  <c r="AC12" i="33"/>
  <c r="AA32" i="36"/>
  <c r="S32" i="36"/>
  <c r="BL14" i="3"/>
  <c r="U30" i="33"/>
  <c r="AC13" i="34"/>
  <c r="W28" i="37"/>
  <c r="S19" i="39"/>
  <c r="F12" i="33"/>
  <c r="H12" i="39"/>
  <c r="AB12" i="39"/>
  <c r="F39" i="40"/>
  <c r="BA14" i="3"/>
  <c r="AZ297" i="3"/>
  <c r="AZ149" i="3"/>
  <c r="AZ173" i="3"/>
  <c r="B12" i="1"/>
  <c r="E12" i="1" s="1"/>
  <c r="B10" i="1"/>
  <c r="E10" i="1" s="1"/>
  <c r="K12" i="1"/>
  <c r="M12" i="1" s="1"/>
  <c r="S13" i="1"/>
  <c r="AR13" i="1" s="1"/>
  <c r="R13" i="1"/>
  <c r="J51" i="67"/>
  <c r="AA34" i="33"/>
  <c r="B41" i="1"/>
  <c r="F48" i="9" s="1"/>
  <c r="O52" i="9" s="1"/>
  <c r="AB37" i="40"/>
  <c r="S35" i="40"/>
  <c r="U35" i="40"/>
  <c r="W38"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AA12" i="39"/>
  <c r="S9" i="39"/>
  <c r="U14" i="39"/>
  <c r="AC13" i="39"/>
  <c r="U12" i="39"/>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W27" i="37"/>
  <c r="U29" i="37"/>
  <c r="AB31" i="37"/>
  <c r="W30" i="37"/>
  <c r="S36" i="37"/>
  <c r="AA38" i="37"/>
  <c r="U32" i="37"/>
  <c r="W38" i="37"/>
  <c r="AC35" i="37"/>
  <c r="W39" i="37"/>
  <c r="S30" i="37"/>
  <c r="AC15" i="37"/>
  <c r="J17" i="37"/>
  <c r="W17"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H25" i="33"/>
  <c r="F25" i="33"/>
  <c r="AA25" i="33" s="1"/>
  <c r="J23" i="33"/>
  <c r="AC23" i="33" s="1"/>
  <c r="F85" i="33"/>
  <c r="H23" i="33"/>
  <c r="F81" i="33"/>
  <c r="F19" i="33"/>
  <c r="S19" i="33" s="1"/>
  <c r="W19" i="33"/>
  <c r="J17" i="33"/>
  <c r="F79" i="33"/>
  <c r="G79" i="33" s="1"/>
  <c r="S15" i="33"/>
  <c r="W15" i="33"/>
  <c r="J10" i="33"/>
  <c r="W10" i="33" s="1"/>
  <c r="H10" i="33"/>
  <c r="U10" i="33" s="1"/>
  <c r="AC11" i="33"/>
  <c r="W43" i="21"/>
  <c r="W36" i="21"/>
  <c r="W41" i="21"/>
  <c r="AB39" i="21"/>
  <c r="AA43" i="21"/>
  <c r="S39" i="21"/>
  <c r="AA38" i="21"/>
  <c r="AC40" i="21"/>
  <c r="J15" i="21"/>
  <c r="AC15" i="21" s="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U29" i="34"/>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C25" i="35"/>
  <c r="U25" i="35"/>
  <c r="S24" i="35"/>
  <c r="U24" i="35"/>
  <c r="S35" i="35"/>
  <c r="W35" i="35"/>
  <c r="AA16" i="35"/>
  <c r="W36" i="37"/>
  <c r="S27" i="37"/>
  <c r="S28" i="37"/>
  <c r="W32" i="37"/>
  <c r="U36" i="37"/>
  <c r="S40" i="37"/>
  <c r="U38" i="37"/>
  <c r="AC34" i="37"/>
  <c r="AB35" i="37"/>
  <c r="AA31" i="37"/>
  <c r="U19" i="37"/>
  <c r="AA29" i="37"/>
  <c r="U8" i="37"/>
  <c r="AA40" i="34"/>
  <c r="U19" i="34"/>
  <c r="W19" i="34"/>
  <c r="AB33"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8" i="33"/>
  <c r="S44" i="21"/>
  <c r="I101" i="21"/>
  <c r="J101" i="21" s="1"/>
  <c r="K101" i="21" s="1"/>
  <c r="L101" i="21" s="1"/>
  <c r="M101" i="21" s="1"/>
  <c r="F33" i="21"/>
  <c r="AA33" i="21" s="1"/>
  <c r="J33" i="21"/>
  <c r="AC33" i="21" s="1"/>
  <c r="H33" i="21"/>
  <c r="AB33" i="21" s="1"/>
  <c r="F37" i="21"/>
  <c r="AA37" i="21" s="1"/>
  <c r="AB14" i="21"/>
  <c r="AB46" i="21"/>
  <c r="AB31" i="21"/>
  <c r="U31" i="21"/>
  <c r="U13" i="21"/>
  <c r="AB13" i="21"/>
  <c r="S35" i="21"/>
  <c r="J37" i="21"/>
  <c r="W37" i="21" s="1"/>
  <c r="H15" i="21"/>
  <c r="U15" i="21"/>
  <c r="J17" i="21"/>
  <c r="AC17" i="21" s="1"/>
  <c r="AC19" i="21"/>
  <c r="AC14" i="21"/>
  <c r="W30" i="21"/>
  <c r="S46" i="21"/>
  <c r="H45" i="21"/>
  <c r="U45" i="21" s="1"/>
  <c r="F13" i="21"/>
  <c r="AA13" i="21" s="1"/>
  <c r="AC38" i="21"/>
  <c r="H32" i="21"/>
  <c r="U32" i="21" s="1"/>
  <c r="H9" i="21"/>
  <c r="U9" i="21" s="1"/>
  <c r="J9" i="21"/>
  <c r="AC9" i="21" s="1"/>
  <c r="J32" i="21"/>
  <c r="W32" i="21" s="1"/>
  <c r="F32" i="21"/>
  <c r="AA32" i="21" s="1"/>
  <c r="U17" i="21"/>
  <c r="S19" i="21"/>
  <c r="S9" i="21"/>
  <c r="AA9" i="21"/>
  <c r="K141" i="21"/>
  <c r="K144" i="21"/>
  <c r="K143" i="21"/>
  <c r="AB25" i="21"/>
  <c r="AB44" i="21"/>
  <c r="AA30" i="21"/>
  <c r="W13" i="21"/>
  <c r="F10" i="21"/>
  <c r="AA10" i="21" s="1"/>
  <c r="K145" i="21"/>
  <c r="W17" i="21"/>
  <c r="W25" i="21"/>
  <c r="W31" i="21"/>
  <c r="S17" i="21"/>
  <c r="AA15" i="21"/>
  <c r="S28"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AB25" i="33"/>
  <c r="S25" i="33"/>
  <c r="G87" i="33"/>
  <c r="H87" i="33"/>
  <c r="I87" i="33"/>
  <c r="J87" i="33" s="1"/>
  <c r="K87" i="33" s="1"/>
  <c r="L87" i="33" s="1"/>
  <c r="M87" i="33" s="1"/>
  <c r="J25" i="33"/>
  <c r="AC25" i="33" s="1"/>
  <c r="AB23" i="33"/>
  <c r="U23" i="33"/>
  <c r="F23" i="33"/>
  <c r="G85" i="33"/>
  <c r="AA19" i="33"/>
  <c r="H19" i="33"/>
  <c r="G81" i="33"/>
  <c r="H17" i="33"/>
  <c r="U17" i="33" s="1"/>
  <c r="F17" i="33"/>
  <c r="S17" i="33" s="1"/>
  <c r="W17" i="33"/>
  <c r="AC17" i="33"/>
  <c r="S37" i="21"/>
  <c r="AA23" i="21"/>
  <c r="AB15" i="21"/>
  <c r="J23" i="21"/>
  <c r="W23" i="21" s="1"/>
  <c r="F85" i="21"/>
  <c r="G85" i="21" s="1"/>
  <c r="H23" i="21"/>
  <c r="S13" i="21"/>
  <c r="D6" i="52"/>
  <c r="AP7" i="1"/>
  <c r="W9" i="21"/>
  <c r="A18" i="62"/>
  <c r="B64" i="72" s="1"/>
  <c r="U32" i="39"/>
  <c r="AC32" i="39"/>
  <c r="AC23" i="37"/>
  <c r="J11" i="37"/>
  <c r="AC11" i="37" s="1"/>
  <c r="H70" i="34"/>
  <c r="I70" i="34" s="1"/>
  <c r="J70" i="34" s="1"/>
  <c r="K70" i="34"/>
  <c r="L70" i="34" s="1"/>
  <c r="M70" i="34" s="1"/>
  <c r="J11" i="34"/>
  <c r="W11" i="34" s="1"/>
  <c r="AC27" i="33"/>
  <c r="W25" i="33"/>
  <c r="AB19" i="33"/>
  <c r="U19" i="33"/>
  <c r="AA17" i="33"/>
  <c r="U23" i="21"/>
  <c r="AB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15"/>
  <c r="F40" i="67"/>
  <c r="F7" i="15"/>
  <c r="M6" i="15"/>
  <c r="F38" i="15"/>
  <c r="B9" i="76"/>
  <c r="E13" i="76"/>
  <c r="B11" i="76"/>
  <c r="E12" i="76"/>
  <c r="F26" i="67"/>
  <c r="B13" i="76"/>
  <c r="F13" i="15"/>
  <c r="J15" i="15"/>
  <c r="F13" i="67"/>
  <c r="F16" i="67"/>
  <c r="M26" i="15"/>
  <c r="M6" i="67"/>
  <c r="B12" i="76"/>
  <c r="F6" i="67"/>
  <c r="F20" i="31"/>
  <c r="M9" i="67"/>
  <c r="M8" i="15"/>
  <c r="B10" i="76"/>
  <c r="F3" i="73"/>
  <c r="E8" i="76"/>
  <c r="F37" i="15"/>
  <c r="L47" i="67"/>
  <c r="F37" i="67"/>
  <c r="F5" i="73"/>
  <c r="F26" i="15"/>
  <c r="M29" i="15"/>
  <c r="L48" i="67"/>
  <c r="D35" i="9"/>
  <c r="F9" i="15"/>
  <c r="F6" i="73"/>
  <c r="F8" i="67"/>
  <c r="M28" i="67"/>
  <c r="E2" i="68"/>
  <c r="L48" i="15"/>
  <c r="C76" i="15"/>
  <c r="B7" i="76"/>
  <c r="E7" i="76"/>
  <c r="F42" i="15"/>
  <c r="F43" i="67"/>
  <c r="E10" i="76"/>
  <c r="M22" i="15"/>
  <c r="F6" i="15"/>
  <c r="E11" i="76"/>
  <c r="B8" i="76"/>
  <c r="M9" i="15"/>
  <c r="M22" i="67"/>
  <c r="F38" i="67"/>
  <c r="M24" i="67"/>
  <c r="M28" i="15"/>
  <c r="F40" i="15"/>
  <c r="E2" i="69"/>
  <c r="F16" i="15"/>
  <c r="M23" i="15"/>
  <c r="F7" i="73"/>
  <c r="F36" i="67"/>
  <c r="E9" i="76"/>
  <c r="D6" i="73"/>
  <c r="F43" i="15"/>
  <c r="C76" i="67"/>
  <c r="M23" i="67"/>
  <c r="F8" i="15"/>
  <c r="L47" i="15"/>
  <c r="M24" i="15"/>
  <c r="F4" i="73"/>
  <c r="AO13" i="1"/>
  <c r="F7" i="67"/>
  <c r="M8" i="67"/>
  <c r="F42" i="67"/>
  <c r="F9" i="67"/>
  <c r="M29" i="67"/>
  <c r="M26" i="67"/>
  <c r="D34" i="9"/>
  <c r="J15" i="67"/>
  <c r="AC34" i="21" l="1"/>
  <c r="U34" i="21"/>
  <c r="AB32" i="21"/>
  <c r="S42" i="21"/>
  <c r="AC42" i="21"/>
  <c r="AB42" i="21"/>
  <c r="U40" i="21"/>
  <c r="W39" i="21"/>
  <c r="AA36" i="21"/>
  <c r="F89" i="21"/>
  <c r="G89" i="21" s="1"/>
  <c r="H89" i="21" s="1"/>
  <c r="J26" i="21"/>
  <c r="W26" i="21" s="1"/>
  <c r="U28" i="21"/>
  <c r="H29" i="21"/>
  <c r="AA31" i="21"/>
  <c r="F29" i="21"/>
  <c r="AA29" i="21" s="1"/>
  <c r="W29" i="21"/>
  <c r="AB9" i="21"/>
  <c r="A24" i="51"/>
  <c r="B18" i="72" s="1"/>
  <c r="C21" i="68"/>
  <c r="BA13" i="3"/>
  <c r="C7" i="21"/>
  <c r="C42" i="1"/>
  <c r="C24" i="12" s="1"/>
  <c r="C7" i="37"/>
  <c r="C52" i="37" s="1"/>
  <c r="D52" i="37" s="1"/>
  <c r="G23" i="43"/>
  <c r="C23" i="43" s="1"/>
  <c r="C7" i="33"/>
  <c r="M47" i="9"/>
  <c r="C7" i="35"/>
  <c r="C48" i="35" s="1"/>
  <c r="D48" i="35" s="1"/>
  <c r="S15" i="39"/>
  <c r="AC36" i="40"/>
  <c r="AZ14" i="3"/>
  <c r="AZ338" i="3"/>
  <c r="AZ347" i="3"/>
  <c r="AZ344" i="3"/>
  <c r="AZ305" i="3"/>
  <c r="AZ306" i="3"/>
  <c r="AA11" i="39"/>
  <c r="U19" i="40"/>
  <c r="AB19" i="40"/>
  <c r="AZ520" i="3"/>
  <c r="U33" i="40"/>
  <c r="AB33" i="40"/>
  <c r="S47" i="34"/>
  <c r="AA47" i="34"/>
  <c r="U46" i="34"/>
  <c r="AB46" i="34"/>
  <c r="W31" i="33"/>
  <c r="AC31" i="33"/>
  <c r="U30" i="21"/>
  <c r="AB30" i="21"/>
  <c r="U26" i="37"/>
  <c r="AB26" i="37"/>
  <c r="AA8" i="40"/>
  <c r="S8" i="40"/>
  <c r="J12" i="40"/>
  <c r="H12" i="40"/>
  <c r="AB36" i="33"/>
  <c r="S32" i="21"/>
  <c r="AB45" i="21"/>
  <c r="S32" i="37"/>
  <c r="AZ391" i="3"/>
  <c r="W29" i="37"/>
  <c r="AC29" i="37"/>
  <c r="S35" i="37"/>
  <c r="AA35" i="37"/>
  <c r="AB36" i="40"/>
  <c r="U36" i="40"/>
  <c r="AA40" i="21"/>
  <c r="S40" i="21"/>
  <c r="B101" i="43"/>
  <c r="B79" i="43"/>
  <c r="C25" i="39"/>
  <c r="AB9" i="33"/>
  <c r="U9" i="33"/>
  <c r="AB40" i="33"/>
  <c r="U40" i="33"/>
  <c r="AA35" i="34"/>
  <c r="S35" i="34"/>
  <c r="AC23" i="21"/>
  <c r="AC34" i="33"/>
  <c r="AZ326" i="3"/>
  <c r="AZ364" i="3"/>
  <c r="U40" i="39"/>
  <c r="AA43" i="33"/>
  <c r="S43" i="33"/>
  <c r="G521" i="3"/>
  <c r="AC5" i="3"/>
  <c r="S14" i="37"/>
  <c r="AA14" i="37"/>
  <c r="U14" i="33"/>
  <c r="AB14" i="33"/>
  <c r="AA44" i="34"/>
  <c r="S44" i="34"/>
  <c r="W36" i="34"/>
  <c r="AC36" i="34"/>
  <c r="S29" i="35"/>
  <c r="AA29" i="35"/>
  <c r="AB15" i="34"/>
  <c r="U15" i="34"/>
  <c r="U40" i="34"/>
  <c r="AB40" i="34"/>
  <c r="J27" i="21"/>
  <c r="H27" i="21"/>
  <c r="F27" i="21"/>
  <c r="J45" i="21"/>
  <c r="F45" i="21"/>
  <c r="AB34" i="34"/>
  <c r="U34" i="34"/>
  <c r="H13" i="33"/>
  <c r="U13" i="33" s="1"/>
  <c r="F13" i="33"/>
  <c r="H31" i="33"/>
  <c r="F31" i="33"/>
  <c r="J12" i="34"/>
  <c r="F12" i="34"/>
  <c r="S12" i="34" s="1"/>
  <c r="H12" i="34"/>
  <c r="H30" i="34"/>
  <c r="F30" i="34"/>
  <c r="F46" i="34"/>
  <c r="J46" i="34"/>
  <c r="J11" i="35"/>
  <c r="F11" i="35"/>
  <c r="W27" i="35"/>
  <c r="AC27" i="35"/>
  <c r="U20" i="35"/>
  <c r="AB20" i="35"/>
  <c r="AZ349" i="3"/>
  <c r="AZ502" i="3"/>
  <c r="U37" i="37"/>
  <c r="AB37" i="37"/>
  <c r="AB13" i="36"/>
  <c r="U13" i="36"/>
  <c r="U45" i="33"/>
  <c r="AB45" i="33"/>
  <c r="AB17" i="39"/>
  <c r="U17" i="39"/>
  <c r="U34" i="39"/>
  <c r="AB34" i="39"/>
  <c r="W35" i="21"/>
  <c r="AC35" i="21"/>
  <c r="BA569" i="3"/>
  <c r="BL568" i="3"/>
  <c r="BA568" i="3"/>
  <c r="AZ568" i="3" s="1"/>
  <c r="BL566" i="3"/>
  <c r="AZ566" i="3" s="1"/>
  <c r="BA565" i="3"/>
  <c r="BL564" i="3"/>
  <c r="BA564" i="3"/>
  <c r="AZ564" i="3" s="1"/>
  <c r="BA563" i="3"/>
  <c r="AZ563" i="3" s="1"/>
  <c r="BA562" i="3"/>
  <c r="BA561" i="3"/>
  <c r="AZ561" i="3" s="1"/>
  <c r="BP5" i="3"/>
  <c r="G29" i="6" s="1"/>
  <c r="BG5" i="3"/>
  <c r="BA560" i="3"/>
  <c r="AZ560" i="3" s="1"/>
  <c r="BL558" i="3"/>
  <c r="AZ558" i="3" s="1"/>
  <c r="BO5" i="3"/>
  <c r="F29" i="6" s="1"/>
  <c r="BF5" i="3"/>
  <c r="H5" i="3"/>
  <c r="BL556" i="3"/>
  <c r="BA556" i="3"/>
  <c r="U41" i="39"/>
  <c r="S37" i="37"/>
  <c r="AA19" i="40"/>
  <c r="AZ357" i="3"/>
  <c r="AZ322" i="3"/>
  <c r="AZ313" i="3"/>
  <c r="AZ394" i="3"/>
  <c r="S14" i="40"/>
  <c r="AA25" i="21"/>
  <c r="AC28" i="34"/>
  <c r="AZ519" i="3"/>
  <c r="AZ531" i="3"/>
  <c r="BL559" i="3"/>
  <c r="AZ559" i="3" s="1"/>
  <c r="AZ573" i="3"/>
  <c r="AZ583" i="3"/>
  <c r="AZ576" i="3"/>
  <c r="AA14" i="34"/>
  <c r="G585" i="3"/>
  <c r="BL587" i="3"/>
  <c r="AZ587" i="3" s="1"/>
  <c r="BL586" i="3"/>
  <c r="AZ586" i="3" s="1"/>
  <c r="AB33" i="33"/>
  <c r="U33" i="33"/>
  <c r="AB30" i="37"/>
  <c r="U30" i="37"/>
  <c r="F25" i="37"/>
  <c r="H25" i="37"/>
  <c r="U8" i="39"/>
  <c r="AB8" i="39"/>
  <c r="AZ523" i="3"/>
  <c r="AZ547" i="3"/>
  <c r="BL569" i="3"/>
  <c r="AZ569" i="3" s="1"/>
  <c r="BL557" i="3"/>
  <c r="AZ557" i="3" s="1"/>
  <c r="AZ571" i="3"/>
  <c r="AZ579" i="3"/>
  <c r="F9" i="34"/>
  <c r="AA9" i="34" s="1"/>
  <c r="H9" i="34"/>
  <c r="U12" i="35"/>
  <c r="AB12" i="35"/>
  <c r="F12" i="35"/>
  <c r="J12" i="35"/>
  <c r="H23" i="36"/>
  <c r="J23" i="36"/>
  <c r="F23" i="36"/>
  <c r="AC31" i="40"/>
  <c r="W31" i="40"/>
  <c r="AZ539" i="3"/>
  <c r="BL565" i="3"/>
  <c r="G557" i="3"/>
  <c r="AZ529" i="3"/>
  <c r="AZ537" i="3"/>
  <c r="AZ518" i="3"/>
  <c r="AZ546" i="3"/>
  <c r="S27" i="35"/>
  <c r="BL585" i="3"/>
  <c r="AZ585" i="3" s="1"/>
  <c r="B72" i="43"/>
  <c r="C15" i="39"/>
  <c r="F9" i="33"/>
  <c r="AA9" i="33" s="1"/>
  <c r="J9" i="33"/>
  <c r="J9" i="34"/>
  <c r="H31" i="39"/>
  <c r="J31" i="39"/>
  <c r="AZ448" i="3"/>
  <c r="G587" i="3"/>
  <c r="J23" i="35"/>
  <c r="H23" i="35"/>
  <c r="BA551" i="3"/>
  <c r="AZ551" i="3" s="1"/>
  <c r="BA550" i="3"/>
  <c r="AZ550" i="3" s="1"/>
  <c r="BL548" i="3"/>
  <c r="AZ548" i="3" s="1"/>
  <c r="G398" i="3"/>
  <c r="BL400" i="3"/>
  <c r="BL408" i="3"/>
  <c r="AZ408" i="3" s="1"/>
  <c r="BL411" i="3"/>
  <c r="BL413" i="3"/>
  <c r="G415" i="3"/>
  <c r="AZ458" i="3"/>
  <c r="AZ462" i="3"/>
  <c r="AZ302" i="3"/>
  <c r="C67" i="71"/>
  <c r="T68" i="71"/>
  <c r="O68" i="71"/>
  <c r="D68" i="71"/>
  <c r="T76" i="71"/>
  <c r="D76" i="71"/>
  <c r="C75" i="71"/>
  <c r="Y26" i="71"/>
  <c r="Z26" i="71" s="1"/>
  <c r="Y25" i="71"/>
  <c r="Z25" i="71" s="1"/>
  <c r="AA3" i="71"/>
  <c r="AZ400" i="3"/>
  <c r="AZ402" i="3"/>
  <c r="AZ406" i="3"/>
  <c r="AZ411" i="3"/>
  <c r="AZ413"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7" i="3"/>
  <c r="BL238" i="3"/>
  <c r="G239" i="3"/>
  <c r="BA241" i="3"/>
  <c r="BL241" i="3"/>
  <c r="BA243" i="3"/>
  <c r="BA248" i="3"/>
  <c r="AZ248" i="3" s="1"/>
  <c r="BA249" i="3"/>
  <c r="BL249" i="3"/>
  <c r="BA252" i="3"/>
  <c r="AZ252" i="3" s="1"/>
  <c r="BA254" i="3"/>
  <c r="AZ254" i="3" s="1"/>
  <c r="BL260" i="3"/>
  <c r="BA271" i="3"/>
  <c r="BL271" i="3"/>
  <c r="BL280" i="3"/>
  <c r="BA286" i="3"/>
  <c r="AZ286" i="3" s="1"/>
  <c r="AZ125" i="3"/>
  <c r="AC21" i="21"/>
  <c r="W21" i="21"/>
  <c r="F40" i="69"/>
  <c r="C40" i="69"/>
  <c r="AB21" i="37"/>
  <c r="U21" i="37"/>
  <c r="AB34" i="71"/>
  <c r="AB32" i="71"/>
  <c r="AA38" i="71"/>
  <c r="AA28" i="71"/>
  <c r="AA35" i="71"/>
  <c r="C47" i="71"/>
  <c r="D47" i="71" s="1"/>
  <c r="D46" i="71"/>
  <c r="D50" i="71"/>
  <c r="C51" i="71"/>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G451" i="3"/>
  <c r="BA454" i="3"/>
  <c r="AZ454" i="3" s="1"/>
  <c r="BA457" i="3"/>
  <c r="AZ457" i="3" s="1"/>
  <c r="BA459" i="3"/>
  <c r="AZ459" i="3" s="1"/>
  <c r="BA460" i="3"/>
  <c r="BA461" i="3"/>
  <c r="AZ461" i="3" s="1"/>
  <c r="BL464" i="3"/>
  <c r="BL466" i="3"/>
  <c r="AZ466" i="3" s="1"/>
  <c r="G469" i="3"/>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BL233" i="3"/>
  <c r="AZ233" i="3" s="1"/>
  <c r="BL235" i="3"/>
  <c r="AZ235" i="3" s="1"/>
  <c r="BL236" i="3"/>
  <c r="BA247" i="3"/>
  <c r="AZ247" i="3" s="1"/>
  <c r="BL247" i="3"/>
  <c r="BL250" i="3"/>
  <c r="AZ250" i="3" s="1"/>
  <c r="G258" i="3"/>
  <c r="BA263" i="3"/>
  <c r="AZ263" i="3" s="1"/>
  <c r="G266" i="3"/>
  <c r="BA268" i="3"/>
  <c r="G276" i="3"/>
  <c r="BA277" i="3"/>
  <c r="AZ277" i="3" s="1"/>
  <c r="BL277" i="3"/>
  <c r="BA281" i="3"/>
  <c r="G284" i="3"/>
  <c r="G291" i="3"/>
  <c r="BL298" i="3"/>
  <c r="G138" i="3"/>
  <c r="BA156" i="3"/>
  <c r="AZ156" i="3" s="1"/>
  <c r="BL181" i="3"/>
  <c r="AZ181" i="3" s="1"/>
  <c r="BL198" i="3"/>
  <c r="AZ198" i="3" s="1"/>
  <c r="P65" i="71"/>
  <c r="P66" i="71"/>
  <c r="AB27" i="71"/>
  <c r="D31" i="71"/>
  <c r="C32" i="71"/>
  <c r="BL16" i="3"/>
  <c r="AZ16" i="3" s="1"/>
  <c r="BA401" i="3"/>
  <c r="AZ401" i="3" s="1"/>
  <c r="BA403" i="3"/>
  <c r="AZ403" i="3" s="1"/>
  <c r="BA404" i="3"/>
  <c r="AZ404" i="3" s="1"/>
  <c r="BA405" i="3"/>
  <c r="BL410" i="3"/>
  <c r="G412" i="3"/>
  <c r="G418" i="3"/>
  <c r="BA422" i="3"/>
  <c r="AZ422" i="3" s="1"/>
  <c r="G429" i="3"/>
  <c r="BL431" i="3"/>
  <c r="G433" i="3"/>
  <c r="BL434" i="3"/>
  <c r="G436" i="3"/>
  <c r="G437" i="3"/>
  <c r="BL438" i="3"/>
  <c r="BL439" i="3"/>
  <c r="BA441" i="3"/>
  <c r="AZ441" i="3" s="1"/>
  <c r="BL445" i="3"/>
  <c r="BL446" i="3"/>
  <c r="BL449" i="3"/>
  <c r="BL450" i="3"/>
  <c r="BL452" i="3"/>
  <c r="G454" i="3"/>
  <c r="G455" i="3"/>
  <c r="BL456" i="3"/>
  <c r="AZ456" i="3" s="1"/>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A238" i="3"/>
  <c r="AZ238" i="3" s="1"/>
  <c r="BL242" i="3"/>
  <c r="BL243" i="3"/>
  <c r="G244" i="3"/>
  <c r="BA246" i="3"/>
  <c r="G256" i="3"/>
  <c r="BA258" i="3"/>
  <c r="AZ258" i="3" s="1"/>
  <c r="BL266" i="3"/>
  <c r="BL272" i="3"/>
  <c r="BL273" i="3"/>
  <c r="G274" i="3"/>
  <c r="BL278" i="3"/>
  <c r="G279" i="3"/>
  <c r="BA284" i="3"/>
  <c r="AZ284" i="3" s="1"/>
  <c r="G302" i="3"/>
  <c r="BA133" i="3"/>
  <c r="BA177" i="3"/>
  <c r="AZ103" i="3"/>
  <c r="C44" i="71"/>
  <c r="D43" i="71"/>
  <c r="BA296" i="3"/>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BA197" i="3"/>
  <c r="AZ197" i="3" s="1"/>
  <c r="BL201" i="3"/>
  <c r="AZ201" i="3" s="1"/>
  <c r="BL203" i="3"/>
  <c r="AZ203" i="3" s="1"/>
  <c r="BA204" i="3"/>
  <c r="AZ204" i="3" s="1"/>
  <c r="BA18" i="3"/>
  <c r="AZ18" i="3" s="1"/>
  <c r="BL21" i="3"/>
  <c r="G23" i="3"/>
  <c r="BL29" i="3"/>
  <c r="G33" i="3"/>
  <c r="G34" i="3"/>
  <c r="BA37" i="3"/>
  <c r="BL39" i="3"/>
  <c r="G43" i="3"/>
  <c r="G44" i="3"/>
  <c r="BA45" i="3"/>
  <c r="AZ45" i="3" s="1"/>
  <c r="BA46" i="3"/>
  <c r="BL49" i="3"/>
  <c r="AZ49" i="3" s="1"/>
  <c r="BL50" i="3"/>
  <c r="AZ50" i="3" s="1"/>
  <c r="BL51" i="3"/>
  <c r="AZ51" i="3" s="1"/>
  <c r="BL64" i="3"/>
  <c r="BL65" i="3"/>
  <c r="AZ65" i="3" s="1"/>
  <c r="BL66" i="3"/>
  <c r="BL67" i="3"/>
  <c r="AZ67" i="3" s="1"/>
  <c r="G72" i="3"/>
  <c r="BL73" i="3"/>
  <c r="BA74" i="3"/>
  <c r="BL79" i="3"/>
  <c r="BL81" i="3"/>
  <c r="BA82" i="3"/>
  <c r="AZ82" i="3" s="1"/>
  <c r="BL83" i="3"/>
  <c r="BA87" i="3"/>
  <c r="BA89" i="3"/>
  <c r="BL93" i="3"/>
  <c r="U21" i="33"/>
  <c r="AB21" i="3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237" i="3"/>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G50" i="3"/>
  <c r="G52" i="3"/>
  <c r="BA52" i="3"/>
  <c r="AZ52" i="3" s="1"/>
  <c r="BA53" i="3"/>
  <c r="BA54" i="3"/>
  <c r="BL57" i="3"/>
  <c r="G62" i="3"/>
  <c r="BL62" i="3"/>
  <c r="AZ62" i="3" s="1"/>
  <c r="BL63" i="3"/>
  <c r="G67" i="3"/>
  <c r="BL68" i="3"/>
  <c r="AZ68" i="3" s="1"/>
  <c r="BA69" i="3"/>
  <c r="AZ69" i="3" s="1"/>
  <c r="BA73" i="3"/>
  <c r="G78" i="3"/>
  <c r="G79" i="3"/>
  <c r="G81" i="3"/>
  <c r="G85" i="3"/>
  <c r="BL85" i="3"/>
  <c r="BA86" i="3"/>
  <c r="AZ86" i="3" s="1"/>
  <c r="G93" i="3"/>
  <c r="BA98" i="3"/>
  <c r="BL103" i="3"/>
  <c r="G104" i="3"/>
  <c r="BA106" i="3"/>
  <c r="BL108" i="3"/>
  <c r="AZ108" i="3" s="1"/>
  <c r="C86" i="71"/>
  <c r="D86" i="71" s="1"/>
  <c r="D87" i="71"/>
  <c r="C36" i="71"/>
  <c r="D35" i="71"/>
  <c r="Y35" i="71"/>
  <c r="Z35" i="71" s="1"/>
  <c r="S80" i="71"/>
  <c r="B79" i="71"/>
  <c r="B78" i="71"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74" i="3"/>
  <c r="G75" i="3"/>
  <c r="BL75" i="3"/>
  <c r="AZ75" i="3" s="1"/>
  <c r="G89" i="3"/>
  <c r="BA90" i="3"/>
  <c r="AZ90" i="3" s="1"/>
  <c r="BL101" i="3"/>
  <c r="BL102" i="3"/>
  <c r="BA109" i="3"/>
  <c r="E39" i="71"/>
  <c r="E40" i="71" s="1"/>
  <c r="U40" i="71" s="1"/>
  <c r="Y37" i="71"/>
  <c r="Z37" i="71" s="1"/>
  <c r="F66" i="71"/>
  <c r="Q67" i="71"/>
  <c r="X25" i="71"/>
  <c r="V24" i="71"/>
  <c r="E23" i="71"/>
  <c r="E22" i="71" s="1"/>
  <c r="E21" i="71" s="1"/>
  <c r="E20" i="71" s="1"/>
  <c r="BL111" i="3"/>
  <c r="AA27" i="71"/>
  <c r="S28" i="71"/>
  <c r="C83" i="71"/>
  <c r="C79" i="71"/>
  <c r="C71" i="71"/>
  <c r="C39" i="71"/>
  <c r="Y28" i="71"/>
  <c r="Z28" i="71" s="1"/>
  <c r="Y30" i="71"/>
  <c r="Z30" i="71" s="1"/>
  <c r="X28" i="71"/>
  <c r="X32" i="71"/>
  <c r="AB38" i="71"/>
  <c r="F75" i="71"/>
  <c r="F74" i="71" s="1"/>
  <c r="G53" i="3"/>
  <c r="BL53" i="3"/>
  <c r="BA56" i="3"/>
  <c r="BA57" i="3"/>
  <c r="AZ57" i="3" s="1"/>
  <c r="BL58" i="3"/>
  <c r="AZ58" i="3" s="1"/>
  <c r="G60" i="3"/>
  <c r="BA60" i="3"/>
  <c r="BA63" i="3"/>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F35" i="71"/>
  <c r="F36" i="71" s="1"/>
  <c r="V36" i="71" s="1"/>
  <c r="AA34" i="71"/>
  <c r="BL94" i="3"/>
  <c r="AZ94" i="3" s="1"/>
  <c r="BA100" i="3"/>
  <c r="AZ100" i="3" s="1"/>
  <c r="BA102" i="3"/>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4" i="3"/>
  <c r="AZ436"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8"/>
  <c r="D9" i="69"/>
  <c r="C36" i="69"/>
  <c r="D4" i="73"/>
  <c r="D7" i="73"/>
  <c r="D5" i="73"/>
  <c r="D3" i="73"/>
  <c r="C16" i="15"/>
  <c r="C16" i="67"/>
  <c r="C36" i="68" l="1"/>
  <c r="AC26" i="21"/>
  <c r="I89" i="21"/>
  <c r="H26" i="21"/>
  <c r="U29" i="21"/>
  <c r="AB29" i="21"/>
  <c r="C30" i="68"/>
  <c r="C28" i="67"/>
  <c r="C31" i="12"/>
  <c r="C28" i="15"/>
  <c r="G26" i="43"/>
  <c r="J26" i="43"/>
  <c r="Q16" i="1"/>
  <c r="N94" i="46"/>
  <c r="F26" i="43"/>
  <c r="D26" i="43" s="1"/>
  <c r="C25" i="43" s="1"/>
  <c r="P6" i="1"/>
  <c r="C13" i="12" s="1"/>
  <c r="E26" i="43"/>
  <c r="E59" i="40"/>
  <c r="H16" i="1"/>
  <c r="E29" i="6"/>
  <c r="K15" i="1" s="1"/>
  <c r="K16" i="1" s="1"/>
  <c r="F30" i="6"/>
  <c r="G5" i="3"/>
  <c r="B3" i="3" s="1"/>
  <c r="E536" i="3" s="1"/>
  <c r="C70" i="71"/>
  <c r="D70" i="71" s="1"/>
  <c r="D71" i="71"/>
  <c r="B19" i="71"/>
  <c r="B18" i="71" s="1"/>
  <c r="B17" i="71" s="1"/>
  <c r="B16" i="71" s="1"/>
  <c r="S20" i="71"/>
  <c r="AZ126" i="3"/>
  <c r="C52" i="71"/>
  <c r="D51" i="71"/>
  <c r="D67" i="71"/>
  <c r="C66" i="71"/>
  <c r="O67" i="71"/>
  <c r="AC9" i="33"/>
  <c r="W9" i="33"/>
  <c r="AA23" i="36"/>
  <c r="S23" i="36"/>
  <c r="W11" i="35"/>
  <c r="AC11" i="35"/>
  <c r="U30" i="34"/>
  <c r="AB30" i="34"/>
  <c r="AA31" i="33"/>
  <c r="S31" i="33"/>
  <c r="AA27" i="21"/>
  <c r="S27" i="21"/>
  <c r="AB12" i="40"/>
  <c r="U12" i="40"/>
  <c r="AZ93" i="3"/>
  <c r="AZ107" i="3"/>
  <c r="AZ292" i="3"/>
  <c r="AZ268" i="3"/>
  <c r="AZ63" i="3"/>
  <c r="D79" i="71"/>
  <c r="C78" i="71"/>
  <c r="D78" i="71" s="1"/>
  <c r="C22" i="71"/>
  <c r="D23" i="71"/>
  <c r="AZ190" i="3"/>
  <c r="AZ405" i="3"/>
  <c r="AZ460" i="3"/>
  <c r="AZ271" i="3"/>
  <c r="AZ243" i="3"/>
  <c r="AC31" i="39"/>
  <c r="W31" i="39"/>
  <c r="AC23" i="36"/>
  <c r="W23" i="36"/>
  <c r="AB25" i="37"/>
  <c r="U25" i="37"/>
  <c r="W46" i="34"/>
  <c r="AC46" i="34"/>
  <c r="AB12" i="34"/>
  <c r="U12" i="34"/>
  <c r="AB27" i="21"/>
  <c r="U27" i="21"/>
  <c r="AC12" i="40"/>
  <c r="W12" i="40"/>
  <c r="D83" i="71"/>
  <c r="C82" i="71"/>
  <c r="D82" i="71" s="1"/>
  <c r="AZ38" i="3"/>
  <c r="C56" i="71"/>
  <c r="D55" i="71"/>
  <c r="AZ177" i="3"/>
  <c r="T32" i="71"/>
  <c r="D32" i="71"/>
  <c r="D75" i="71"/>
  <c r="C74" i="71"/>
  <c r="D74" i="71" s="1"/>
  <c r="U23" i="35"/>
  <c r="AB23" i="35"/>
  <c r="AB31" i="39"/>
  <c r="U31" i="39"/>
  <c r="AB23" i="36"/>
  <c r="U23" i="36"/>
  <c r="AA25" i="37"/>
  <c r="S25" i="37"/>
  <c r="AZ565" i="3"/>
  <c r="AA46" i="34"/>
  <c r="S46" i="34"/>
  <c r="S13" i="33"/>
  <c r="AA13" i="33"/>
  <c r="AA45" i="21"/>
  <c r="S45" i="21"/>
  <c r="W27" i="21"/>
  <c r="AC27" i="21"/>
  <c r="AZ285" i="3"/>
  <c r="AZ474" i="3"/>
  <c r="AZ111" i="3"/>
  <c r="AZ102" i="3"/>
  <c r="C40" i="71"/>
  <c r="D39" i="71"/>
  <c r="AZ28" i="3"/>
  <c r="AZ5" i="3" s="1"/>
  <c r="AZ53" i="3"/>
  <c r="AZ237" i="3"/>
  <c r="C26" i="71"/>
  <c r="D26" i="71" s="1"/>
  <c r="D27" i="71"/>
  <c r="AZ74" i="3"/>
  <c r="AZ121" i="3"/>
  <c r="D44" i="71"/>
  <c r="T44" i="71"/>
  <c r="AZ133" i="3"/>
  <c r="AZ483" i="3"/>
  <c r="AB39" i="40"/>
  <c r="U39" i="40"/>
  <c r="AZ249" i="3"/>
  <c r="AZ241" i="3"/>
  <c r="AC23" i="35"/>
  <c r="W23" i="35"/>
  <c r="AC9" i="34"/>
  <c r="W9" i="34"/>
  <c r="W12" i="35"/>
  <c r="AC12" i="35"/>
  <c r="AB9" i="34"/>
  <c r="U9" i="34"/>
  <c r="AZ556" i="3"/>
  <c r="S11" i="35"/>
  <c r="AA11" i="35"/>
  <c r="S30" i="34"/>
  <c r="AA30" i="34"/>
  <c r="W12" i="34"/>
  <c r="AC12" i="34"/>
  <c r="W45" i="21"/>
  <c r="AC45" i="21"/>
  <c r="G16" i="1"/>
  <c r="F10" i="39" s="1"/>
  <c r="AA10" i="39" s="1"/>
  <c r="J7" i="37"/>
  <c r="K1" i="73"/>
  <c r="E539" i="3"/>
  <c r="E212" i="3"/>
  <c r="E286" i="3"/>
  <c r="E499" i="3"/>
  <c r="E502" i="3"/>
  <c r="E466" i="3"/>
  <c r="E430" i="3"/>
  <c r="E255" i="3"/>
  <c r="AP6" i="3"/>
  <c r="E517" i="3"/>
  <c r="E491" i="3"/>
  <c r="E479" i="3"/>
  <c r="E37" i="3"/>
  <c r="E152" i="3"/>
  <c r="E258" i="3"/>
  <c r="E292" i="3"/>
  <c r="E349" i="3"/>
  <c r="E544" i="3"/>
  <c r="E59" i="3"/>
  <c r="E484" i="3"/>
  <c r="E467" i="3"/>
  <c r="E46" i="3"/>
  <c r="E160" i="3"/>
  <c r="E249" i="3"/>
  <c r="E371" i="3"/>
  <c r="E492" i="3"/>
  <c r="E84" i="3"/>
  <c r="E33" i="3"/>
  <c r="E184" i="3"/>
  <c r="E355" i="3"/>
  <c r="E68" i="3"/>
  <c r="E81" i="3"/>
  <c r="E283" i="3"/>
  <c r="E513" i="3"/>
  <c r="E494" i="3"/>
  <c r="E281" i="3"/>
  <c r="E391" i="3"/>
  <c r="E42" i="3"/>
  <c r="E482" i="3"/>
  <c r="E96" i="3"/>
  <c r="E174" i="3"/>
  <c r="E383" i="3"/>
  <c r="E86" i="3"/>
  <c r="E206" i="3"/>
  <c r="AF6" i="3"/>
  <c r="E113" i="3"/>
  <c r="E308" i="3"/>
  <c r="E205" i="3"/>
  <c r="E197" i="3"/>
  <c r="E525" i="3"/>
  <c r="T6" i="3"/>
  <c r="E456" i="3"/>
  <c r="E512" i="3"/>
  <c r="E451" i="3"/>
  <c r="E556" i="3"/>
  <c r="E13" i="3"/>
  <c r="E470" i="3"/>
  <c r="E26" i="3"/>
  <c r="E41" i="3"/>
  <c r="E225" i="3"/>
  <c r="E356" i="3"/>
  <c r="E412" i="3"/>
  <c r="E190" i="3"/>
  <c r="E324" i="3"/>
  <c r="E35" i="3"/>
  <c r="E232" i="3"/>
  <c r="E80" i="3"/>
  <c r="E326" i="3"/>
  <c r="E329" i="3"/>
  <c r="E188" i="3"/>
  <c r="E116" i="3"/>
  <c r="E393" i="3"/>
  <c r="E564" i="3"/>
  <c r="E427" i="3"/>
  <c r="E507" i="3"/>
  <c r="E440" i="3"/>
  <c r="E376" i="3"/>
  <c r="J6" i="3"/>
  <c r="E419" i="3"/>
  <c r="E463" i="3"/>
  <c r="E25" i="3"/>
  <c r="E178" i="3"/>
  <c r="E226" i="3"/>
  <c r="E346" i="3"/>
  <c r="E372" i="3"/>
  <c r="E60" i="3"/>
  <c r="E540" i="3"/>
  <c r="E15" i="3"/>
  <c r="E79" i="3"/>
  <c r="E170" i="3"/>
  <c r="E194" i="3"/>
  <c r="E299" i="3"/>
  <c r="E325" i="3"/>
  <c r="AQ6" i="3"/>
  <c r="E36" i="3"/>
  <c r="E123" i="3"/>
  <c r="E289" i="3"/>
  <c r="E364" i="3"/>
  <c r="E20" i="3"/>
  <c r="E176" i="3"/>
  <c r="E265" i="3"/>
  <c r="E524" i="3"/>
  <c r="E165" i="3"/>
  <c r="E552" i="3"/>
  <c r="E566"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27" i="69"/>
  <c r="F41" i="67"/>
  <c r="G1" i="73"/>
  <c r="AB26" i="21" l="1"/>
  <c r="U26" i="21"/>
  <c r="J89" i="21"/>
  <c r="K89" i="21" s="1"/>
  <c r="L89" i="21" s="1"/>
  <c r="M89" i="21" s="1"/>
  <c r="F26" i="21"/>
  <c r="F45" i="69"/>
  <c r="C47" i="69"/>
  <c r="D45" i="69" s="1"/>
  <c r="C29" i="69"/>
  <c r="D27" i="69" s="1"/>
  <c r="C28" i="43"/>
  <c r="T9" i="43" s="1"/>
  <c r="V9" i="43" s="1"/>
  <c r="H10" i="40"/>
  <c r="AB10" i="40" s="1"/>
  <c r="J10" i="40"/>
  <c r="AC10" i="40" s="1"/>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H10" i="39"/>
  <c r="U10" i="39" s="1"/>
  <c r="S10" i="39"/>
  <c r="AY6" i="3"/>
  <c r="E3" i="6"/>
  <c r="AB7" i="36"/>
  <c r="T36" i="36" s="1"/>
  <c r="G36" i="36" s="1"/>
  <c r="T40" i="71"/>
  <c r="D40" i="71"/>
  <c r="D56" i="71"/>
  <c r="T56" i="71"/>
  <c r="D22" i="71"/>
  <c r="C21" i="71"/>
  <c r="J10" i="39"/>
  <c r="W10" i="39" s="1"/>
  <c r="F10" i="40"/>
  <c r="S10" i="40" s="1"/>
  <c r="T52" i="71"/>
  <c r="D52" i="71"/>
  <c r="R36" i="36"/>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S26" i="21" l="1"/>
  <c r="AA26" i="21"/>
  <c r="AA10" i="40"/>
  <c r="AC10" i="39"/>
  <c r="AB10" i="39"/>
  <c r="W10" i="40"/>
  <c r="C42" i="43"/>
  <c r="E42" i="43" s="1"/>
  <c r="C39" i="43"/>
  <c r="C38" i="43"/>
  <c r="T4" i="43"/>
  <c r="V4" i="43" s="1"/>
  <c r="T14" i="43"/>
  <c r="V14" i="43" s="1"/>
  <c r="C41" i="43"/>
  <c r="T11" i="43"/>
  <c r="V11" i="43" s="1"/>
  <c r="T5" i="43"/>
  <c r="V5" i="43" s="1"/>
  <c r="C37" i="43"/>
  <c r="T6" i="43"/>
  <c r="V6" i="43" s="1"/>
  <c r="T8" i="43"/>
  <c r="V8" i="43" s="1"/>
  <c r="T16" i="43"/>
  <c r="V16" i="43" s="1"/>
  <c r="T13" i="43"/>
  <c r="V13" i="43" s="1"/>
  <c r="C40" i="43"/>
  <c r="T2" i="43"/>
  <c r="V2" i="43" s="1"/>
  <c r="T10" i="43"/>
  <c r="V10" i="43" s="1"/>
  <c r="T7" i="43"/>
  <c r="V7" i="43" s="1"/>
  <c r="T15" i="43"/>
  <c r="V15" i="43" s="1"/>
  <c r="C33" i="43"/>
  <c r="T3" i="43"/>
  <c r="V3" i="43" s="1"/>
  <c r="T12" i="43"/>
  <c r="V12" i="43" s="1"/>
  <c r="F25" i="12"/>
  <c r="C26" i="12" s="1"/>
  <c r="D25" i="12" s="1"/>
  <c r="AC6" i="3"/>
  <c r="E6" i="3" s="1"/>
  <c r="D116" i="43"/>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34" i="69"/>
  <c r="C17" i="67"/>
  <c r="C17" i="15"/>
  <c r="C14" i="67"/>
  <c r="C34" i="43" l="1"/>
  <c r="E34" i="43" s="1"/>
  <c r="C6" i="69"/>
  <c r="C7" i="69" s="1"/>
  <c r="F41" i="68"/>
  <c r="E33" i="43"/>
  <c r="C26" i="68"/>
  <c r="D22" i="68" s="1"/>
  <c r="C23" i="68"/>
  <c r="H24" i="6"/>
  <c r="D30" i="6"/>
  <c r="H22" i="6"/>
  <c r="C44" i="11"/>
  <c r="D41" i="11" s="1"/>
  <c r="H25" i="6"/>
  <c r="E53" i="34"/>
  <c r="F53" i="34" s="1"/>
  <c r="C19" i="71"/>
  <c r="D20" i="71"/>
  <c r="U20" i="71" s="1"/>
  <c r="T20" i="71"/>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D19" i="9"/>
  <c r="B3" i="69"/>
  <c r="D20" i="9" s="1"/>
  <c r="E53" i="21" l="1"/>
  <c r="F53" i="21" s="1"/>
  <c r="D103" i="9"/>
  <c r="D102" i="9"/>
  <c r="D21" i="9"/>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G19" i="9"/>
  <c r="G21" i="9" s="1"/>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7"/>
  <c r="D2" i="35"/>
  <c r="L51" i="15"/>
  <c r="D2" i="36"/>
  <c r="D2" i="34"/>
  <c r="C103" i="9" l="1"/>
  <c r="G20"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6" i="1"/>
  <c r="AO9" i="1"/>
  <c r="AO11" i="1"/>
  <c r="C32" i="9" l="1"/>
  <c r="E14" i="74"/>
  <c r="D14" i="74" s="1"/>
  <c r="C35" i="9"/>
  <c r="C34"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58" i="9"/>
  <c r="P57" i="9"/>
  <c r="D53" i="9"/>
  <c r="D52" i="9"/>
  <c r="B20" i="72"/>
  <c r="C104" i="9"/>
  <c r="H4" i="52"/>
  <c r="E97" i="9"/>
  <c r="C6" i="74"/>
  <c r="M55" i="9"/>
  <c r="C105" i="9"/>
  <c r="I4" i="52"/>
  <c r="D9" i="52"/>
  <c r="D6" i="53"/>
  <c r="B22" i="72"/>
  <c r="C5" i="74"/>
  <c r="D59" i="9"/>
  <c r="M48" i="9"/>
  <c r="D5" i="53"/>
  <c r="N61" i="9"/>
  <c r="N59" i="9"/>
  <c r="N60" i="9"/>
  <c r="H119" i="9"/>
  <c r="H5" i="52"/>
  <c r="E4" i="52"/>
  <c r="B48" i="72"/>
  <c r="C78" i="9"/>
  <c r="C73" i="9"/>
  <c r="C67" i="9"/>
  <c r="C68" i="9"/>
  <c r="D54" i="9"/>
  <c r="H108" i="9"/>
  <c r="D15" i="53"/>
  <c r="B31" i="72"/>
  <c r="D55" i="9"/>
  <c r="M53" i="9"/>
  <c r="N57" i="9"/>
  <c r="D123" i="9"/>
  <c r="D122" i="9"/>
  <c r="D8" i="52"/>
  <c r="B49" i="72"/>
  <c r="E80" i="9"/>
  <c r="E81" i="9"/>
  <c r="F4" i="52"/>
  <c r="B51" i="72"/>
  <c r="D56" i="9"/>
  <c r="M54" i="9"/>
  <c r="C93" i="9"/>
  <c r="C86" i="9"/>
  <c r="B30" i="72"/>
  <c r="F119" i="9"/>
  <c r="F5" i="52"/>
  <c r="B53" i="72"/>
  <c r="H102" i="9"/>
  <c r="D7" i="53"/>
  <c r="B21" i="72"/>
  <c r="C97" i="9"/>
  <c r="D58" i="9"/>
  <c r="D119" i="9"/>
  <c r="D5" i="52"/>
  <c r="E118" i="9"/>
  <c r="D118" i="9"/>
  <c r="D4" i="52"/>
  <c r="B47" i="72"/>
  <c r="C81" i="9"/>
  <c r="C72" i="9"/>
  <c r="C79" i="9"/>
  <c r="C80" i="9"/>
  <c r="C85" i="9"/>
  <c r="C95" i="9"/>
  <c r="C96" i="9"/>
  <c r="E96" i="9"/>
  <c r="F118" i="9"/>
  <c r="G118" i="9"/>
  <c r="G4" i="52"/>
  <c r="B52" i="72"/>
  <c r="H107" i="9"/>
  <c r="D13" i="53"/>
  <c r="D14" i="53"/>
  <c r="B32" i="72"/>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<sst xmlns="http://schemas.openxmlformats.org/spreadsheetml/2006/main" count="8084" uniqueCount="3542">
  <si>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</si>
  <si>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</si>
  <si>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</si>
  <si>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</si>
  <si>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</si>
  <si>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</si>
  <si>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</si>
  <si>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</si>
  <si>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</si>
  <si>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</si>
  <si>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</si>
  <si>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</si>
  <si>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</si>
  <si>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</si>
  <si>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</si>
  <si>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</si>
  <si>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</si>
  <si>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</si>
  <si>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</si>
  <si>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</si>
  <si>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</si>
  <si>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</si>
  <si>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</si>
  <si>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</si>
  <si>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</si>
  <si>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</si>
  <si>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</si>
  <si>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</si>
  <si>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</si>
  <si>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</si>
  <si>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</si>
  <si>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</si>
  <si>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</si>
  <si>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</si>
  <si>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</si>
  <si>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</si>
  <si>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</si>
  <si>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</si>
  <si>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</si>
  <si>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</si>
  <si>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</si>
  <si>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</si>
  <si>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</si>
  <si>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</si>
  <si>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</si>
  <si>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</si>
  <si>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</si>
  <si>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</si>
  <si>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</si>
  <si>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</si>
  <si>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</si>
  <si>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</si>
  <si>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</si>
  <si>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</si>
  <si>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</si>
  <si>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</si>
  <si>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</si>
  <si>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</si>
  <si>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</si>
  <si>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</si>
  <si>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</si>
  <si>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</si>
  <si>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</si>
  <si>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</si>
  <si>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</si>
  <si>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</si>
  <si>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</si>
  <si>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</si>
  <si>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</si>
  <si>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</si>
  <si>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</si>
  <si>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</si>
  <si>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</si>
  <si>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</si>
  <si>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</si>
  <si>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</si>
  <si>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</si>
  <si>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</si>
  <si>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</si>
  <si>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</si>
  <si>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</si>
  <si>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</si>
  <si>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</si>
  <si>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</si>
  <si>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</si>
  <si>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</si>
  <si>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</si>
  <si>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</si>
  <si>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</si>
  <si>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</si>
  <si>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</si>
  <si>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</si>
  <si>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</si>
  <si>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</si>
  <si>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</si>
  <si>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</si>
  <si>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</si>
  <si>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</si>
  <si>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</si>
  <si>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</si>
  <si>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</si>
  <si>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</si>
  <si>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</si>
  <si>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</si>
  <si>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</si>
  <si>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</si>
  <si>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</si>
  <si>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</si>
  <si>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</si>
  <si>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</si>
  <si>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</si>
  <si>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</si>
  <si>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</si>
  <si>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</si>
  <si>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</si>
  <si>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</si>
  <si>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</si>
  <si>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</si>
  <si>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</si>
  <si>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</si>
  <si>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</si>
  <si>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</si>
  <si>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</si>
  <si>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</si>
  <si>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</si>
  <si>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</si>
  <si>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</si>
  <si>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</si>
  <si>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</si>
  <si>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</si>
  <si>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</si>
  <si>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</si>
  <si>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</si>
  <si>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</si>
  <si>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</si>
  <si>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</si>
  <si>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</si>
  <si>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</si>
  <si>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</si>
  <si>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</si>
  <si>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</si>
  <si>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</si>
  <si>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</si>
  <si>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</si>
  <si>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</si>
  <si>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</si>
  <si>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</si>
  <si>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</si>
  <si>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</si>
  <si>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</si>
  <si>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</si>
  <si>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</si>
  <si>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</si>
  <si>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</si>
  <si>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</si>
  <si>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</si>
  <si>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</si>
  <si>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</si>
  <si>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</si>
  <si>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</si>
  <si>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</si>
  <si>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</si>
  <si>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</si>
  <si>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</si>
  <si>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</si>
  <si>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</si>
  <si>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</si>
  <si>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</si>
  <si>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</si>
  <si>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</si>
  <si>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</si>
  <si>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</si>
  <si>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</si>
  <si>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</si>
  <si>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</si>
  <si>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</si>
  <si>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</si>
  <si>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</si>
  <si>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</si>
  <si>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</si>
  <si>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</si>
  <si>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</si>
  <si>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</si>
  <si>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</si>
  <si>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</si>
  <si>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</si>
  <si>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</si>
  <si>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</si>
  <si>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</si>
  <si>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</si>
  <si>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</si>
  <si>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</si>
  <si>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</si>
  <si>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</si>
  <si>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</si>
  <si>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</si>
  <si>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</si>
  <si>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</si>
  <si>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</si>
  <si>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</si>
  <si>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</si>
  <si>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</si>
  <si>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</si>
  <si>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</si>
  <si>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</si>
  <si>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</si>
  <si>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</si>
  <si>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</si>
  <si>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</si>
  <si>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</si>
  <si>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</si>
  <si>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</si>
  <si>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</si>
  <si>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</si>
  <si>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</si>
  <si>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</si>
  <si>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</si>
  <si>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</si>
  <si>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</si>
  <si>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</si>
  <si>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</si>
  <si>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</si>
  <si>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</si>
  <si>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</si>
  <si>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</si>
  <si>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</si>
  <si>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</si>
  <si>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</si>
  <si>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</si>
  <si>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</si>
  <si>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</si>
  <si>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</si>
  <si>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</si>
  <si>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</si>
  <si>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</si>
  <si>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</si>
  <si>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</si>
  <si>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</si>
  <si>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</si>
  <si>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</si>
  <si>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</si>
  <si>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</si>
  <si>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</si>
  <si>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</si>
  <si>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</si>
  <si>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</si>
  <si>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</si>
  <si>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</si>
  <si>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</si>
  <si>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</si>
  <si>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</si>
  <si>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</si>
  <si>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</si>
  <si>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</si>
  <si>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</si>
  <si>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</si>
  <si>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</si>
  <si>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</si>
  <si>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</si>
  <si>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</si>
  <si>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</si>
  <si>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</si>
  <si>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</si>
  <si>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</si>
  <si>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</si>
  <si>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</si>
  <si>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</si>
  <si>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</si>
  <si>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</si>
  <si>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</si>
  <si>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</si>
  <si>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</si>
  <si>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</si>
  <si>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</si>
  <si>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</si>
  <si>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</si>
  <si>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</si>
  <si>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</si>
  <si>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</si>
  <si>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</si>
  <si>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</si>
  <si>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</si>
  <si>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</si>
  <si>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</si>
  <si>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</si>
  <si>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</si>
  <si>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</si>
  <si>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</si>
  <si>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</si>
  <si>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</si>
  <si>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</si>
  <si>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</si>
  <si>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</si>
  <si>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</si>
  <si>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</si>
  <si>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</si>
  <si>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</si>
  <si>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</si>
  <si>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</si>
  <si>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</si>
  <si>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</si>
  <si>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</si>
  <si>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</si>
  <si>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</si>
  <si>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</si>
  <si>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</si>
  <si>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</si>
  <si>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</si>
  <si>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</si>
  <si>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</si>
  <si>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</si>
  <si>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</si>
  <si>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</si>
  <si>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</si>
  <si>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</si>
  <si>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</si>
  <si>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</si>
  <si>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</si>
  <si>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</si>
  <si>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</si>
  <si>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</si>
  <si>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</si>
  <si>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</si>
  <si>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</si>
  <si>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</si>
  <si>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</si>
  <si>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</si>
  <si>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</si>
  <si>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</si>
  <si>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</si>
  <si>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</si>
  <si>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</si>
  <si>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</si>
  <si>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</si>
  <si>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</si>
  <si>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</si>
  <si>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</si>
  <si>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</si>
  <si>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</si>
  <si>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</si>
  <si>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</si>
  <si>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</si>
  <si>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</si>
  <si>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</si>
  <si>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</si>
  <si>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</si>
  <si>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</si>
  <si>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</si>
  <si>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</si>
  <si>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</si>
  <si>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</si>
  <si>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</si>
  <si>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</si>
  <si>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</si>
  <si>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</si>
  <si>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</si>
  <si>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</si>
  <si>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</si>
  <si>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</si>
  <si>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</si>
  <si>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</si>
  <si>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</si>
  <si>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</si>
  <si>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</si>
  <si>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</si>
  <si>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</si>
  <si>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</si>
  <si>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</si>
  <si>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</si>
  <si>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</si>
  <si>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</si>
  <si>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</si>
  <si>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</si>
  <si>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</si>
  <si>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</si>
  <si>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</si>
  <si>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</si>
  <si>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</si>
  <si>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</si>
  <si>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</si>
  <si>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</si>
  <si>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</si>
  <si>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</si>
  <si>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</si>
  <si>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</si>
  <si>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</si>
  <si>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</si>
  <si>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</si>
  <si>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</si>
  <si>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</si>
  <si>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</si>
  <si>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</si>
  <si>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</si>
  <si>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</si>
  <si>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</si>
  <si>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</si>
  <si>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</si>
  <si>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</si>
  <si>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</si>
  <si>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</si>
  <si>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</si>
  <si>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</si>
  <si>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</si>
  <si>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</si>
  <si>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</si>
  <si>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</si>
  <si>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</si>
  <si>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</si>
  <si>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</si>
  <si>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</si>
  <si>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</si>
  <si>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</si>
  <si>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</si>
  <si>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</si>
  <si>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</si>
  <si>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</si>
  <si>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</si>
  <si>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</si>
  <si>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</si>
  <si>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</si>
  <si>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</si>
  <si>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</si>
  <si>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</si>
  <si>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</si>
  <si>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</si>
  <si>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</si>
  <si>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</si>
  <si>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</si>
  <si>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</si>
  <si>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</si>
  <si>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</si>
  <si>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</si>
  <si>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</si>
  <si>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</si>
  <si>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</si>
  <si>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</si>
  <si>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</si>
  <si>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</si>
  <si>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</si>
  <si>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</si>
  <si>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</si>
  <si>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</si>
  <si>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</si>
  <si>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</si>
  <si>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</si>
  <si>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</si>
  <si>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</si>
  <si>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</si>
  <si>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</si>
  <si>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</si>
  <si>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</si>
  <si>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</si>
  <si>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</si>
  <si>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</si>
  <si>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</si>
  <si>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</si>
  <si>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</si>
  <si>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</si>
  <si>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</si>
  <si>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</si>
  <si>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</si>
  <si>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</si>
  <si>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</si>
  <si>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</si>
  <si>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</si>
  <si>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</si>
  <si>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</si>
  <si>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</si>
  <si>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</si>
  <si>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</si>
  <si>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</si>
  <si>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</si>
  <si>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</si>
  <si>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</si>
  <si>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</si>
  <si>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</si>
  <si>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</si>
  <si>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</si>
  <si>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</si>
  <si>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</si>
  <si>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</si>
  <si>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</si>
  <si>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</si>
  <si>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</si>
  <si>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</si>
  <si>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</si>
  <si>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</si>
  <si>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</si>
  <si>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</si>
  <si>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</si>
  <si>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</si>
  <si>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</si>
  <si>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</si>
  <si>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</si>
  <si>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</si>
  <si>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</si>
  <si>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</si>
  <si>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</si>
  <si>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</si>
  <si>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</si>
  <si>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</si>
  <si>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</si>
  <si>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</si>
  <si>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</si>
  <si>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</si>
  <si>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</si>
  <si>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</si>
  <si>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</si>
  <si>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</si>
  <si>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</si>
  <si>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</si>
  <si>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</si>
  <si>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</si>
  <si>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</si>
  <si>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</si>
  <si>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</si>
  <si>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</si>
  <si>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</si>
  <si>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</si>
  <si>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</si>
  <si>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</si>
  <si>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</si>
  <si>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</si>
  <si>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</si>
  <si>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</si>
  <si>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</si>
  <si>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</si>
  <si>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</si>
  <si>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</si>
  <si>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</si>
  <si>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</si>
  <si>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</si>
  <si>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</si>
  <si>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</si>
  <si>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</si>
  <si>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</si>
  <si>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</si>
  <si>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</si>
  <si>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</si>
  <si>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</si>
  <si>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</si>
  <si>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</si>
  <si>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</si>
  <si>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</si>
  <si>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</si>
  <si>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</si>
  <si>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</si>
  <si>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</si>
  <si>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</si>
  <si>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</si>
  <si>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</si>
  <si>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</si>
  <si>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</si>
  <si>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</si>
  <si>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</si>
  <si>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</si>
  <si>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</si>
  <si>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</si>
  <si>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</si>
  <si>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</si>
  <si>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</si>
  <si>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</si>
  <si>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</si>
  <si>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</si>
  <si>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</si>
  <si>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</si>
  <si>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</si>
  <si>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</si>
  <si>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</si>
  <si>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</si>
  <si>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</si>
  <si>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</si>
  <si>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</si>
  <si>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</si>
  <si>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</si>
  <si>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</si>
  <si>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</si>
  <si>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</si>
  <si>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</si>
  <si>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</si>
  <si>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</si>
  <si>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</si>
  <si>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</si>
  <si>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</si>
  <si>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</si>
  <si>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</si>
  <si>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</si>
  <si>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</si>
  <si>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</si>
  <si>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</si>
  <si>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</si>
  <si>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</si>
  <si>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</si>
  <si>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</si>
  <si>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</si>
  <si>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</si>
  <si>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</si>
  <si>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</si>
  <si>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</si>
  <si>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</si>
  <si>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</si>
  <si>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</si>
  <si>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</si>
  <si>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</si>
  <si>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</si>
  <si>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</si>
  <si>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</si>
  <si>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</si>
  <si>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</si>
  <si>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</si>
  <si>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</si>
  <si>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</si>
  <si>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</si>
  <si>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</si>
  <si>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</si>
  <si>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</si>
  <si>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</si>
  <si>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</si>
  <si>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</si>
  <si>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</si>
  <si>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</si>
  <si>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</si>
  <si>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</si>
  <si>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</si>
  <si>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</si>
  <si>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</si>
  <si>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</si>
  <si>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</si>
  <si>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</si>
  <si>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</si>
  <si>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</si>
  <si>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</si>
  <si>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</si>
  <si>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</si>
  <si>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</si>
  <si>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</si>
  <si>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</si>
  <si>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</si>
  <si>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</si>
  <si>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</si>
  <si>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</si>
  <si>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</si>
  <si>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</si>
  <si>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</si>
  <si>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</si>
  <si>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</si>
  <si>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</si>
  <si>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</si>
  <si>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</si>
  <si>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</si>
  <si>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</si>
  <si>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</si>
  <si>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</si>
  <si>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</si>
  <si>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</si>
  <si>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</si>
  <si>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</si>
  <si>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</si>
  <si>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</si>
  <si>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</si>
  <si>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</si>
  <si>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</si>
  <si>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</si>
  <si>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</si>
  <si>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</si>
  <si>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</si>
  <si>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</si>
  <si>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</si>
  <si>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</si>
  <si>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</si>
  <si>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</si>
  <si>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</si>
  <si>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</si>
  <si>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</si>
  <si>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</si>
  <si>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</si>
  <si>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</si>
  <si>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</si>
  <si>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</si>
  <si>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</si>
  <si>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</si>
  <si>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</si>
  <si>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</si>
  <si>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</si>
  <si>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</si>
  <si>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</si>
  <si>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</si>
  <si>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</si>
  <si>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</si>
  <si>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</si>
  <si>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</si>
  <si>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</si>
  <si>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</si>
  <si>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</si>
  <si>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</si>
  <si>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</si>
  <si>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</si>
  <si>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</si>
  <si>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</si>
  <si>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</si>
  <si>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</si>
  <si>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</si>
  <si>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</si>
  <si>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</si>
  <si>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</si>
  <si>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</si>
  <si>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</si>
  <si>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</si>
  <si>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</si>
  <si>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</si>
  <si>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</si>
  <si>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</si>
  <si>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</si>
  <si>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</si>
  <si>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</si>
  <si>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</si>
  <si>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</si>
  <si>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</si>
  <si>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</si>
  <si>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</si>
  <si>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</si>
  <si>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</si>
  <si>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</si>
  <si>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</si>
  <si>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</si>
  <si>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</si>
  <si>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</si>
  <si>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</si>
  <si>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</si>
  <si>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</si>
  <si>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</si>
  <si>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</si>
  <si>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</si>
  <si>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</si>
  <si>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</si>
  <si>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</si>
  <si>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</si>
  <si>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</si>
  <si>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</si>
  <si>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</si>
  <si>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</si>
  <si>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</si>
  <si>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</si>
  <si>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</si>
  <si>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</si>
  <si>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</si>
  <si>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</si>
  <si>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</si>
  <si>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</si>
  <si>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</si>
  <si>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</si>
  <si>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</si>
  <si>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</si>
  <si>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</si>
  <si>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</si>
  <si>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</si>
  <si>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</si>
  <si>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</si>
  <si>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</si>
  <si>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</si>
  <si>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</si>
  <si>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</si>
  <si>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</si>
  <si>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</si>
  <si>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</si>
  <si>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</si>
  <si>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</si>
  <si>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</si>
  <si>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</si>
  <si>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</si>
  <si>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</si>
  <si>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</si>
  <si>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</si>
  <si>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</si>
  <si>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</si>
  <si>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</si>
  <si>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</si>
  <si>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</si>
  <si>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</si>
  <si>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</si>
  <si>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</si>
  <si>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</si>
  <si>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</si>
  <si>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</si>
  <si>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</si>
  <si>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</si>
  <si>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</si>
  <si>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</si>
  <si>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</si>
  <si>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</si>
  <si>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</si>
  <si>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</si>
  <si>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</si>
  <si>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</si>
  <si>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</si>
  <si>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</si>
  <si>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</si>
  <si>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</si>
  <si>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</si>
  <si>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</si>
  <si>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</si>
  <si>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</si>
  <si>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</si>
  <si>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</si>
  <si>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</si>
  <si>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</si>
  <si>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</si>
  <si>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</si>
  <si>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</si>
  <si>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</si>
  <si>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</si>
  <si>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</si>
  <si>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</si>
  <si>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</si>
  <si>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</si>
  <si>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</si>
  <si>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</si>
  <si>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</si>
  <si>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</si>
  <si>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</si>
  <si>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</si>
  <si>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</si>
  <si>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</si>
  <si>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</si>
  <si>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</si>
  <si>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</si>
  <si>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</si>
  <si>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</si>
  <si>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</si>
  <si>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</si>
  <si>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</si>
  <si>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</si>
  <si>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</si>
  <si>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</si>
  <si>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</si>
  <si>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</si>
  <si>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</si>
  <si>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</si>
  <si>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</si>
  <si>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</si>
  <si>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</si>
  <si>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</si>
  <si>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</si>
  <si>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</si>
  <si>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</si>
  <si>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</si>
  <si>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</si>
  <si>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</si>
  <si>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</si>
  <si>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</si>
  <si>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</si>
  <si>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</si>
  <si>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</si>
  <si>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</si>
  <si>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</si>
  <si>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</si>
  <si>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</si>
  <si>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</si>
  <si>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</si>
  <si>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</si>
  <si>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</si>
  <si>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</si>
  <si>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</si>
  <si>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</si>
  <si>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</si>
  <si>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</si>
  <si>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</si>
  <si>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</si>
  <si>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</si>
  <si>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</si>
  <si>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</si>
  <si>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</si>
  <si>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</si>
  <si>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</si>
  <si>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</si>
  <si>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</si>
  <si>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</si>
  <si>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</si>
  <si>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</si>
  <si>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</si>
  <si>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</si>
  <si>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</si>
  <si>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</si>
  <si>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</si>
  <si>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</si>
  <si>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</si>
  <si>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</si>
  <si>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</si>
  <si>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</si>
  <si>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</si>
  <si>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</si>
  <si>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</si>
  <si>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</si>
  <si>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</si>
  <si>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</si>
  <si>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</si>
  <si>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</si>
  <si>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</si>
  <si>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</si>
  <si>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</si>
  <si>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</si>
  <si>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</si>
  <si>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</si>
  <si>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</si>
  <si>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</si>
  <si>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</si>
  <si>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</si>
  <si>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</si>
  <si>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</si>
  <si>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</si>
  <si>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</si>
  <si>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</si>
  <si>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</si>
  <si>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</si>
  <si>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</si>
  <si>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</si>
  <si>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</si>
  <si>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</si>
  <si>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</si>
  <si>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</si>
  <si>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</si>
  <si>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</si>
  <si>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</si>
  <si>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</si>
  <si>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</si>
  <si>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</si>
  <si>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</si>
  <si>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</si>
  <si>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</si>
  <si>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</si>
  <si>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</si>
  <si>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</si>
  <si>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</si>
  <si>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</si>
  <si>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</si>
  <si>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</si>
  <si>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</si>
  <si>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</si>
  <si>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</si>
  <si>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</si>
  <si>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</si>
  <si>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</si>
  <si>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</si>
  <si>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</si>
  <si>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</si>
  <si>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</si>
  <si>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</si>
  <si>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</si>
  <si>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</si>
  <si>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</si>
  <si>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</si>
  <si>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</si>
  <si>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</si>
  <si>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</si>
  <si>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</si>
  <si>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</si>
  <si>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</si>
  <si>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</si>
  <si>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</si>
  <si>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</si>
  <si>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</si>
  <si>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</si>
  <si>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</si>
  <si>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</si>
  <si>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</si>
  <si>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</si>
  <si>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</si>
  <si>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</si>
  <si>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</si>
  <si>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</si>
  <si>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</si>
  <si>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</si>
  <si>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</si>
  <si>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</si>
  <si>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</si>
  <si>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</si>
  <si>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</si>
  <si>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</si>
  <si>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</si>
  <si>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</si>
  <si>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</si>
  <si>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</si>
  <si>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</si>
  <si>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</si>
  <si>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</si>
  <si>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</si>
  <si>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</si>
  <si>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</si>
  <si>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</si>
  <si>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</si>
  <si>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</si>
  <si>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</si>
  <si>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</si>
  <si>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</si>
  <si>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</si>
  <si>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</si>
  <si>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</si>
  <si>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</si>
  <si>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</si>
  <si>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</si>
  <si>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</si>
  <si>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</si>
  <si>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</si>
  <si>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</si>
  <si>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</si>
  <si>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</si>
  <si>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</si>
  <si>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</si>
  <si>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</si>
  <si>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</si>
  <si>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</si>
  <si>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</si>
  <si>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</si>
  <si>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</si>
  <si>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</si>
  <si>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</si>
  <si>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</si>
  <si>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</si>
  <si>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</si>
  <si>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</si>
  <si>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</si>
  <si>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</si>
  <si>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</si>
  <si>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</si>
  <si>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</si>
  <si>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</si>
  <si>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</si>
  <si>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</si>
  <si>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</si>
  <si>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</si>
  <si>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</si>
  <si>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</si>
  <si>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</si>
  <si>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</si>
  <si>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</si>
  <si>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</si>
  <si>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</si>
  <si>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</si>
  <si>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</si>
  <si>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</si>
  <si>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</si>
  <si>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</si>
  <si>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</si>
  <si>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</si>
  <si>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</si>
  <si>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</si>
  <si>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</si>
  <si>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</si>
  <si>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</si>
  <si>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</si>
  <si>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</si>
  <si>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</si>
  <si>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</si>
  <si>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</si>
  <si>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</si>
  <si>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</si>
  <si>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</si>
  <si>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</si>
  <si>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</si>
  <si>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</si>
  <si>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</si>
  <si>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</si>
  <si>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</si>
  <si>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</si>
  <si>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</si>
  <si>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</si>
  <si>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</si>
  <si>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</si>
  <si>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</si>
  <si>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</si>
  <si>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</si>
  <si>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</si>
  <si>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</si>
  <si>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</si>
  <si>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</si>
  <si>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</si>
  <si>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</si>
  <si>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</si>
  <si>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</si>
  <si>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</si>
  <si>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</si>
  <si>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</si>
  <si>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</si>
  <si>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</si>
  <si>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</si>
  <si>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</si>
  <si>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</si>
  <si>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</si>
  <si>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</si>
  <si>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</si>
  <si>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</si>
  <si>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</si>
  <si>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</si>
  <si>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</si>
  <si>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</si>
  <si>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</si>
  <si>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</si>
  <si>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</si>
  <si>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</si>
  <si>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</si>
  <si>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</si>
  <si>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</si>
  <si>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</si>
  <si>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</si>
  <si>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</si>
  <si>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</si>
  <si>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</si>
  <si>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</si>
  <si>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</si>
  <si>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</si>
  <si>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</si>
  <si>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</si>
  <si>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</si>
  <si>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</si>
  <si>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</si>
  <si>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</si>
  <si>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</si>
  <si>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</si>
  <si>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</si>
  <si>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</si>
  <si>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</si>
  <si>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</si>
  <si>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</si>
  <si>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</si>
  <si>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</si>
  <si>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</si>
  <si>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</si>
  <si>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</si>
  <si>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</si>
  <si>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</si>
  <si>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</si>
  <si>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</si>
  <si>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</si>
  <si>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</si>
  <si>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</si>
  <si>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</si>
  <si>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</si>
  <si>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</si>
  <si>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</si>
  <si>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</si>
  <si>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</si>
  <si>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</si>
  <si>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</si>
  <si>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</si>
  <si>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</si>
  <si>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</si>
  <si>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</si>
  <si>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</si>
  <si>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</si>
  <si>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</si>
  <si>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</si>
  <si>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</si>
  <si>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</si>
  <si>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</si>
  <si>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</si>
  <si>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</si>
  <si>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</si>
  <si>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</si>
  <si>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</si>
  <si>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</si>
  <si>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</si>
  <si>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</si>
  <si>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</si>
  <si>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</si>
  <si>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</si>
  <si>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</si>
  <si>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</si>
  <si>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</si>
  <si>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</si>
  <si>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</si>
  <si>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</si>
  <si>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</si>
  <si>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</si>
  <si>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</si>
  <si>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</si>
  <si>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</si>
  <si>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</si>
  <si>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</si>
  <si>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</si>
  <si>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</si>
  <si>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</si>
  <si>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</si>
  <si>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</si>
  <si>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</si>
  <si>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</si>
  <si>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</si>
  <si>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</si>
  <si>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</si>
  <si>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</si>
  <si>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</si>
  <si>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</si>
  <si>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</si>
  <si>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</si>
  <si>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</si>
  <si>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</si>
  <si>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</si>
  <si>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</si>
  <si>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</si>
  <si>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</si>
  <si>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</si>
  <si>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</si>
  <si>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</si>
  <si>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</si>
  <si>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</si>
  <si>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</si>
  <si>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</si>
  <si>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</si>
  <si>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</si>
  <si>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</si>
  <si>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</si>
  <si>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</si>
  <si>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</si>
  <si>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</si>
  <si>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</si>
  <si>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</si>
  <si>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</si>
  <si>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</si>
  <si>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</si>
  <si>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</si>
  <si>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</si>
  <si>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</si>
  <si>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</si>
  <si>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</si>
  <si>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</si>
  <si>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</si>
  <si>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</si>
  <si>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</si>
  <si>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</si>
  <si>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</si>
  <si>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</si>
  <si>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</si>
  <si>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</si>
  <si>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</si>
  <si>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</si>
  <si>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</si>
  <si>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</si>
  <si>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</si>
  <si>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</si>
  <si>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</si>
  <si>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</si>
  <si>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</si>
  <si>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</si>
  <si>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</si>
  <si>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</si>
  <si>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</si>
  <si>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</si>
  <si>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</si>
  <si>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</si>
  <si>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</si>
  <si>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</si>
  <si>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</si>
  <si>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</si>
  <si>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</si>
  <si>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</si>
  <si>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</si>
  <si>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</si>
  <si>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</si>
  <si>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</si>
  <si>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</si>
  <si>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</si>
  <si>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</si>
  <si>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</si>
  <si>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</si>
  <si>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</si>
  <si>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</si>
  <si>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</si>
  <si>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</si>
  <si>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</si>
  <si>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</si>
  <si>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</si>
  <si>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</si>
  <si>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</si>
  <si>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</si>
  <si>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</si>
  <si>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</si>
  <si>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</si>
  <si>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</si>
  <si>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</si>
  <si>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</si>
  <si>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</si>
  <si>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</si>
  <si>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</si>
  <si>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</si>
  <si>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</si>
  <si>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</si>
  <si>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</si>
  <si>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</si>
  <si>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</si>
  <si>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</si>
  <si>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</si>
  <si>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</si>
  <si>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</si>
  <si>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</si>
  <si>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</si>
  <si>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</si>
  <si>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</si>
  <si>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</si>
  <si>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</si>
  <si>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</si>
  <si>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</si>
  <si>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</si>
  <si>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</si>
  <si>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</si>
  <si>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</si>
  <si>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</si>
  <si>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</si>
  <si>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</si>
  <si>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</si>
  <si>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</si>
  <si>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</si>
  <si>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</si>
  <si>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</si>
  <si>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</si>
  <si>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</si>
  <si>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</si>
  <si>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</si>
  <si>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</si>
  <si>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</si>
  <si>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</si>
  <si>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</si>
  <si>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</si>
  <si>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</si>
  <si>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</si>
  <si>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</si>
  <si>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</si>
  <si>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</si>
  <si>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</si>
  <si>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</si>
  <si>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</si>
  <si>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</si>
  <si>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</si>
  <si>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</si>
  <si>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</si>
  <si>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</si>
  <si>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</si>
  <si>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</si>
  <si>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</si>
  <si>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</si>
  <si>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</si>
  <si>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</si>
  <si>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</si>
  <si>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</si>
  <si>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</si>
  <si>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</si>
  <si>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</si>
  <si>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</si>
  <si>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</si>
  <si>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</si>
  <si>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</si>
  <si>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</si>
  <si>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</si>
  <si>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</si>
  <si>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</si>
  <si>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</si>
  <si>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</si>
  <si>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</si>
  <si>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</si>
  <si>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</si>
  <si>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</si>
  <si>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</si>
  <si>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</si>
  <si>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</si>
  <si>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</si>
  <si>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</si>
  <si>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</si>
  <si>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</si>
  <si>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</si>
  <si>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</si>
  <si>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</si>
  <si>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</si>
  <si>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</si>
  <si>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</si>
  <si>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</si>
  <si>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</si>
  <si>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</si>
  <si>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</si>
  <si>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</si>
  <si>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</si>
  <si>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</si>
  <si>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</si>
  <si>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</si>
  <si>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</si>
  <si>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</si>
  <si>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</si>
  <si>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</si>
  <si>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</si>
  <si>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</si>
  <si>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</si>
  <si>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</si>
  <si>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</si>
  <si>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</si>
  <si>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</si>
  <si>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</si>
  <si>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</si>
  <si>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</si>
  <si>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</si>
  <si>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</si>
  <si>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</si>
  <si>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</si>
  <si>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</si>
  <si>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</si>
  <si>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</si>
  <si>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</si>
  <si>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</si>
  <si>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</si>
  <si>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</si>
  <si>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</si>
  <si>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</si>
  <si>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</si>
  <si>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</si>
  <si>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</si>
  <si>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</si>
  <si>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</si>
  <si>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</si>
  <si>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</si>
  <si>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</si>
  <si>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</si>
  <si>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</si>
  <si>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</si>
  <si>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</si>
  <si>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</si>
  <si>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</si>
  <si>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</si>
  <si>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</si>
  <si>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</si>
  <si>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</si>
  <si>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</si>
  <si>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</si>
  <si>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</si>
  <si>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</si>
  <si>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</si>
  <si>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</si>
  <si>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</si>
  <si>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</si>
  <si>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</si>
  <si>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</si>
  <si>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</si>
  <si>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</si>
  <si>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</si>
  <si>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</si>
  <si>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</si>
  <si>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</si>
  <si>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</si>
  <si>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</si>
  <si>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</si>
  <si>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</si>
  <si>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</si>
  <si>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</si>
  <si>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</si>
  <si>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</si>
  <si>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</si>
  <si>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</si>
  <si>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</si>
  <si>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</si>
  <si>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</si>
  <si>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</si>
  <si>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</si>
  <si>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</si>
  <si>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</si>
  <si>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</si>
  <si>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</si>
  <si>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</si>
  <si>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</si>
  <si>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</si>
  <si>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</si>
  <si>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</si>
  <si>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</si>
  <si>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</si>
  <si>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</si>
  <si>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</si>
  <si>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</si>
  <si>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</si>
  <si>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</si>
  <si>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</si>
  <si>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</si>
  <si>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</si>
  <si>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</si>
  <si>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</si>
  <si>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</si>
  <si>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</si>
  <si>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</si>
  <si>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</si>
  <si>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</si>
  <si>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</si>
  <si>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</si>
  <si>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</si>
  <si>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</si>
  <si>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</si>
  <si>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</si>
  <si>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</si>
  <si>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</si>
  <si>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</si>
  <si>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</si>
  <si>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</si>
  <si>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</si>
  <si>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</si>
  <si>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</si>
  <si>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</si>
  <si>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</si>
  <si>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</si>
  <si>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</si>
  <si>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</si>
  <si>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</si>
  <si>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</si>
  <si>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</si>
  <si>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</si>
  <si>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</si>
  <si>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</si>
  <si>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</si>
  <si>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</si>
  <si>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</si>
  <si>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</si>
  <si>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</si>
  <si>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</si>
  <si>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</si>
  <si>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</si>
  <si>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</si>
  <si>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</si>
  <si>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</si>
  <si>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</si>
  <si>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</si>
  <si>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</si>
  <si>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</si>
  <si>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</si>
  <si>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</si>
  <si>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</si>
  <si>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</si>
  <si>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</si>
  <si>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</si>
  <si>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</si>
  <si>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</si>
  <si>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</si>
  <si>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</si>
  <si>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</si>
  <si>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</si>
  <si>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</si>
  <si>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</si>
  <si>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</si>
  <si>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</si>
  <si>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</si>
  <si>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</si>
  <si>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</si>
  <si>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</si>
  <si>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</si>
  <si>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</si>
  <si>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</si>
  <si>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</si>
  <si>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</si>
  <si>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</si>
  <si>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</si>
  <si>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</si>
  <si>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</si>
  <si>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</si>
  <si>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</si>
  <si>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</si>
  <si>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</si>
  <si>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</si>
  <si>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</si>
  <si>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</si>
  <si>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</si>
  <si>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</si>
  <si>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</si>
  <si>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</si>
  <si>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</si>
  <si>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</si>
  <si>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</si>
  <si>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</si>
  <si>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</si>
  <si>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</si>
  <si>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</si>
  <si>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</si>
  <si>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</si>
  <si>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</si>
  <si>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</si>
  <si>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</si>
  <si>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</si>
  <si>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</si>
  <si>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</si>
  <si>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</si>
  <si>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</si>
  <si>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</si>
  <si>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</si>
  <si>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</si>
  <si>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</si>
  <si>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</si>
  <si>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</si>
  <si>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</si>
  <si>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</si>
  <si>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</si>
  <si>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</si>
  <si>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</si>
  <si>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</si>
  <si>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</si>
  <si>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</si>
  <si>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</si>
  <si>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</si>
  <si>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</si>
  <si>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</si>
  <si>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</si>
  <si>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</si>
  <si>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</si>
  <si>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</si>
  <si>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</si>
  <si>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</si>
  <si>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</si>
  <si>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</si>
  <si>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</si>
  <si>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</si>
  <si>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</si>
  <si>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</si>
  <si>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</si>
  <si>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</si>
  <si>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</si>
  <si>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</si>
  <si>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</si>
  <si>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</si>
  <si>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</si>
  <si>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</si>
  <si>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</si>
  <si>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</si>
  <si>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</si>
  <si>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</si>
  <si>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</si>
  <si>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</si>
  <si>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</si>
  <si>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</si>
  <si>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</si>
  <si>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</si>
  <si>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</si>
  <si>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</si>
  <si>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</si>
  <si>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</si>
  <si>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</si>
  <si>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</si>
  <si>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</si>
  <si>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</si>
  <si>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</si>
  <si>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</si>
  <si>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</si>
  <si>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</si>
  <si>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</si>
  <si>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</si>
  <si>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</si>
  <si>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</si>
  <si>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</si>
  <si>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</si>
  <si>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</si>
  <si>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</si>
  <si>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</si>
  <si>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</si>
  <si>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</si>
  <si>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</si>
  <si>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</si>
  <si>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</si>
  <si>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</si>
  <si>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</si>
  <si>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</si>
  <si>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</si>
  <si>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</si>
  <si>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</si>
  <si>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</si>
  <si>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</si>
  <si>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</si>
  <si>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</si>
  <si>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</si>
  <si>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</si>
  <si>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</si>
  <si>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</si>
  <si>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</si>
  <si>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</si>
  <si>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</si>
  <si>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</si>
  <si>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</si>
  <si>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</si>
  <si>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</si>
  <si>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</si>
  <si>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</si>
  <si>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</si>
  <si>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</si>
  <si>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</si>
  <si>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</si>
  <si>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</si>
  <si>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</si>
  <si>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</si>
  <si>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</si>
  <si>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</si>
  <si>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</si>
  <si>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</si>
  <si>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</si>
  <si>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</si>
  <si>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</si>
  <si>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</si>
  <si>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</si>
  <si>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</si>
  <si>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</si>
  <si>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</si>
  <si>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</si>
  <si>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</si>
  <si>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</si>
  <si>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</si>
  <si>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</si>
  <si>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</si>
  <si>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</si>
  <si>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</si>
  <si>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</si>
  <si>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</si>
  <si>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</si>
  <si>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</si>
  <si>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</si>
  <si>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</si>
  <si>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</si>
  <si>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</si>
  <si>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</si>
  <si>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</si>
  <si>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</si>
  <si>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</si>
  <si>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</si>
  <si>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</si>
  <si>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</si>
  <si>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</si>
  <si>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</si>
  <si>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</si>
  <si>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</si>
  <si>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</si>
  <si>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</si>
  <si>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</si>
  <si>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</si>
  <si>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</si>
  <si>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</si>
  <si>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</si>
  <si>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</si>
  <si>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</si>
  <si>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</si>
  <si>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</si>
  <si>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</si>
  <si>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</si>
  <si>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</si>
  <si>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</si>
  <si>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</si>
  <si>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</si>
  <si>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</si>
  <si>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</si>
  <si>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</si>
  <si>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</si>
  <si>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</si>
  <si>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</si>
  <si>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</si>
  <si>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</si>
  <si>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</si>
  <si>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</si>
  <si>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</si>
  <si>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</si>
  <si>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</si>
  <si>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</si>
  <si>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</si>
  <si>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</si>
  <si>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</si>
  <si>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</si>
  <si>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</si>
  <si>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</si>
  <si>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</si>
  <si>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</si>
  <si>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</si>
  <si>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</si>
  <si>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</si>
  <si>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</si>
  <si>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</si>
  <si>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</si>
  <si>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</si>
  <si>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</si>
  <si>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</si>
  <si>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</si>
  <si>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</si>
  <si>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</si>
  <si>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</si>
  <si>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</si>
  <si>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</si>
  <si>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</si>
  <si>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</si>
  <si>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</si>
  <si>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</si>
  <si>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</si>
  <si>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</si>
  <si>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</si>
  <si>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</si>
  <si>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</si>
  <si>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</si>
  <si>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</si>
  <si>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</si>
  <si>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</si>
  <si>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</si>
  <si>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</si>
  <si>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</si>
  <si>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</si>
  <si>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</si>
  <si>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</si>
  <si>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</si>
  <si>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</si>
  <si>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</si>
  <si>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</si>
  <si>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</si>
  <si>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</si>
  <si>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</si>
  <si>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</si>
  <si>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</si>
  <si>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</si>
  <si>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</si>
  <si>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</si>
  <si>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</si>
  <si>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</si>
  <si>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</si>
  <si>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</si>
  <si>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</si>
  <si>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</si>
  <si>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</si>
  <si>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</si>
  <si>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</si>
  <si>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</si>
  <si>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</si>
  <si>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</si>
  <si>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</si>
  <si>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</si>
  <si>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</si>
  <si>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</si>
  <si>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</si>
  <si>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</si>
  <si>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</si>
  <si>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</si>
  <si>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</si>
  <si>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</si>
  <si>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</si>
  <si>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</si>
  <si>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</si>
  <si>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</si>
  <si>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</si>
  <si>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</si>
  <si>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</si>
  <si>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</si>
  <si>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</si>
  <si>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</si>
  <si>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</si>
  <si>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</si>
  <si>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</si>
  <si>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</si>
  <si>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</si>
  <si>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</si>
  <si>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</si>
  <si>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</si>
  <si>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</si>
  <si>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</si>
  <si>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</si>
  <si>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</si>
  <si>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</si>
  <si>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</si>
  <si>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</si>
  <si>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</si>
  <si>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</si>
  <si>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</si>
  <si>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</si>
  <si>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</si>
  <si>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</si>
  <si>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</si>
  <si>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</si>
  <si>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</si>
  <si>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</si>
  <si>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</si>
  <si>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</si>
  <si>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</si>
  <si>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</si>
  <si>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</si>
  <si>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</si>
  <si>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</si>
  <si>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</si>
  <si>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</si>
  <si>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</si>
  <si>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</si>
  <si>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</si>
  <si>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</si>
  <si>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</si>
  <si>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</si>
  <si>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</si>
  <si>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</si>
  <si>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</si>
  <si>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</si>
  <si>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</si>
  <si>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</si>
  <si>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</si>
  <si>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</si>
  <si>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</si>
  <si>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</si>
  <si>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</si>
  <si>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</si>
  <si>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</si>
  <si>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</si>
  <si>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</si>
  <si>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</si>
  <si>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</si>
  <si>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</si>
  <si>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</si>
  <si>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</si>
  <si>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</si>
  <si>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</si>
  <si>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</si>
  <si>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</si>
  <si>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</si>
  <si>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</si>
  <si>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</si>
  <si>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</si>
  <si>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</si>
  <si>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</si>
  <si>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</si>
  <si>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</si>
  <si>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</si>
  <si>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</si>
  <si>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</si>
  <si>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</si>
  <si>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</si>
  <si>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</si>
  <si>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</si>
  <si>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</si>
  <si>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</si>
  <si>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</si>
  <si>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</si>
  <si>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</si>
  <si>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</si>
  <si>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</si>
  <si>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</si>
  <si>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</si>
  <si>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</si>
  <si>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</si>
  <si>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</si>
  <si>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</si>
  <si>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</si>
  <si>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</si>
  <si>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</si>
  <si>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</si>
  <si>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</si>
  <si>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</si>
  <si>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</si>
  <si>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</si>
  <si>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</si>
  <si>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</si>
  <si>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</si>
  <si>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</si>
  <si>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</si>
  <si>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</si>
  <si>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</si>
  <si>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</si>
  <si>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</si>
  <si>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</si>
  <si>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</si>
  <si>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</si>
  <si>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</si>
  <si>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</si>
  <si>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</si>
  <si>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</si>
  <si>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</si>
  <si>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</si>
  <si>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</si>
  <si>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</si>
  <si>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</si>
  <si>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</si>
  <si>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</si>
  <si>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</si>
  <si>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</si>
  <si>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</si>
  <si>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</si>
  <si>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</si>
  <si>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</si>
  <si>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</si>
  <si>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</si>
  <si>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</si>
  <si>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</si>
  <si>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</si>
  <si>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</si>
  <si>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</si>
  <si>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</si>
  <si>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</si>
  <si>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</si>
  <si>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</si>
  <si>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</si>
  <si>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</si>
  <si>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</si>
  <si>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</si>
  <si>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</si>
  <si>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</si>
  <si>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</si>
  <si>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</si>
  <si>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</si>
  <si>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</si>
  <si>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</si>
  <si>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</si>
  <si>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</si>
  <si>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</si>
  <si>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</si>
  <si>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</si>
  <si>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</si>
  <si>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</si>
  <si>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</si>
  <si>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</si>
  <si>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</si>
  <si>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</si>
  <si>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</si>
  <si>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</si>
  <si>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</si>
  <si>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</si>
  <si>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</si>
  <si>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</si>
  <si>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</si>
  <si>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</si>
  <si>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</si>
  <si>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</si>
  <si>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</si>
  <si>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</si>
  <si>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</si>
  <si>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</si>
  <si>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</si>
  <si>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</si>
  <si>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</si>
  <si>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</si>
  <si>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</si>
  <si>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</si>
  <si>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</si>
  <si>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</si>
  <si>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</si>
  <si>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</si>
  <si>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</si>
  <si>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</si>
  <si>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</si>
  <si>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</si>
  <si>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</si>
  <si>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</si>
  <si>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</si>
  <si>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</si>
  <si>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</si>
  <si>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</si>
  <si>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</si>
  <si>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</si>
  <si>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</si>
  <si>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</si>
  <si>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</si>
  <si>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</si>
  <si>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</si>
  <si>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</si>
  <si>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</si>
  <si>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</si>
  <si>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</si>
  <si>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</si>
  <si>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</si>
  <si>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</si>
  <si>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</si>
  <si>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</si>
  <si>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</si>
  <si>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</si>
  <si>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</si>
  <si>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</si>
  <si>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</si>
  <si>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</si>
  <si>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</si>
  <si>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</si>
  <si>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</si>
  <si>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</si>
  <si>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</si>
  <si>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</si>
  <si>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</si>
  <si>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</si>
  <si>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</si>
  <si>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</si>
  <si>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</si>
  <si>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</si>
  <si>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</si>
  <si>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</si>
  <si>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</si>
  <si>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</si>
  <si>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</si>
  <si>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</si>
  <si>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</si>
  <si>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</si>
  <si>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</si>
  <si>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</si>
  <si>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</si>
  <si>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</si>
  <si>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</si>
  <si>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</si>
  <si>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</si>
  <si>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</si>
  <si>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</si>
  <si>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</si>
  <si>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</si>
  <si>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</si>
  <si>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</si>
  <si>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</si>
  <si>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</si>
  <si>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</si>
  <si>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</si>
  <si>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</si>
  <si>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</si>
  <si>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</si>
  <si>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</si>
  <si>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</si>
  <si>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</si>
  <si>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</si>
  <si>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</si>
  <si>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</si>
  <si>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</si>
  <si>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</si>
  <si>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</si>
  <si>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</si>
  <si>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</si>
  <si>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</si>
  <si>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</si>
  <si>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</si>
  <si>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</si>
  <si>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</si>
  <si>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</si>
  <si>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</si>
  <si>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</si>
  <si>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</si>
  <si>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</si>
  <si>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</si>
  <si>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</si>
  <si>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</si>
  <si>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</si>
  <si>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</si>
  <si>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</si>
  <si>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</si>
  <si>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</si>
  <si>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</si>
  <si>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</si>
  <si>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</si>
  <si>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</si>
  <si>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</si>
  <si>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</si>
  <si>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</si>
  <si>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</si>
  <si>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</si>
  <si>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</si>
  <si>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</si>
  <si>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</si>
  <si>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</si>
  <si>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</si>
  <si>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</si>
  <si>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</si>
  <si>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</si>
  <si>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</si>
  <si>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</si>
  <si>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</si>
  <si>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</si>
  <si>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</si>
  <si>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</si>
  <si>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</si>
  <si>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</si>
  <si>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</si>
  <si>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</si>
  <si>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</si>
  <si>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</si>
  <si>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</si>
  <si>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</si>
  <si>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</si>
  <si>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</si>
  <si>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</si>
  <si>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</si>
  <si>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</si>
  <si>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</si>
  <si>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</si>
  <si>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</si>
  <si>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</si>
  <si>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</si>
  <si>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</si>
  <si>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</si>
  <si>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</si>
  <si>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</si>
  <si>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</si>
  <si>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</si>
  <si>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</si>
  <si>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</si>
  <si>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</si>
  <si>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</si>
  <si>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</si>
  <si>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</si>
  <si>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</si>
  <si>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</si>
  <si>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</si>
  <si>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</si>
  <si>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</si>
  <si>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</si>
  <si>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</si>
  <si>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</si>
  <si>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</si>
  <si>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</si>
  <si>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</si>
  <si>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</si>
  <si>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</si>
  <si>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</si>
  <si>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</si>
  <si>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</si>
  <si>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</si>
  <si>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</si>
  <si>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</si>
  <si>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</si>
  <si>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</si>
  <si>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</si>
  <si>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</si>
  <si>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</si>
  <si>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</si>
  <si>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</si>
  <si>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</si>
  <si>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</si>
  <si>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</si>
  <si>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</si>
  <si>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</si>
  <si>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</si>
  <si>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</si>
  <si>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</si>
  <si>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</si>
  <si>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</si>
  <si>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</si>
  <si>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</si>
  <si>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</si>
  <si>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</si>
  <si>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</si>
  <si>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</si>
  <si>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</si>
  <si>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</si>
  <si>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</si>
  <si>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</si>
  <si>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</si>
  <si>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</si>
  <si>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</si>
  <si>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</si>
  <si>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</si>
  <si>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</si>
  <si>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</si>
  <si>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</si>
  <si>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</si>
  <si>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</si>
  <si>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</si>
  <si>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</si>
  <si>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</si>
  <si>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</si>
  <si>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</si>
  <si>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</si>
  <si>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</si>
  <si>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</si>
  <si>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</si>
  <si>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</si>
  <si>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</si>
  <si>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</si>
  <si>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</si>
  <si>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</si>
  <si>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</si>
  <si>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</si>
  <si>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</si>
  <si>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</si>
  <si>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</si>
  <si>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</si>
  <si>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</si>
  <si>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</si>
  <si>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</si>
  <si>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</si>
  <si>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</si>
  <si>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</si>
  <si>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</si>
  <si>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</si>
  <si>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</si>
  <si>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</si>
  <si>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</si>
  <si>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</si>
  <si>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</si>
  <si>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</si>
  <si>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</si>
  <si>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</si>
  <si>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</si>
  <si>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</si>
  <si>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</si>
  <si>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</si>
  <si>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</si>
  <si>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</si>
  <si>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</si>
  <si>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</si>
  <si>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</si>
  <si>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</si>
  <si>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</si>
  <si>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</si>
  <si>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</si>
  <si>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</si>
  <si>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</si>
  <si>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</si>
  <si>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</si>
  <si>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</si>
  <si>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</si>
  <si>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</si>
  <si>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</si>
  <si>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</si>
  <si>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</si>
  <si>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</si>
  <si>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</si>
  <si>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</si>
  <si>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</si>
  <si>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</si>
  <si>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</si>
  <si>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</si>
  <si>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</si>
  <si>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</si>
  <si>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</si>
  <si>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</si>
  <si>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</si>
  <si>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</si>
  <si>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</si>
  <si>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</si>
  <si>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</si>
  <si>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</si>
  <si>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</si>
  <si>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</si>
  <si>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</si>
  <si>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</si>
  <si>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</si>
  <si>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</si>
  <si>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</si>
  <si>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</si>
  <si>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</si>
  <si>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</si>
  <si>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</si>
  <si>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</si>
  <si>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</si>
  <si>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</si>
  <si>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</si>
  <si>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</si>
  <si>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</si>
  <si>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</si>
  <si>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</si>
  <si>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</si>
  <si>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</si>
  <si>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</si>
  <si>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</si>
  <si>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</si>
  <si>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</si>
  <si>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</si>
  <si>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</si>
  <si>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</si>
  <si>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</si>
  <si>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</si>
  <si>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</si>
  <si>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</si>
  <si>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</si>
  <si>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</si>
  <si>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</si>
  <si>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</si>
  <si>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</si>
  <si>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</si>
  <si>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</si>
  <si>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</si>
  <si>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</si>
  <si>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</si>
  <si>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</si>
  <si>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</si>
  <si>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</si>
  <si>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</si>
  <si>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</si>
  <si>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</si>
  <si>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</si>
  <si>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</si>
  <si>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</si>
  <si>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</si>
  <si>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</si>
  <si>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</si>
  <si>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</si>
  <si>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</si>
  <si>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</si>
  <si>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</si>
  <si>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</si>
  <si>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</si>
  <si>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</si>
  <si>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</si>
  <si>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</si>
  <si>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</si>
  <si>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</si>
  <si>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</si>
  <si>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</si>
  <si>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</si>
  <si>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</si>
  <si>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</si>
  <si>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</si>
  <si>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</si>
  <si>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</si>
  <si>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</si>
  <si>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</si>
  <si>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</si>
  <si>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</si>
  <si>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</si>
  <si>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</si>
  <si>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</si>
  <si>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</si>
  <si>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</si>
  <si>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</si>
  <si>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</si>
  <si>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</si>
  <si>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</si>
  <si>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</si>
  <si>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</si>
  <si>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</si>
  <si>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</si>
  <si>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</si>
  <si>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</si>
  <si>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</si>
  <si>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</si>
  <si>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</si>
  <si>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</si>
  <si>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</si>
  <si>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</si>
  <si>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</si>
  <si>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</si>
  <si>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</si>
  <si>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</si>
  <si>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</si>
  <si>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</si>
  <si>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</si>
  <si>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</si>
  <si>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</si>
  <si>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</si>
  <si>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</si>
  <si>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</si>
  <si>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</si>
  <si>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</si>
  <si>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</si>
  <si>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</si>
  <si>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</si>
  <si>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</si>
  <si>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</si>
  <si>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</si>
  <si>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</si>
  <si>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</si>
  <si>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</si>
  <si>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</si>
  <si>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</si>
  <si>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</si>
  <si>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</si>
  <si>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</si>
  <si>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</si>
  <si>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</si>
  <si>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</si>
  <si>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</si>
  <si>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</si>
  <si>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</si>
  <si>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</si>
  <si>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</si>
  <si>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</si>
  <si>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</si>
  <si>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</si>
  <si>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</si>
  <si>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</si>
  <si>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</si>
  <si>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</si>
  <si>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</si>
  <si>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</si>
  <si>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</si>
  <si>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</si>
  <si>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</si>
  <si>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</si>
  <si>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</si>
  <si>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</si>
  <si>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</si>
  <si>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</si>
  <si>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</si>
  <si>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</si>
  <si>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</si>
  <si>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</si>
  <si>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</si>
  <si>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</si>
  <si>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</si>
  <si>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</si>
  <si>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</si>
  <si>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</si>
  <si>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</si>
  <si>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</si>
  <si>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</si>
  <si>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</si>
  <si>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</si>
  <si>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</si>
  <si>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</si>
  <si>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</si>
  <si>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</si>
  <si>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</si>
  <si>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</si>
  <si>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</si>
  <si>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</si>
  <si>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</si>
  <si>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</si>
  <si>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</si>
  <si>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</si>
  <si>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</si>
  <si>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</si>
  <si>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</si>
  <si>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</si>
  <si>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</si>
  <si>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</si>
  <si>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</si>
  <si>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</si>
  <si>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</si>
  <si>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</si>
  <si>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</si>
  <si>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</si>
  <si>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</si>
  <si>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</si>
  <si>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</si>
  <si>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</si>
  <si>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</si>
  <si>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</si>
  <si>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</si>
  <si>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</si>
  <si>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</si>
  <si>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</si>
  <si>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</si>
  <si>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</si>
  <si>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</si>
  <si>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</si>
  <si>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</si>
  <si>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</si>
  <si>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</si>
  <si>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</si>
  <si>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</si>
  <si>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</si>
  <si>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</si>
  <si>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</si>
  <si>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</si>
  <si>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</si>
  <si>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</si>
  <si>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</si>
  <si>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</si>
  <si>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</si>
  <si>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</si>
  <si>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</si>
  <si>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</si>
  <si>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</si>
  <si>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</si>
  <si>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</si>
  <si>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</si>
  <si>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</si>
  <si>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</si>
  <si>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</si>
  <si>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</si>
  <si>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</si>
  <si>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</si>
  <si>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</si>
  <si>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</si>
  <si>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</si>
  <si>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</si>
  <si>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</si>
  <si>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</si>
  <si>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</si>
  <si>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</si>
  <si>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</si>
  <si>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</si>
  <si>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</si>
  <si>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</si>
  <si>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</si>
  <si>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</si>
  <si>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</si>
  <si>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</si>
  <si>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</si>
  <si>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</si>
  <si>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</si>
  <si>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</si>
  <si>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</si>
  <si>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</si>
  <si>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</si>
  <si>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</si>
  <si>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</si>
  <si>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</si>
  <si>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</si>
  <si>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</si>
  <si>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</si>
  <si>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</si>
  <si>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</si>
  <si>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</si>
  <si>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</si>
  <si>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</si>
  <si>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</si>
  <si>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</si>
  <si>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</si>
  <si>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</si>
  <si>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</si>
  <si>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</si>
  <si>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</si>
  <si>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</si>
  <si>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</si>
  <si>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</si>
  <si>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</si>
  <si>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</si>
  <si>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</si>
  <si>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</si>
  <si>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</si>
  <si>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</si>
  <si>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</si>
  <si>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</si>
  <si>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</si>
  <si>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</si>
  <si>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</si>
  <si>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</si>
  <si>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</si>
  <si>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</si>
  <si>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</si>
  <si>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</si>
  <si>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</si>
  <si>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</si>
  <si>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</si>
  <si>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</si>
  <si>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</si>
  <si>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</si>
  <si>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</si>
  <si>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</si>
  <si>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</si>
  <si>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</si>
  <si>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</si>
  <si>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</si>
  <si>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</si>
  <si>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</si>
  <si>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</si>
  <si>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</si>
  <si>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</si>
  <si>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</si>
  <si>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</si>
  <si>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</si>
  <si>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</si>
  <si>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</si>
  <si>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</si>
  <si>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</si>
  <si>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</si>
  <si>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</si>
  <si>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</si>
  <si>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</si>
  <si>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</si>
  <si>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</si>
  <si>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</si>
  <si>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</si>
  <si>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</si>
  <si>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</si>
  <si>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</si>
  <si>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</si>
  <si>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</si>
  <si>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</si>
  <si>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</si>
  <si>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</si>
  <si>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</si>
  <si>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</si>
  <si>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</si>
  <si>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</si>
  <si>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</si>
  <si>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</si>
  <si>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</si>
  <si>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</si>
  <si>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</si>
  <si>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</si>
  <si>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</si>
  <si>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</si>
  <si>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</si>
  <si>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</si>
  <si>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</si>
  <si>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</si>
  <si>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</si>
  <si>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</si>
  <si>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</si>
  <si>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</si>
  <si>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</si>
  <si>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</si>
  <si>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</si>
  <si>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</si>
  <si>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</si>
  <si>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</si>
  <si>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</si>
  <si>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</si>
  <si>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</si>
  <si>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</si>
  <si>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</si>
  <si>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</si>
  <si>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</si>
  <si>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</si>
  <si>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</si>
  <si>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</si>
  <si>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</si>
  <si>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</si>
  <si>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</si>
  <si>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</si>
  <si>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</si>
  <si>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</si>
  <si>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</si>
  <si>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</si>
  <si>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</si>
  <si>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</si>
  <si>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</si>
  <si>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</si>
  <si>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</si>
  <si>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</si>
  <si>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</si>
  <si>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</si>
  <si>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</si>
  <si>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</si>
  <si>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</si>
  <si>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</si>
  <si>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</si>
  <si>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</si>
  <si>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</si>
  <si>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</si>
  <si>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</si>
  <si>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</si>
  <si>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</si>
  <si>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</si>
  <si>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</si>
  <si>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</si>
  <si>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</si>
  <si>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</si>
  <si>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</si>
  <si>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</si>
  <si>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</si>
  <si>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</si>
  <si>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</si>
  <si>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</si>
  <si>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</si>
  <si>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</si>
  <si>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</si>
  <si>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</si>
  <si>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</si>
  <si>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</si>
  <si>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</si>
  <si>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</si>
  <si>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</si>
  <si>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</si>
  <si>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</si>
  <si>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</si>
  <si>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</si>
  <si>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</si>
  <si>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</si>
  <si>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</si>
  <si>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</si>
  <si>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</si>
  <si>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</si>
  <si>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</si>
  <si>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</si>
  <si>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</si>
  <si>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</si>
  <si>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</si>
  <si>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</si>
  <si>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</si>
  <si>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</si>
  <si>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</si>
  <si>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</si>
  <si>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</si>
  <si>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</si>
  <si>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</si>
  <si>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</si>
  <si>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</si>
  <si>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</si>
  <si>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</si>
  <si>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</si>
  <si>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</si>
  <si>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</si>
  <si>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</si>
  <si>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</si>
  <si>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</si>
  <si>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</si>
  <si>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</si>
  <si>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</si>
  <si>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</si>
  <si>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</si>
  <si>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</si>
  <si>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</si>
  <si>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</si>
  <si>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</si>
  <si>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</si>
  <si>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</si>
  <si>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</si>
  <si>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</si>
  <si>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</si>
  <si>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</si>
  <si>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</si>
  <si>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</si>
  <si>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</si>
  <si>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</si>
  <si>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</si>
  <si>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</si>
  <si>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</si>
  <si>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</si>
  <si>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</si>
  <si>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</si>
  <si>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</si>
  <si>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</si>
  <si>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</si>
  <si>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</si>
  <si>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</si>
  <si>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</si>
  <si>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</si>
  <si>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</si>
  <si>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</si>
  <si>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</si>
  <si>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</si>
  <si>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</si>
  <si>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</si>
  <si>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</si>
  <si>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</si>
  <si>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</si>
  <si>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</si>
  <si>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</si>
  <si>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</si>
  <si>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</si>
  <si>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</si>
  <si>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</si>
  <si>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</si>
  <si>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</si>
  <si>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</si>
  <si>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</si>
  <si>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</si>
  <si>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</si>
  <si>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</si>
  <si>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</si>
  <si>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</si>
  <si>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</si>
  <si>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</si>
  <si>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</si>
  <si>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</si>
  <si>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</si>
  <si>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</si>
  <si>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</si>
  <si>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</si>
  <si>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</si>
  <si>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</si>
  <si>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</si>
  <si>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</si>
  <si>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</si>
  <si>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</si>
  <si>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</si>
  <si>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</si>
  <si>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</si>
  <si>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</si>
  <si>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</si>
  <si>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</si>
  <si>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</si>
  <si>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</si>
  <si>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</si>
  <si>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</si>
  <si>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</si>
  <si>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</si>
  <si>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</si>
  <si>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</si>
  <si>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</si>
  <si>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</si>
  <si>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</si>
  <si>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</si>
  <si>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</si>
  <si>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</si>
  <si>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</si>
  <si>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</si>
  <si>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</si>
  <si>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</si>
  <si>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</si>
  <si>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</si>
  <si>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</si>
  <si>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</si>
  <si>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</si>
  <si>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</si>
  <si>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</si>
  <si>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</si>
  <si>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</si>
  <si>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</si>
  <si>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</si>
  <si>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</si>
  <si>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</si>
  <si>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</si>
  <si>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</si>
  <si>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</si>
  <si>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</si>
  <si>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</si>
  <si>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</si>
  <si>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</si>
  <si>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</si>
  <si>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</si>
  <si>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</si>
  <si>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</si>
  <si>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</si>
  <si>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</si>
  <si>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</si>
  <si>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</si>
  <si>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</si>
  <si>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</si>
  <si>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</si>
  <si>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</si>
  <si>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</si>
  <si>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</si>
  <si>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</si>
  <si>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</si>
  <si>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</si>
  <si>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</si>
  <si>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</si>
  <si>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</si>
  <si>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</si>
  <si>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</si>
  <si>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</si>
  <si>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</si>
  <si>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</si>
  <si>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</si>
  <si>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</si>
  <si>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</si>
  <si>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</si>
  <si>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</si>
  <si>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</si>
  <si>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</si>
  <si>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</si>
  <si>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</si>
  <si>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</si>
  <si>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</si>
  <si>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</si>
  <si>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</si>
  <si>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</si>
  <si>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</si>
  <si>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</si>
  <si>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</si>
  <si>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</si>
  <si>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</si>
  <si>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</si>
  <si>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</si>
  <si>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</si>
  <si>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</si>
  <si>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</si>
  <si>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</si>
  <si>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</si>
  <si>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</si>
  <si>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</si>
  <si>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</si>
  <si>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</si>
  <si>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</si>
  <si>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</si>
  <si>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</si>
  <si>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</si>
  <si>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</si>
  <si>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</si>
  <si>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</si>
  <si>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</si>
  <si>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</si>
  <si>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</si>
  <si>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</si>
  <si>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</si>
  <si>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</si>
  <si>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</si>
  <si>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</si>
  <si>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</si>
  <si>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</si>
  <si>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</si>
  <si>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</si>
  <si>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</si>
  <si>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</si>
  <si>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</si>
  <si>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</si>
  <si>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</si>
  <si>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</si>
  <si>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</si>
  <si>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</si>
  <si>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</si>
  <si>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</si>
  <si>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</si>
  <si>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</si>
  <si>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</si>
  <si>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</si>
  <si>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</si>
  <si>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</si>
  <si>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</si>
  <si>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</si>
  <si>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</si>
  <si>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</si>
  <si>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</si>
  <si>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</si>
  <si>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</si>
  <si>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</si>
  <si>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</si>
  <si>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</si>
  <si>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</si>
  <si>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</si>
  <si>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</si>
  <si>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</si>
  <si>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</si>
  <si>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</si>
  <si>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</si>
  <si>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</si>
  <si>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</si>
  <si>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</si>
  <si>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</si>
  <si>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</si>
  <si>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</si>
  <si>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</si>
  <si>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</si>
  <si>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</si>
  <si>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</si>
  <si>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</si>
  <si>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</si>
  <si>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</si>
  <si>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</si>
  <si>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</si>
  <si>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</si>
  <si>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</si>
  <si>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</si>
  <si>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</si>
  <si>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</si>
  <si>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</si>
  <si>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</si>
  <si>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</si>
  <si>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</si>
  <si>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</si>
  <si>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</si>
  <si>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</si>
  <si>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</si>
  <si>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</si>
  <si>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</si>
  <si>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</si>
  <si>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</si>
  <si>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</si>
  <si>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</si>
  <si>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</si>
  <si>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</si>
  <si>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</si>
  <si>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</si>
  <si>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</si>
  <si>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</si>
  <si>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</si>
  <si>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</si>
  <si>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</si>
  <si>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</si>
  <si>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</si>
  <si>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</si>
  <si>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</si>
  <si>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</si>
  <si>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</si>
  <si>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</si>
  <si>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</si>
  <si>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</si>
  <si>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</si>
  <si>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</si>
  <si>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</si>
  <si>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</si>
  <si>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</si>
  <si>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</si>
  <si>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</si>
  <si>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</si>
  <si>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</si>
  <si>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</si>
  <si>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</si>
  <si>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</si>
  <si>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</si>
  <si>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</si>
  <si>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</si>
  <si>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</si>
  <si>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</si>
  <si>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</si>
  <si>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</si>
  <si>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</si>
  <si>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</si>
  <si>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</si>
  <si>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</si>
  <si>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</si>
  <si>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</si>
  <si>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</si>
  <si>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</si>
  <si>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</si>
  <si>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</si>
  <si>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</si>
  <si>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</si>
  <si>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</si>
  <si>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</si>
  <si>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</si>
  <si>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</si>
  <si>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</si>
  <si>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</si>
  <si>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</si>
  <si>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</si>
  <si>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</si>
  <si>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</si>
  <si>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</si>
  <si>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</si>
  <si>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</si>
  <si>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</si>
  <si>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</si>
  <si>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</si>
  <si>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</si>
  <si>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</si>
  <si>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</si>
  <si>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</si>
  <si>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</si>
  <si>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</si>
  <si>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</si>
  <si>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</si>
  <si>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</si>
  <si>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</si>
  <si>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</si>
  <si>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</si>
  <si>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</si>
  <si>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</si>
  <si>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</si>
  <si>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</si>
  <si>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</si>
  <si>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</si>
  <si>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</si>
  <si>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</si>
  <si>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</si>
  <si>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</si>
  <si>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</si>
  <si>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</si>
  <si>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</si>
  <si>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</si>
  <si>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</si>
  <si>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</si>
  <si>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</si>
  <si>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</si>
  <si>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</si>
  <si>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</si>
  <si>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</si>
  <si>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</si>
  <si>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</si>
  <si>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</si>
  <si>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</si>
  <si>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</si>
  <si>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</si>
  <si>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</si>
  <si>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</si>
  <si>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</si>
  <si>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</si>
  <si>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</si>
  <si>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</si>
  <si>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</si>
  <si>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</si>
  <si>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</si>
  <si>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</si>
  <si>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</si>
  <si>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</si>
  <si>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</si>
  <si>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</si>
  <si>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</si>
  <si>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</si>
  <si>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</si>
  <si>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</si>
  <si>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</si>
  <si>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</si>
  <si>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</si>
  <si>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</si>
  <si>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</si>
  <si>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</si>
  <si>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</si>
  <si>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</si>
  <si>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</si>
  <si>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</si>
  <si>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</si>
  <si>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</si>
  <si>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</si>
  <si>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</si>
  <si>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</si>
  <si>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</si>
  <si>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</si>
  <si>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</si>
  <si>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</si>
  <si>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</si>
  <si>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</si>
  <si>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</si>
  <si>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</si>
  <si>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</si>
  <si>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</si>
  <si>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</si>
  <si>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</si>
  <si>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</si>
  <si>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</si>
  <si>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</si>
  <si>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</si>
  <si>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</si>
  <si>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</si>
  <si>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</si>
  <si>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</si>
  <si>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</si>
  <si>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</si>
  <si>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</si>
  <si>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</si>
  <si>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</si>
  <si>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</si>
  <si>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</si>
  <si>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</si>
  <si>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</si>
  <si>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</si>
  <si>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</si>
  <si>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</si>
  <si>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</si>
  <si>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</si>
  <si>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</si>
  <si>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</si>
  <si>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</si>
  <si>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</si>
  <si>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</si>
  <si>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</si>
  <si>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</si>
  <si>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</si>
  <si>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</si>
  <si>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</si>
  <si>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</si>
  <si>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</si>
  <si>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</si>
  <si>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</si>
  <si>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</si>
  <si>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</si>
  <si>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</si>
  <si>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</si>
  <si>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</si>
  <si>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</si>
  <si>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</si>
  <si>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</si>
  <si>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</si>
  <si>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</si>
  <si>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</si>
  <si>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</si>
  <si>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</si>
  <si>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</si>
  <si>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</si>
  <si>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</si>
  <si>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</si>
  <si>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</si>
  <si>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</si>
  <si>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</si>
  <si>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</si>
  <si>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</si>
  <si>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</si>
  <si>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</si>
  <si>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</si>
  <si>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</si>
  <si>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</si>
  <si>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</si>
  <si>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</si>
  <si>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</si>
  <si>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</si>
  <si>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</si>
  <si>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</si>
  <si>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</si>
  <si>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</si>
  <si>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</si>
  <si>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</si>
  <si>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</si>
  <si>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</si>
  <si>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</si>
  <si>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</si>
  <si>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</si>
  <si>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</si>
  <si>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</si>
  <si>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</si>
  <si>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</si>
  <si>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</si>
  <si>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</si>
  <si>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</si>
  <si>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</si>
  <si>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</si>
  <si>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</si>
  <si>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</si>
  <si>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</si>
  <si>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</si>
  <si>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</si>
  <si>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</si>
  <si>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</si>
  <si>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</si>
  <si>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</si>
  <si>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</si>
  <si>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</si>
  <si>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</si>
  <si>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</si>
  <si>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</si>
  <si>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</si>
  <si>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</si>
  <si>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</si>
  <si>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</si>
  <si>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</si>
  <si>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</si>
  <si>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</si>
  <si>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</si>
  <si>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</si>
  <si>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</si>
  <si>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</si>
  <si>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</si>
  <si>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</si>
  <si>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</si>
  <si>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</si>
  <si>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</si>
  <si>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</si>
  <si>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</si>
  <si>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</si>
  <si>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</si>
  <si>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</si>
  <si>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</si>
  <si>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</si>
  <si>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</si>
  <si>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</si>
  <si>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</si>
  <si>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</si>
  <si>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</si>
  <si>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</si>
  <si>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</si>
  <si>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</si>
  <si>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</si>
  <si>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</si>
  <si>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</si>
  <si>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</si>
  <si>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</si>
  <si>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</si>
  <si>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</si>
  <si>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</si>
  <si>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</si>
  <si>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</si>
  <si>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</si>
  <si>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</si>
  <si>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</si>
  <si>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</si>
  <si>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</si>
  <si>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</si>
  <si>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</si>
  <si>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</si>
  <si>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</si>
  <si>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</si>
  <si>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</si>
  <si>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</si>
  <si>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</si>
  <si>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</si>
  <si>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</si>
  <si>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</si>
  <si>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</si>
  <si>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</si>
  <si>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</si>
  <si>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</si>
  <si>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</si>
  <si>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</si>
  <si>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</si>
  <si>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</si>
  <si>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</si>
  <si>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</si>
  <si>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</si>
  <si>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</si>
  <si>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</si>
  <si>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</si>
  <si>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</si>
  <si>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</si>
  <si>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</si>
  <si>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</si>
  <si>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</si>
  <si>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</si>
  <si>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</si>
  <si>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</si>
  <si>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</si>
  <si>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</si>
  <si>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</si>
  <si>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</si>
  <si>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</si>
  <si>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</si>
  <si>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</si>
  <si>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</si>
  <si>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</si>
  <si>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</si>
  <si>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</si>
  <si>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</si>
  <si>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</si>
  <si>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</si>
  <si>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</si>
  <si>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</si>
  <si>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</si>
  <si>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</si>
  <si>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</si>
  <si>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</si>
  <si>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</si>
  <si>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</si>
  <si>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</si>
  <si>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</si>
  <si>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</si>
  <si>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</si>
  <si>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</si>
  <si>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</si>
  <si>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</si>
  <si>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</si>
  <si>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</si>
  <si>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</si>
  <si>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</si>
  <si>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</si>
  <si>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</si>
  <si>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</si>
  <si>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</si>
  <si>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</si>
  <si>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</si>
  <si>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</si>
  <si>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</si>
  <si>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</si>
  <si>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</si>
  <si>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</si>
  <si>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</si>
  <si>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</si>
  <si>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</si>
  <si>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</si>
  <si>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</si>
  <si>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</si>
  <si>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</si>
  <si>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</si>
  <si>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</si>
  <si>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</si>
  <si>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</si>
  <si>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</si>
  <si>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</si>
  <si>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</si>
  <si>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</si>
  <si>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</si>
  <si>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</si>
  <si>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</si>
  <si>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</si>
  <si>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</si>
  <si>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</si>
  <si>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</si>
  <si>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</si>
  <si>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</si>
  <si>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</si>
  <si>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</si>
  <si>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</si>
  <si>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</si>
  <si>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</si>
  <si>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</si>
  <si>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陈颖</t>
  </si>
  <si>
    <t>核定资产</t>
  </si>
  <si>
    <t>房地产市场价值</t>
  </si>
  <si>
    <t>地上</t>
  </si>
  <si>
    <t>是</t>
  </si>
  <si>
    <t>住宅</t>
    <phoneticPr fontId="7" type="noConversion"/>
  </si>
  <si>
    <t>成新度</t>
  </si>
  <si>
    <t>自定义容积率</t>
  </si>
  <si>
    <t>按公示增长率计算</t>
  </si>
  <si>
    <t>不临65条商业街</t>
  </si>
  <si>
    <t>有</t>
  </si>
  <si>
    <t>500米范围内</t>
  </si>
  <si>
    <t>与级别开发程度一致</t>
  </si>
  <si>
    <t>中心城区以外</t>
  </si>
  <si>
    <t>较好</t>
  </si>
  <si>
    <t>较差</t>
  </si>
  <si>
    <t>好</t>
  </si>
  <si>
    <t>一般</t>
  </si>
  <si>
    <t>收益法 (元)</t>
  </si>
  <si>
    <t>押一</t>
  </si>
  <si>
    <t>未包含在土地购买价格中</t>
  </si>
  <si>
    <t>已包含在土地取得成本中</t>
  </si>
  <si>
    <t>比较法-住宅</t>
  </si>
  <si>
    <t>成本法 (元)</t>
  </si>
  <si>
    <t>砖混</t>
  </si>
  <si>
    <t>非生产用房</t>
  </si>
  <si>
    <t>否</t>
  </si>
  <si>
    <t>单套模式</t>
  </si>
  <si>
    <t>售价</t>
  </si>
  <si>
    <t>正常</t>
  </si>
  <si>
    <t>住宅</t>
    <phoneticPr fontId="24" type="noConversion"/>
  </si>
  <si>
    <t>甜水园东里20号楼1层1单元102</t>
    <phoneticPr fontId="3" type="noConversion"/>
  </si>
  <si>
    <t>序号</t>
  </si>
  <si>
    <t>协议号</t>
  </si>
  <si>
    <t>委托方</t>
  </si>
  <si>
    <t>区县</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</si>
  <si>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</si>
  <si>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</si>
  <si>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</si>
  <si>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</si>
  <si>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</si>
  <si>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</si>
  <si>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</si>
  <si>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</si>
  <si>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</si>
  <si>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</si>
  <si>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</si>
  <si>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</si>
  <si>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</si>
  <si>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</si>
  <si>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2025-3-44340-RB</t>
  </si>
  <si>
    <t>北京银行股份有限公司</t>
  </si>
  <si>
    <t>北京市朝阳区</t>
  </si>
  <si>
    <t>甜水园东里甲24号楼6层1门601</t>
  </si>
  <si>
    <t>甜水园东里</t>
  </si>
  <si>
    <t>商品房</t>
  </si>
  <si>
    <t>2025-3-43203-RB</t>
  </si>
  <si>
    <t>招商银行北京分行</t>
  </si>
  <si>
    <t>甜水园东里45号楼7层1门701</t>
  </si>
  <si>
    <t>房改房（成本价）</t>
  </si>
  <si>
    <t>2025-3-38373-RB</t>
  </si>
  <si>
    <t>邓启程</t>
  </si>
  <si>
    <t>甜水园东里45号楼10层1门1001</t>
  </si>
  <si>
    <t>郑宇</t>
  </si>
  <si>
    <t>2025-3-38322-RB</t>
  </si>
  <si>
    <t>杨立君</t>
  </si>
  <si>
    <t>甜水园东里16号楼3层1门302</t>
  </si>
  <si>
    <t>2025-3-35573-RB</t>
  </si>
  <si>
    <t>甜水园东里9号楼4层1门401</t>
  </si>
  <si>
    <t>2025-3-34547-RB</t>
  </si>
  <si>
    <t>何晓雨</t>
  </si>
  <si>
    <t>甜水园东里18号楼4层1门401</t>
  </si>
  <si>
    <t>2025-3-34306-RB</t>
  </si>
  <si>
    <t>田梦婵</t>
  </si>
  <si>
    <t>甜水园东里4号楼2层3</t>
  </si>
  <si>
    <t>2025-3-33815-RB</t>
  </si>
  <si>
    <t>中信银行北京分行</t>
  </si>
  <si>
    <t>甜水园东里17号楼3层2单元2</t>
  </si>
  <si>
    <t>2025-3-30986-RB</t>
  </si>
  <si>
    <t>甜水园东里5号楼3层302</t>
  </si>
  <si>
    <t>2025-3-29699-RB</t>
  </si>
  <si>
    <t>王乃丹</t>
  </si>
  <si>
    <t>甜水园东里9号楼6层4门601</t>
  </si>
  <si>
    <t>竣工1988，登记表1986，谨慎出1986</t>
  </si>
  <si>
    <t>2025-3-28652-RB</t>
  </si>
  <si>
    <t>甜水园东里4号楼4层405</t>
  </si>
  <si>
    <t>2025-3-25910-RB</t>
  </si>
  <si>
    <t>张雨鑫、戴希</t>
  </si>
  <si>
    <t>甜水园东里45号楼2层6门202</t>
  </si>
  <si>
    <t>2025-3-18890-RB</t>
  </si>
  <si>
    <t>彭航宇</t>
  </si>
  <si>
    <t>甜水园东里46号楼2层11门201</t>
  </si>
  <si>
    <t>2025-3-18781-RB</t>
  </si>
  <si>
    <t>吴林芬</t>
  </si>
  <si>
    <t>甜水园东里24号楼6层1门601</t>
  </si>
  <si>
    <t>李维琛</t>
  </si>
  <si>
    <t>2025-3-17322-RB</t>
  </si>
  <si>
    <t>李北煌</t>
  </si>
  <si>
    <t>甜水园东里45号楼4层8门401</t>
  </si>
  <si>
    <t>楼层</t>
    <phoneticPr fontId="24" type="noConversion"/>
  </si>
  <si>
    <t>南北</t>
  </si>
  <si>
    <t>南北</t>
    <phoneticPr fontId="24" type="noConversion"/>
  </si>
  <si>
    <t>1/6</t>
    <phoneticPr fontId="24" type="noConversion"/>
  </si>
  <si>
    <t>6/6</t>
    <phoneticPr fontId="24" type="noConversion"/>
  </si>
  <si>
    <t>4/6</t>
    <phoneticPr fontId="24" type="noConversion"/>
  </si>
  <si>
    <t>南北东</t>
  </si>
  <si>
    <t>南北东</t>
    <phoneticPr fontId="24" type="noConversion"/>
  </si>
  <si>
    <t>南北西</t>
    <phoneticPr fontId="24" type="noConversion"/>
  </si>
  <si>
    <t>东南</t>
    <phoneticPr fontId="24" type="noConversion"/>
  </si>
  <si>
    <t>西南</t>
    <phoneticPr fontId="24" type="noConversion"/>
  </si>
  <si>
    <t>南</t>
    <phoneticPr fontId="24" type="noConversion"/>
  </si>
  <si>
    <t>东西</t>
  </si>
  <si>
    <t>东西</t>
    <phoneticPr fontId="24" type="noConversion"/>
  </si>
  <si>
    <t>混合</t>
  </si>
  <si>
    <t>混合</t>
    <phoneticPr fontId="24" type="noConversion"/>
  </si>
  <si>
    <t>一般装修</t>
  </si>
  <si>
    <t>一般装修</t>
    <phoneticPr fontId="24" type="noConversion"/>
  </si>
  <si>
    <t>七通</t>
    <phoneticPr fontId="24" type="noConversion"/>
  </si>
  <si>
    <t>平层</t>
    <phoneticPr fontId="24" type="noConversion"/>
  </si>
  <si>
    <t>一般装修</t>
    <phoneticPr fontId="24" type="noConversion"/>
  </si>
  <si>
    <t>简单装修</t>
  </si>
  <si>
    <t>简单装修</t>
    <phoneticPr fontId="24" type="noConversion"/>
  </si>
  <si>
    <t>多层板楼</t>
  </si>
  <si>
    <t>多层板楼</t>
    <phoneticPr fontId="24" type="noConversion"/>
  </si>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</sst>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theme="8"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73"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272" fillId="22" borderId="177"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31" fontId="273" fillId="24" borderId="176"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protection locked="0"/>
    </xf>
    <xf numFmtId="58" fontId="128" fillId="0" borderId="41"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160020</xdr:rowOff>
    </xdr:from>
    <xdr:to>
      <xdr:col>9</xdr:col>
      <xdr:colOff>170743</xdr:colOff>
      <xdr:row>33</xdr:row>
      <xdr:rowOff>146298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82740"/>
          <a:ext cx="5657143" cy="3095238"/>
        </a:xfrm>
        <a:prstGeom prst="rect">
          <a:avLst/>
        </a:prstGeom>
      </xdr:spPr>
    </xdr:pic>
    <xdr:clientData/>
  </xdr:twoCellAnchor>
  <xdr:twoCellAnchor editAs="oneCell">
    <xdr:from>
      <xdr:col>0</xdr:col>
      <xdr:colOff>0</xdr:colOff>
      <xdr:row>34</xdr:row>
      <xdr:rowOff>0</xdr:rowOff>
    </xdr:from>
    <xdr:to>
      <xdr:col>17</xdr:col>
      <xdr:colOff>636800</xdr:colOff>
      <xdr:row>48</xdr:row>
      <xdr:rowOff>1585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814560"/>
          <a:ext cx="11000000" cy="2561905"/>
        </a:xfrm>
        <a:prstGeom prst="rect">
          <a:avLst/>
        </a:prstGeom>
      </xdr:spPr>
    </xdr:pic>
    <xdr:clientData/>
  </xdr:twoCellAnchor>
  <xdr:twoCellAnchor editAs="oneCell">
    <xdr:from>
      <xdr:col>0</xdr:col>
      <xdr:colOff>0</xdr:colOff>
      <xdr:row>62</xdr:row>
      <xdr:rowOff>45720</xdr:rowOff>
    </xdr:from>
    <xdr:to>
      <xdr:col>17</xdr:col>
      <xdr:colOff>779657</xdr:colOff>
      <xdr:row>75</xdr:row>
      <xdr:rowOff>106375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4980920"/>
          <a:ext cx="11142857" cy="2438095"/>
        </a:xfrm>
        <a:prstGeom prst="rect">
          <a:avLst/>
        </a:prstGeom>
      </xdr:spPr>
    </xdr:pic>
    <xdr:clientData/>
  </xdr:twoCellAnchor>
  <xdr:twoCellAnchor editAs="oneCell">
    <xdr:from>
      <xdr:col>0</xdr:col>
      <xdr:colOff>0</xdr:colOff>
      <xdr:row>49</xdr:row>
      <xdr:rowOff>0</xdr:rowOff>
    </xdr:from>
    <xdr:to>
      <xdr:col>17</xdr:col>
      <xdr:colOff>589181</xdr:colOff>
      <xdr:row>60</xdr:row>
      <xdr:rowOff>169272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2557760"/>
          <a:ext cx="10952381" cy="2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房地产市场价值预评估</v>
      </c>
    </row>
    <row r="3" spans="1:2" s="1203" customFormat="1">
      <c r="A3" s="1201" t="s">
        <v>523</v>
      </c>
      <c r="B3" s="1202">
        <f>'预评函-封皮'!B40</f>
        <v>0</v>
      </c>
    </row>
    <row r="4" spans="1:2" s="1203" customFormat="1">
      <c r="A4" s="1201" t="s">
        <v>524</v>
      </c>
      <c r="B4" s="1202" t="str">
        <f ca="1">'预评函-封皮'!B46</f>
        <v>陈颖（注册号：0)、（注册号：0)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受贵公司委托，我公司对房地产市场价值进行了预评估。</v>
      </c>
    </row>
    <row r="7" spans="1:2" s="1203" customFormat="1">
      <c r="A7" s="1201" t="s">
        <v>566</v>
      </c>
      <c r="B7" s="1202" t="str">
        <f>'预评函-1'!A7</f>
        <v>估价对象为房地产，为所有。根据《国有土地使用证》[]，估价对象（分摊）出让国有建设用地使用权面积为0平方米，建筑面积为66平方米。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2025年12月2日</v>
      </c>
    </row>
    <row r="13" spans="1:2" s="1203" customFormat="1">
      <c r="A13" s="1201" t="s">
        <v>529</v>
      </c>
      <c r="B13" s="1202"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66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陈颖</v>
      </c>
    </row>
    <row r="71" spans="1:2">
      <c r="A71" s="1201" t="s">
        <v>563</v>
      </c>
      <c r="B71" s="1202">
        <f ca="1">'预评函-4'!B4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45993</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1.04</v>
      </c>
      <c r="D5" s="3025">
        <f>IF(ISERROR(ROUND(POWER(1+E5,A5-C5)*(POWER(1+E5,C5)-1)/(POWER(1+E5,A5)-1),3)),0,ROUND(POWER(1+E5,A5-C5)*(POWER(1+E5,C5)-1)/(POWER(1+E5,A5)-1),4))</f>
        <v>5.0500000000000003E-2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11.05</v>
      </c>
      <c r="D6" s="3025">
        <f>IF(ISERROR(ROUND(POWER(1+E6,A6-C6)*(POWER(1+E6,C6)-1)/(POWER(1+E6,A6)-1),3)),0,ROUND(POWER(1+E6,A6-C6)*(POWER(1+E6,C6)-1)/(POWER(1+E6,A6)-1),4))</f>
        <v>0.4093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31.06</v>
      </c>
      <c r="D7" s="3025">
        <f>IF(ISERROR(ROUND(POWER(1+E7,A7-C7)*(POWER(1+E7,C7)-1)/(POWER(1+E7,A7)-1),3)),0,ROUND(POWER(1+E7,A7-C7)*(POWER(1+E7,C7)-1)/(POWER(1+E7,A7)-1),4))</f>
        <v>0.75260000000000005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41" sqref="G4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8" t="str">
        <f>IF(B10="北京市","北京市",C10)&amp;F10&amp;IF(结果表!G1="在建","出让国有建设用地使用权及在建建筑物",IF(结果表!G1="土地","出让国有建设用地使用权",))&amp;B9&amp;"预评估"</f>
        <v>房地产市场价值预评估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3417</v>
      </c>
      <c r="C4" s="2376">
        <f ca="1">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3418</v>
      </c>
      <c r="C8" s="2390"/>
      <c r="D8" s="3531" t="s">
        <v>2177</v>
      </c>
      <c r="E8" s="2391"/>
      <c r="F8" s="2392"/>
      <c r="G8" s="2663"/>
      <c r="H8" s="2663"/>
      <c r="I8" s="2663"/>
      <c r="J8" s="2439"/>
      <c r="K8" s="2614"/>
      <c r="L8" s="2613"/>
      <c r="M8" s="2613"/>
      <c r="N8" s="2439"/>
      <c r="O8" s="2450"/>
      <c r="P8" s="2439"/>
      <c r="Q8" s="2439"/>
      <c r="R8" s="2439"/>
    </row>
    <row r="9" spans="1:30" ht="13.8" thickBot="1">
      <c r="A9" s="2393" t="s">
        <v>2178</v>
      </c>
      <c r="B9" s="2394" t="s">
        <v>3419</v>
      </c>
      <c r="C9" s="2395"/>
      <c r="D9" s="3532"/>
      <c r="E9" s="2394"/>
      <c r="F9" s="2396"/>
      <c r="G9" s="2665"/>
      <c r="H9" s="2665"/>
      <c r="I9" s="2665"/>
      <c r="J9" s="2439"/>
      <c r="K9" s="2616"/>
      <c r="L9" s="2613"/>
      <c r="M9" s="2613"/>
      <c r="N9" s="2439"/>
      <c r="O9" s="2450"/>
      <c r="P9" s="2439"/>
      <c r="Q9" s="2439"/>
      <c r="R9" s="2439"/>
    </row>
    <row r="10" spans="1:30" ht="13.8"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v>56615</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29.1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8"/>
      <c r="C16" s="3539"/>
      <c r="D16" s="3540"/>
      <c r="E16" s="2413" t="s">
        <v>2194</v>
      </c>
      <c r="F16" s="3541"/>
      <c r="G16" s="3542"/>
      <c r="H16" s="3542"/>
      <c r="I16" s="3543"/>
      <c r="J16" s="2439"/>
      <c r="K16" s="2617"/>
      <c r="L16" s="2451"/>
      <c r="M16" s="2451"/>
      <c r="N16" s="2509"/>
      <c r="O16" s="2451"/>
      <c r="P16" s="2509"/>
      <c r="Q16" s="2439"/>
      <c r="R16" s="2439"/>
    </row>
    <row r="17" spans="1:28">
      <c r="A17" s="313" t="s">
        <v>2195</v>
      </c>
      <c r="B17" s="302" t="s">
        <v>2196</v>
      </c>
      <c r="C17" s="8">
        <f>'数据-汇总表'!E3</f>
        <v>66</v>
      </c>
      <c r="D17" s="2322" t="s">
        <v>2197</v>
      </c>
      <c r="E17" s="3544" t="s">
        <v>2198</v>
      </c>
      <c r="F17" s="3545"/>
      <c r="G17" s="3545"/>
      <c r="H17" s="3545"/>
      <c r="I17" s="3546"/>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7" t="s">
        <v>2202</v>
      </c>
      <c r="F18" s="3548"/>
      <c r="G18" s="3548"/>
      <c r="H18" s="3548"/>
      <c r="I18" s="3549"/>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4" t="s">
        <v>2206</v>
      </c>
      <c r="C20" s="3535"/>
      <c r="D20" s="3536" t="s">
        <v>2207</v>
      </c>
      <c r="E20" s="3537"/>
      <c r="F20" s="2647" t="s">
        <v>1056</v>
      </c>
      <c r="G20" s="2664"/>
      <c r="H20" s="2664"/>
      <c r="I20" s="2664"/>
      <c r="J20" s="2439"/>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236</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66</v>
      </c>
      <c r="H5" s="13">
        <f t="shared" ref="H5:AT5" si="0">SUM(H13:H656)</f>
        <v>66</v>
      </c>
      <c r="I5" s="13">
        <f t="shared" si="0"/>
        <v>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v>
      </c>
      <c r="BA5" s="15">
        <f t="shared" si="1"/>
        <v>66</v>
      </c>
      <c r="BB5" s="15">
        <f t="shared" si="1"/>
        <v>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3421</v>
      </c>
      <c r="E13" s="13">
        <f>IF($C$3="是",ROUND($A$3*G13/$B$3,2),ROUND($A$3*(G13-AT13)/$B$3,2))</f>
        <v>0</v>
      </c>
      <c r="F13" s="29"/>
      <c r="G13" s="30">
        <f>H13+AC13+AT13</f>
        <v>66</v>
      </c>
      <c r="H13" s="17">
        <f>SUMIF(I$12:AB$12,"总值",I13:AB13)</f>
        <v>66</v>
      </c>
      <c r="I13" s="1626">
        <v>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66</v>
      </c>
      <c r="BA13" s="13">
        <f>SUM(BB13:BK13)</f>
        <v>66</v>
      </c>
      <c r="BB13" s="13">
        <f>IF($D13="是",I13-J13,0)</f>
        <v>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9" t="s">
        <v>1131</v>
      </c>
      <c r="B2" s="3559"/>
      <c r="C2" s="3559"/>
      <c r="D2" s="796" t="s">
        <v>1107</v>
      </c>
      <c r="E2" s="1639" t="s">
        <v>1108</v>
      </c>
      <c r="F2" s="2659"/>
      <c r="G2" s="2650"/>
      <c r="H2" s="2651"/>
      <c r="I2" s="2325" t="s">
        <v>1132</v>
      </c>
      <c r="J2" s="2659"/>
      <c r="K2" s="2659"/>
      <c r="L2" s="2659"/>
      <c r="M2" s="2659"/>
      <c r="N2" s="2661"/>
      <c r="O2" s="2659"/>
      <c r="P2" s="2659"/>
    </row>
    <row r="3" spans="1:16" ht="15" thickBot="1">
      <c r="A3" s="3560" t="s">
        <v>1105</v>
      </c>
      <c r="B3" s="3560"/>
      <c r="C3" s="3560"/>
      <c r="D3" s="43">
        <f>'数据-基础表'!AY6</f>
        <v>0</v>
      </c>
      <c r="E3" s="43">
        <f>'数据-基础表'!AZ5</f>
        <v>66</v>
      </c>
      <c r="F3" s="2659"/>
      <c r="G3" s="1145"/>
      <c r="H3" s="1026" t="s">
        <v>1106</v>
      </c>
      <c r="I3" s="855" t="e">
        <f>ROUND('数据-基础表'!B3/'数据-基础表'!A3,2)</f>
        <v>#DIV/0!</v>
      </c>
      <c r="J3" s="2659"/>
      <c r="K3" s="2659"/>
      <c r="L3" s="2659"/>
      <c r="M3" s="2659"/>
      <c r="N3" s="2661"/>
      <c r="O3" s="2659"/>
      <c r="P3" s="2659"/>
    </row>
    <row r="4" spans="1:16" ht="14.4">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4" t="s">
        <v>1110</v>
      </c>
      <c r="C5" s="3564"/>
      <c r="D5" s="45">
        <f>ROUND($D$3*E5/$E$3,2)</f>
        <v>0</v>
      </c>
      <c r="E5" s="46">
        <f>SUMIF('数据-基础表'!$11:$11,"住宅",'数据-基础表'!$5:$5)</f>
        <v>66</v>
      </c>
      <c r="F5" s="2659"/>
      <c r="G5" s="1145"/>
      <c r="H5" s="1026" t="s">
        <v>1106</v>
      </c>
      <c r="I5" s="855" t="e">
        <f>ROUND(E31/D31,2)</f>
        <v>#DIV/0!</v>
      </c>
      <c r="J5" s="2659"/>
      <c r="K5" s="2659"/>
      <c r="L5" s="2659"/>
      <c r="M5" s="2659"/>
      <c r="N5" s="2659"/>
      <c r="O5" s="2659"/>
      <c r="P5" s="2659"/>
    </row>
    <row r="6" spans="1:16" ht="15" thickBot="1">
      <c r="A6" s="1644"/>
      <c r="B6" s="3564" t="s">
        <v>1111</v>
      </c>
      <c r="C6" s="3564"/>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6"/>
      <c r="B7" s="3557"/>
      <c r="C7" s="3558"/>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66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66</v>
      </c>
      <c r="F16" s="2659"/>
      <c r="G16" s="2660"/>
      <c r="H16" s="1648" t="s">
        <v>1135</v>
      </c>
      <c r="I16" s="1649"/>
      <c r="J16" s="1139"/>
      <c r="K16" s="3553" t="s">
        <v>1135</v>
      </c>
      <c r="L16" s="3554"/>
      <c r="M16" s="3554"/>
      <c r="N16" s="3554"/>
      <c r="O16" s="3554"/>
      <c r="P16" s="3555"/>
    </row>
    <row r="17" spans="1:19" ht="14.4">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3422</v>
      </c>
      <c r="D19" s="45">
        <f>ROUND($D$3*E19/$E$3,2)</f>
        <v>0</v>
      </c>
      <c r="E19" s="53">
        <f t="shared" ref="E19:E26" si="1">SUM(F19:G19)</f>
        <v>66</v>
      </c>
      <c r="F19" s="2795">
        <f>'数据-基础表'!I13</f>
        <v>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66</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66</v>
      </c>
      <c r="F27" s="1140">
        <f>IF(SUM(F19:F26)=E8,SUM(F19:F26),"地上面积有误")</f>
        <v>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66</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66</v>
      </c>
      <c r="F31" s="677">
        <f>F27+F30</f>
        <v>66</v>
      </c>
      <c r="G31" s="678">
        <f>G27+G30</f>
        <v>0</v>
      </c>
      <c r="H31" s="2659"/>
      <c r="I31" s="2659"/>
      <c r="J31" s="2659"/>
      <c r="K31" s="2659"/>
      <c r="L31" s="2659"/>
      <c r="M31" s="2659"/>
      <c r="N31" s="2659"/>
      <c r="O31" s="2659"/>
      <c r="P31" s="2659"/>
    </row>
    <row r="32" spans="1:19" ht="14.4">
      <c r="A32" s="1643"/>
      <c r="B32" s="1643" t="s">
        <v>1159</v>
      </c>
      <c r="C32" s="1643"/>
      <c r="D32" s="1643"/>
      <c r="E32" s="1053">
        <f>SUMIF(C19:C26,"*住宅*",E19:E26)</f>
        <v>66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AC7" sqref="AC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45993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3402</v>
      </c>
      <c r="D6" s="858">
        <f>SUMIF(项目基本情况!C$12:I$12,C6,项目基本情况!C$14:I$14)</f>
        <v>70</v>
      </c>
      <c r="E6" s="857">
        <f>IF(B6="","",SUMIF(项目基本情况!C$12:I$12,C6,项目基本情况!C$13:I$13))</f>
        <v>56615</v>
      </c>
      <c r="F6" s="64">
        <f>SUMIF(项目基本情况!C$12:I$12,C6,项目基本情况!C$15:I$15)</f>
        <v>29.1</v>
      </c>
      <c r="G6" s="65">
        <f>IF(ISERROR(ROUND(POWER(1+H6,D6-F6)*(POWER(1+H6,F6)-1)/(POWER(1+H6,D6)-1),3)),0,ROUND(POWER(1+H6,D6-F6)*(POWER(1+H6,F6)-1)/(POWER(1+H6,D6)-1),3))</f>
        <v>0.66</v>
      </c>
      <c r="H6" s="732">
        <v>0.03</v>
      </c>
      <c r="I6" s="732">
        <v>0.03</v>
      </c>
      <c r="J6" s="66">
        <v>0.06</v>
      </c>
      <c r="K6" s="1030">
        <f>SUMIF('数据-汇总表'!C$19:C$33,A6,'数据-汇总表'!E$19:E$33)</f>
        <v>66</v>
      </c>
      <c r="L6" s="733">
        <v>2500</v>
      </c>
      <c r="M6" s="67">
        <f t="shared" ref="M6:M14" si="0">ROUND(K6*L6/10000,0)</f>
        <v>17</v>
      </c>
      <c r="N6" s="731">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6000</v>
      </c>
      <c r="V6" s="70">
        <v>1.4999999999999999E-2</v>
      </c>
      <c r="W6" s="70">
        <v>0.05</v>
      </c>
      <c r="X6" s="1040"/>
      <c r="Y6" s="71">
        <f>N6</f>
        <v>0.65</v>
      </c>
      <c r="Z6" s="72"/>
      <c r="AA6" s="66"/>
      <c r="AB6" s="66"/>
      <c r="AC6" s="1040"/>
      <c r="AD6" s="73"/>
      <c r="AE6" s="1041">
        <f ca="1">IF(AN6="",0,SUMIF(INDIRECT("'"&amp;AN6&amp;"'"&amp;"!E:E"),$AE$5,INDIRECT("'"&amp;AN6&amp;"'"&amp;"!F:F")))</f>
        <v>29.1</v>
      </c>
      <c r="AF6" s="1348"/>
      <c r="AG6" s="138">
        <f>IF(AF6="",0,AE6-AF6)</f>
        <v>0</v>
      </c>
      <c r="AH6" s="74">
        <v>1</v>
      </c>
      <c r="AI6" s="76">
        <v>12</v>
      </c>
      <c r="AJ6" s="77"/>
      <c r="AK6" s="78">
        <v>2E-3</v>
      </c>
      <c r="AL6" s="79">
        <v>1E-3</v>
      </c>
      <c r="AM6" s="80">
        <v>0.01</v>
      </c>
      <c r="AN6" s="1715" t="s">
        <v>3435</v>
      </c>
      <c r="AO6" s="52">
        <f ca="1">SUMIF(INDIRECT("'"&amp;AN6&amp;"'"&amp;"!A:A"),"总价",INDIRECT("'"&amp;AN6&amp;"'"&amp;"!B:B"))</f>
        <v>128.9333</v>
      </c>
      <c r="AP6" s="1716">
        <f>IF(C6="住宅",K6*L6,0)</f>
        <v>165000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0.66</v>
      </c>
      <c r="H16" s="90">
        <f>ROUND(SUMPRODUCT(H6:H13,K6:K13)/SUMPRODUCT((H6:H13&gt;0)*(K6:K13)),3)</f>
        <v>0.03</v>
      </c>
      <c r="I16" s="91"/>
      <c r="J16" s="91"/>
      <c r="K16" s="92">
        <f>SUM(K6:K15)</f>
        <v>66</v>
      </c>
      <c r="L16" s="93">
        <f>ROUND(M16*10000/SUM(K6:K14),0)</f>
        <v>2576</v>
      </c>
      <c r="M16" s="93">
        <f>SUM(M6:M14)</f>
        <v>17</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66</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45993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275.30579999999998</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3354</v>
      </c>
      <c r="D10" s="2512" t="s">
        <v>3355</v>
      </c>
      <c r="E10" s="3441"/>
      <c r="F10" s="3445" t="s">
        <v>3356</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项目基本情况!C17</f>
        <v>66</v>
      </c>
      <c r="C14" s="2518"/>
      <c r="D14" s="2518">
        <f ca="1">B14*E14/10000</f>
        <v>275.30579999999998</v>
      </c>
      <c r="E14" s="2518">
        <f ca="1">结果表!G20</f>
        <v>41713</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24" sqref="E2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3402</v>
      </c>
      <c r="D1" s="1747"/>
      <c r="E1" s="1747"/>
      <c r="F1" s="1749" t="s">
        <v>1263</v>
      </c>
      <c r="G1" s="1561"/>
      <c r="H1" s="1750" t="str">
        <f>IF(G1="现房","——","估价对象范围")</f>
        <v>估价对象范围</v>
      </c>
      <c r="I1" s="1751"/>
    </row>
    <row r="2" spans="1:12" ht="21.75" customHeight="1" thickBot="1">
      <c r="A2" s="3601" t="str">
        <f>项目基本情况!S2</f>
        <v>房地产</v>
      </c>
      <c r="B2" s="3602"/>
      <c r="C2" s="3602"/>
      <c r="D2" s="3602"/>
      <c r="E2" s="3602"/>
      <c r="F2" s="3602"/>
      <c r="G2" s="3602"/>
      <c r="H2" s="3602"/>
      <c r="I2" s="3603"/>
    </row>
    <row r="3" spans="1:12" ht="13.2">
      <c r="A3" s="3605" t="s">
        <v>1264</v>
      </c>
      <c r="B3" s="3606"/>
      <c r="C3" s="3606"/>
      <c r="D3" s="3606"/>
      <c r="E3" s="3606"/>
      <c r="F3" s="3606"/>
      <c r="G3" s="3606"/>
      <c r="H3" s="3606"/>
      <c r="I3" s="3606"/>
    </row>
    <row r="4" spans="1:12" ht="14.4">
      <c r="A4" s="1754" t="s">
        <v>1265</v>
      </c>
      <c r="B4" s="1755" t="s">
        <v>1266</v>
      </c>
      <c r="C4" s="1756" t="s">
        <v>3439</v>
      </c>
      <c r="D4" s="1756" t="s">
        <v>3440</v>
      </c>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1" t="s">
        <v>1268</v>
      </c>
      <c r="B5" s="3568">
        <v>25</v>
      </c>
      <c r="C5" s="3584">
        <v>5</v>
      </c>
      <c r="D5" s="3604">
        <f>10-C5</f>
        <v>5</v>
      </c>
      <c r="E5" s="131" t="s">
        <v>1269</v>
      </c>
      <c r="F5" s="1757"/>
      <c r="G5" s="1757"/>
      <c r="H5" s="1757"/>
      <c r="I5" s="1373"/>
    </row>
    <row r="6" spans="1:12" ht="13.2">
      <c r="A6" s="3581"/>
      <c r="B6" s="3568"/>
      <c r="C6" s="3585"/>
      <c r="D6" s="3604"/>
      <c r="E6" s="131" t="s">
        <v>1270</v>
      </c>
      <c r="F6" s="1757"/>
      <c r="G6" s="1757"/>
      <c r="H6" s="1757"/>
      <c r="I6" s="1373"/>
    </row>
    <row r="7" spans="1:12" ht="13.2">
      <c r="A7" s="3581"/>
      <c r="B7" s="3568"/>
      <c r="C7" s="3586"/>
      <c r="D7" s="3604"/>
      <c r="E7" s="131" t="s">
        <v>1271</v>
      </c>
      <c r="F7" s="1757"/>
      <c r="G7" s="1757"/>
      <c r="H7" s="1757"/>
      <c r="I7" s="1373"/>
    </row>
    <row r="8" spans="1:12" ht="13.2">
      <c r="A8" s="3581" t="s">
        <v>1272</v>
      </c>
      <c r="B8" s="3568">
        <v>15</v>
      </c>
      <c r="C8" s="3584"/>
      <c r="D8" s="3604"/>
      <c r="E8" s="131" t="s">
        <v>1273</v>
      </c>
      <c r="F8" s="1757"/>
      <c r="G8" s="1757"/>
      <c r="H8" s="1757"/>
      <c r="I8" s="1373"/>
    </row>
    <row r="9" spans="1:12" ht="13.2">
      <c r="A9" s="3581"/>
      <c r="B9" s="3568"/>
      <c r="C9" s="3586"/>
      <c r="D9" s="3604"/>
      <c r="E9" s="131" t="s">
        <v>1274</v>
      </c>
      <c r="F9" s="1757"/>
      <c r="G9" s="1757"/>
      <c r="H9" s="1757"/>
      <c r="I9" s="1373"/>
    </row>
    <row r="10" spans="1:12" ht="13.2">
      <c r="A10" s="3581" t="s">
        <v>1275</v>
      </c>
      <c r="B10" s="3568">
        <v>15</v>
      </c>
      <c r="C10" s="3584"/>
      <c r="D10" s="3604"/>
      <c r="E10" s="131" t="s">
        <v>1276</v>
      </c>
      <c r="F10" s="1757"/>
      <c r="G10" s="1757"/>
      <c r="H10" s="1757"/>
      <c r="I10" s="1373"/>
    </row>
    <row r="11" spans="1:12" ht="13.2">
      <c r="A11" s="3581"/>
      <c r="B11" s="3568"/>
      <c r="C11" s="3586"/>
      <c r="D11" s="3604"/>
      <c r="E11" s="131" t="s">
        <v>1277</v>
      </c>
      <c r="F11" s="1757"/>
      <c r="G11" s="1757"/>
      <c r="H11" s="1757"/>
      <c r="I11" s="1373"/>
    </row>
    <row r="12" spans="1:12" ht="13.2">
      <c r="A12" s="3581" t="s">
        <v>1278</v>
      </c>
      <c r="B12" s="3568">
        <v>15</v>
      </c>
      <c r="C12" s="3584"/>
      <c r="D12" s="3604"/>
      <c r="E12" s="131" t="s">
        <v>1279</v>
      </c>
      <c r="F12" s="1757"/>
      <c r="G12" s="1757"/>
      <c r="H12" s="1757"/>
      <c r="I12" s="1373"/>
    </row>
    <row r="13" spans="1:12" ht="13.2">
      <c r="A13" s="3581"/>
      <c r="B13" s="3568"/>
      <c r="C13" s="3586"/>
      <c r="D13" s="3604"/>
      <c r="E13" s="131" t="s">
        <v>1280</v>
      </c>
      <c r="F13" s="1757"/>
      <c r="G13" s="1757"/>
      <c r="H13" s="1757"/>
      <c r="I13" s="1373"/>
    </row>
    <row r="14" spans="1:12" ht="13.2">
      <c r="A14" s="3581" t="s">
        <v>1281</v>
      </c>
      <c r="B14" s="3568">
        <v>30</v>
      </c>
      <c r="C14" s="3584"/>
      <c r="D14" s="3604"/>
      <c r="E14" s="131" t="s">
        <v>1282</v>
      </c>
      <c r="F14" s="1757"/>
      <c r="G14" s="1757"/>
      <c r="H14" s="1757"/>
      <c r="I14" s="1373"/>
    </row>
    <row r="15" spans="1:12" ht="13.2">
      <c r="A15" s="3581"/>
      <c r="B15" s="3568"/>
      <c r="C15" s="3585"/>
      <c r="D15" s="3604"/>
      <c r="E15" s="131" t="s">
        <v>1283</v>
      </c>
      <c r="F15" s="1757"/>
      <c r="G15" s="1757"/>
      <c r="H15" s="1757"/>
      <c r="I15" s="1373"/>
    </row>
    <row r="16" spans="1:12" ht="13.2">
      <c r="A16" s="3581"/>
      <c r="B16" s="3568"/>
      <c r="C16" s="3586"/>
      <c r="D16" s="3604"/>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591" t="s">
        <v>2131</v>
      </c>
      <c r="F18" s="3592"/>
      <c r="G18" s="3592"/>
      <c r="H18" s="3592"/>
      <c r="I18" s="3592"/>
      <c r="K18" s="302" t="s">
        <v>1289</v>
      </c>
      <c r="L18" s="302">
        <f>IF(C1="",'数据-汇总表'!E3,SUMIF(项目类型,C1,'数据-汇总表'!E17:E26)+SUMIF(项目类型,C1,'数据-汇总表'!I17:I26))</f>
        <v>66</v>
      </c>
      <c r="M18" s="302">
        <f>IF(C1="",'数据-汇总表'!E3,SUMIF(项目类型,C1,'数据-汇总表'!E17:E26))</f>
        <v>66</v>
      </c>
    </row>
    <row r="19" spans="1:36" ht="14.4">
      <c r="A19" s="1761" t="s">
        <v>1290</v>
      </c>
      <c r="B19" s="1762" t="s">
        <v>1291</v>
      </c>
      <c r="C19" s="134">
        <f ca="1">SUMIF(INDIRECT("'"&amp;C4&amp;"'"&amp;"!A:A"),结果表!B19,INDIRECT("'"&amp;C4&amp;"'"&amp;"!B:B"))</f>
        <v>279.80700000000002</v>
      </c>
      <c r="D19" s="135">
        <f ca="1">SUMIF(INDIRECT("'"&amp;D4&amp;"'"&amp;"!A:A"),结果表!B19,INDIRECT("'"&amp;D4&amp;"'"&amp;"!B:B"))</f>
        <v>270.8057</v>
      </c>
      <c r="E19" s="1761" t="s">
        <v>1292</v>
      </c>
      <c r="F19" s="1762" t="s">
        <v>1291</v>
      </c>
      <c r="G19" s="136">
        <f ca="1">ROUND(C19*$C$18+D19*$D$18,0)</f>
        <v>275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42395</v>
      </c>
      <c r="D20" s="138">
        <f ca="1">SUMIF(INDIRECT("'"&amp;D4&amp;"'"&amp;"!A:A"),结果表!B20,INDIRECT("'"&amp;D4&amp;"'"&amp;"!B:B"))</f>
        <v>41031</v>
      </c>
      <c r="E20" s="1764"/>
      <c r="F20" s="1026" t="s">
        <v>1295</v>
      </c>
      <c r="G20" s="139">
        <f ca="1">ROUND(C20*$C$18+D20*$D$18,0)</f>
        <v>41713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3.3238960627490544E-2</v>
      </c>
      <c r="E22" s="129"/>
      <c r="F22" s="129"/>
      <c r="G22" s="129"/>
      <c r="H22" s="129"/>
      <c r="I22" s="129"/>
    </row>
    <row r="23" spans="1:36" ht="13.8" thickBot="1">
      <c r="A23" s="1747"/>
      <c r="B23" s="1747"/>
      <c r="C23" s="1747"/>
      <c r="D23" s="1747"/>
      <c r="E23" s="129"/>
      <c r="F23" s="129"/>
      <c r="G23" s="129"/>
      <c r="H23" s="129"/>
      <c r="I23" s="129"/>
    </row>
    <row r="24" spans="1:36" ht="14.4">
      <c r="A24" s="3575" t="s">
        <v>1299</v>
      </c>
      <c r="B24" s="1762" t="s">
        <v>1291</v>
      </c>
      <c r="C24" s="136">
        <f>IF(B30=0,0,D30)</f>
        <v>0</v>
      </c>
      <c r="D24" s="1769"/>
      <c r="E24" s="129"/>
      <c r="F24" s="129"/>
      <c r="G24" s="129"/>
      <c r="H24" s="129"/>
      <c r="I24" s="129"/>
    </row>
    <row r="25" spans="1:36" ht="14.4">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41713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5" t="s">
        <v>1312</v>
      </c>
      <c r="B36" s="1787" t="s">
        <v>1313</v>
      </c>
      <c r="C36" s="145"/>
      <c r="D36" s="1788"/>
      <c r="E36" s="1789"/>
      <c r="F36" s="1790"/>
      <c r="G36" s="129"/>
      <c r="H36" s="129"/>
      <c r="I36" s="129"/>
    </row>
    <row r="37" spans="1:15" ht="15" thickBot="1">
      <c r="A37" s="3596"/>
      <c r="B37" s="1674" t="s">
        <v>1314</v>
      </c>
      <c r="C37" s="147"/>
      <c r="D37" s="1139"/>
      <c r="E37" s="1139"/>
      <c r="F37" s="1790"/>
      <c r="G37" s="129"/>
      <c r="H37" s="129"/>
      <c r="I37" s="129"/>
    </row>
    <row r="38" spans="1:15" ht="15" thickBot="1">
      <c r="A38" s="359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t="e">
        <f ca="1">ROUND(H101*F45,0)</f>
        <v>#REF!</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45993</v>
      </c>
      <c r="N47" s="3652"/>
      <c r="O47" s="3652"/>
    </row>
    <row r="48" spans="1:15" ht="26.4">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1" t="s">
        <v>1340</v>
      </c>
      <c r="L48" s="3631"/>
      <c r="M48" s="3653" t="e">
        <f ca="1">H101</f>
        <v>#REF!</v>
      </c>
      <c r="N48" s="3653"/>
      <c r="O48" s="3653"/>
    </row>
    <row r="49" spans="1:35" ht="25.5" customHeight="1">
      <c r="A49" s="2333" t="s">
        <v>1341</v>
      </c>
      <c r="B49" s="3567" t="s">
        <v>1342</v>
      </c>
      <c r="C49" s="3567"/>
      <c r="D49" s="1590">
        <v>0</v>
      </c>
      <c r="E49" s="324" t="s">
        <v>1343</v>
      </c>
      <c r="F49" s="2424" t="s">
        <v>28</v>
      </c>
      <c r="G49" s="3637"/>
      <c r="H49" s="2310" t="s">
        <v>2134</v>
      </c>
      <c r="I49" s="2311"/>
      <c r="J49" s="2523">
        <v>4</v>
      </c>
      <c r="K49" s="3631" t="str">
        <f>IF(项目基本情况!E8="房地产抵押价值","房地产抵押价值","抵押担保权已注销时的房地产抵押价值")</f>
        <v>抵押担保权已注销时的房地产抵押价值</v>
      </c>
      <c r="L49" s="3631"/>
      <c r="M49" s="3653" t="str">
        <f>IF(项目基本情况!E8="房地产抵押价值",H107,H109)</f>
        <v>——</v>
      </c>
      <c r="N49" s="3653"/>
      <c r="O49" s="3653"/>
    </row>
    <row r="50" spans="1:35" ht="25.5" customHeight="1">
      <c r="A50" s="2551"/>
      <c r="B50" s="3567" t="s">
        <v>1344</v>
      </c>
      <c r="C50" s="3567"/>
      <c r="D50" s="2552"/>
      <c r="E50" s="332"/>
      <c r="F50" s="2424"/>
      <c r="G50" s="3638"/>
      <c r="H50" s="2312" t="s">
        <v>2135</v>
      </c>
      <c r="I50" s="2311"/>
      <c r="J50" s="3650" t="s">
        <v>1345</v>
      </c>
      <c r="K50" s="3650"/>
      <c r="L50" s="3650"/>
      <c r="M50" s="3650"/>
      <c r="N50" s="3650"/>
      <c r="O50" s="3650"/>
    </row>
    <row r="51" spans="1:35" ht="20.399999999999999" customHeight="1">
      <c r="A51" s="2553"/>
      <c r="B51" s="3567" t="s">
        <v>1346</v>
      </c>
      <c r="C51" s="3567"/>
      <c r="D51" s="1087"/>
      <c r="E51" s="327"/>
      <c r="F51" s="2424"/>
      <c r="G51" s="3639"/>
      <c r="H51" s="2312" t="s">
        <v>2136</v>
      </c>
      <c r="I51" s="2311"/>
      <c r="J51" s="2524" t="s">
        <v>1347</v>
      </c>
      <c r="K51" s="3631" t="s">
        <v>1348</v>
      </c>
      <c r="L51" s="3631"/>
      <c r="M51" s="2524" t="s">
        <v>1349</v>
      </c>
      <c r="N51" s="2524" t="s">
        <v>1350</v>
      </c>
      <c r="O51" s="2524" t="s">
        <v>1351</v>
      </c>
    </row>
    <row r="52" spans="1:35" ht="24" customHeight="1">
      <c r="A52" s="2335" t="s">
        <v>1352</v>
      </c>
      <c r="B52" s="3567" t="s">
        <v>1353</v>
      </c>
      <c r="C52" s="3567"/>
      <c r="D52" s="1087" t="e">
        <f ca="1">ROUND(D45*'数据-取费表'!B41/(1+'数据-取费表'!C42),0)</f>
        <v>#REF!</v>
      </c>
      <c r="E52" s="2334" t="s">
        <v>1354</v>
      </c>
      <c r="F52" s="2554">
        <f>'数据-取费表'!B41</f>
        <v>5.6000000000000001E-2</v>
      </c>
      <c r="G52" s="2555"/>
      <c r="H52" s="2544"/>
      <c r="I52" s="1807"/>
      <c r="J52" s="2523">
        <v>1</v>
      </c>
      <c r="K52" s="3632" t="s">
        <v>1355</v>
      </c>
      <c r="L52" s="3632"/>
      <c r="M52" s="2525" t="b">
        <f>D48</f>
        <v>0</v>
      </c>
      <c r="N52" s="2523" t="str">
        <f>E48</f>
        <v>销售额×税（费）率</v>
      </c>
      <c r="O52" s="2526">
        <f>F48</f>
        <v>5.6000000000000001E-2</v>
      </c>
    </row>
    <row r="53" spans="1:35" ht="12" customHeight="1">
      <c r="A53" s="2335" t="s">
        <v>1356</v>
      </c>
      <c r="B53" s="3593" t="s">
        <v>2291</v>
      </c>
      <c r="C53" s="3594"/>
      <c r="D53" s="1087" t="e">
        <f ca="1">ROUND(D45*'数据-取费表'!B41/(1+'数据-取费表'!C42),0)</f>
        <v>#REF!</v>
      </c>
      <c r="E53" s="2334" t="s">
        <v>1354</v>
      </c>
      <c r="F53" s="2554">
        <f>'数据-取费表'!B41</f>
        <v>5.6000000000000001E-2</v>
      </c>
      <c r="G53" s="2555"/>
      <c r="H53" s="2544"/>
      <c r="I53" s="1807"/>
      <c r="J53" s="2523">
        <v>2</v>
      </c>
      <c r="K53" s="3632" t="s">
        <v>1357</v>
      </c>
      <c r="L53" s="3632"/>
      <c r="M53" s="2525" t="e">
        <f t="shared" ref="M53:O54" ca="1" si="0">D55</f>
        <v>#REF!</v>
      </c>
      <c r="N53" s="2523" t="str">
        <f t="shared" si="0"/>
        <v>销售额×税（费）率</v>
      </c>
      <c r="O53" s="2526" t="str">
        <f t="shared" si="0"/>
        <v>免征</v>
      </c>
    </row>
    <row r="54" spans="1:35" ht="12" customHeight="1">
      <c r="A54" s="2335" t="s">
        <v>1358</v>
      </c>
      <c r="B54" s="3593" t="s">
        <v>2292</v>
      </c>
      <c r="C54" s="3594"/>
      <c r="D54" s="1087" t="e">
        <f ca="1">C68</f>
        <v>#REF!</v>
      </c>
      <c r="E54" s="327" t="s">
        <v>1359</v>
      </c>
      <c r="F54" s="2554">
        <f>'数据-取费表'!B41</f>
        <v>5.6000000000000001E-2</v>
      </c>
      <c r="G54" s="2555"/>
      <c r="H54" s="2556"/>
      <c r="I54" s="1807"/>
      <c r="J54" s="2523">
        <v>3</v>
      </c>
      <c r="K54" s="3632" t="s">
        <v>1360</v>
      </c>
      <c r="L54" s="3632"/>
      <c r="M54" s="2525" t="e">
        <f t="shared" ca="1" si="0"/>
        <v>#REF!</v>
      </c>
      <c r="N54" s="2523" t="str">
        <f t="shared" si="0"/>
        <v>增值额×税（费）率</v>
      </c>
      <c r="O54" s="2527" t="str">
        <f t="shared" si="0"/>
        <v>免征</v>
      </c>
    </row>
    <row r="55" spans="1:35" ht="24" customHeight="1">
      <c r="A55" s="3582" t="s">
        <v>1361</v>
      </c>
      <c r="B55" s="3583"/>
      <c r="C55" s="3583"/>
      <c r="D55" s="2324" t="e">
        <f ca="1">IF(H55="个人住宅",0,ROUND(D45*I55,0))</f>
        <v>#REF!</v>
      </c>
      <c r="E55" s="2334" t="s">
        <v>1362</v>
      </c>
      <c r="F55" s="2554" t="str">
        <f>IF(H55="正常",I55,"免征")</f>
        <v>免征</v>
      </c>
      <c r="G55" s="2555"/>
      <c r="H55" s="2550"/>
      <c r="I55" s="165">
        <f>'数据-取费表'!B49</f>
        <v>5.0000000000000001E-4</v>
      </c>
      <c r="J55" s="2523">
        <f>IF(H59="非个人房产","",4)</f>
        <v>4</v>
      </c>
      <c r="K55" s="3632" t="str">
        <f>IF(H59="非个人房产","——","个人所得税")</f>
        <v>个人所得税</v>
      </c>
      <c r="L55" s="3632"/>
      <c r="M55" s="2528" t="e">
        <f ca="1">D59</f>
        <v>#REF!</v>
      </c>
      <c r="N55" s="2040" t="str">
        <f>E59</f>
        <v>差额计税</v>
      </c>
      <c r="O55" s="2529">
        <f>F59</f>
        <v>0.01</v>
      </c>
    </row>
    <row r="56" spans="1:35" ht="25.2">
      <c r="A56" s="3582" t="s">
        <v>1363</v>
      </c>
      <c r="B56" s="3583"/>
      <c r="C56" s="3583"/>
      <c r="D56" s="2324" t="e">
        <f ca="1">IF(H56="个人住宅",D57,D58)</f>
        <v>#REF!</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3.2">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0</v>
      </c>
      <c r="O57" s="2533"/>
      <c r="P57" s="2690" t="e">
        <f ca="1">N57/M49</f>
        <v>#VALUE!</v>
      </c>
    </row>
    <row r="58" spans="1:35" ht="25.2">
      <c r="A58" s="2335" t="s">
        <v>1352</v>
      </c>
      <c r="B58" s="3593" t="s">
        <v>1369</v>
      </c>
      <c r="C58" s="3567"/>
      <c r="D58" s="2324" t="e">
        <f ca="1">IF(H58="转让取得",C81,C97)</f>
        <v>#REF!</v>
      </c>
      <c r="E58" s="2334" t="s">
        <v>1364</v>
      </c>
      <c r="F58" s="302" t="s">
        <v>28</v>
      </c>
      <c r="G58" s="2555"/>
      <c r="H58" s="2558"/>
      <c r="I58" s="1808"/>
      <c r="J58" s="3632"/>
      <c r="K58" s="3632"/>
      <c r="L58" s="2530" t="s">
        <v>1370</v>
      </c>
      <c r="M58" s="2534"/>
      <c r="N58" s="2535" t="str">
        <f ca="1">NUMBERSTRING(INT(N57*10000),2)&amp;"元整"</f>
        <v>零元整</v>
      </c>
      <c r="O58" s="2536"/>
    </row>
    <row r="59" spans="1:35" ht="24.6" thickBot="1">
      <c r="A59" s="3635" t="s">
        <v>1371</v>
      </c>
      <c r="B59" s="3636"/>
      <c r="C59" s="3636"/>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3">
        <f>J57+1</f>
        <v>6</v>
      </c>
      <c r="K59" s="3632" t="s">
        <v>1372</v>
      </c>
      <c r="L59" s="2523" t="s">
        <v>1368</v>
      </c>
      <c r="M59" s="2537"/>
      <c r="N59" s="2538" t="e">
        <f ca="1">M49-N57</f>
        <v>#VALUE!</v>
      </c>
      <c r="O59" s="2539"/>
    </row>
    <row r="60" spans="1:35" ht="12" customHeight="1">
      <c r="A60" s="1809"/>
      <c r="B60" s="1747"/>
      <c r="C60" s="1747"/>
      <c r="D60" s="1747"/>
      <c r="E60" s="1578"/>
      <c r="F60" s="1808"/>
      <c r="G60" s="1808"/>
      <c r="H60" s="1810"/>
      <c r="I60" s="129"/>
      <c r="J60" s="3634"/>
      <c r="K60" s="3632"/>
      <c r="L60" s="2530" t="s">
        <v>1370</v>
      </c>
      <c r="M60" s="2534"/>
      <c r="N60" s="2535" t="e">
        <f ca="1">NUMBERSTRING(INT(N59*10000),2)&amp;"元整"</f>
        <v>#VALUE!</v>
      </c>
      <c r="O60" s="2536"/>
    </row>
    <row r="61" spans="1:35" ht="13.8" thickBot="1">
      <c r="A61" s="3580" t="s">
        <v>1373</v>
      </c>
      <c r="B61" s="3580"/>
      <c r="C61" s="3580"/>
      <c r="D61" s="3580"/>
      <c r="E61" s="3580"/>
      <c r="F61" s="1808"/>
      <c r="G61" s="1808"/>
      <c r="H61" s="1810"/>
      <c r="I61" s="129"/>
      <c r="J61" s="2523">
        <f>J59+1</f>
        <v>7</v>
      </c>
      <c r="K61" s="3632" t="s">
        <v>1374</v>
      </c>
      <c r="L61" s="3632"/>
      <c r="M61" s="2540"/>
      <c r="N61" s="2541" t="e">
        <f ca="1">ROUND(N59*10000/'数据-汇总表'!E3,0)</f>
        <v>#VALUE!</v>
      </c>
      <c r="O61" s="2542"/>
    </row>
    <row r="62" spans="1:35" ht="13.2">
      <c r="A62" s="3598" t="s">
        <v>1375</v>
      </c>
      <c r="B62" s="359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9" t="s">
        <v>2129</v>
      </c>
      <c r="H90" s="36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t="str">
        <f>C4</f>
        <v>比较法-住宅</v>
      </c>
      <c r="D101" s="2586" t="str">
        <f>D4</f>
        <v>成本法 (元)</v>
      </c>
      <c r="E101" s="3654" t="s">
        <v>1431</v>
      </c>
      <c r="F101" s="3611"/>
      <c r="G101" s="1827" t="s">
        <v>1432</v>
      </c>
      <c r="H101" s="2595" t="e">
        <f ca="1">H118</f>
        <v>#REF!</v>
      </c>
      <c r="I101" s="129"/>
    </row>
    <row r="102" spans="1:35" ht="18.75" customHeight="1">
      <c r="A102" s="3613" t="s">
        <v>1433</v>
      </c>
      <c r="B102" s="2584" t="s">
        <v>1432</v>
      </c>
      <c r="C102" s="2585">
        <f ca="1">IF(D32="楼面单价",ROUND(C19,0),C19)</f>
        <v>279.80700000000002</v>
      </c>
      <c r="D102" s="2586">
        <f ca="1">IF(D32="楼面单价",ROUND(D19,0),D19)</f>
        <v>270.8057</v>
      </c>
      <c r="E102" s="3654"/>
      <c r="F102" s="3611"/>
      <c r="G102" s="1827" t="s">
        <v>1434</v>
      </c>
      <c r="H102" s="2555" t="e">
        <f ca="1">I118</f>
        <v>#REF!</v>
      </c>
      <c r="I102" s="129"/>
    </row>
    <row r="103" spans="1:35" ht="42.75" customHeight="1">
      <c r="A103" s="3613"/>
      <c r="B103" s="2584" t="s">
        <v>1434</v>
      </c>
      <c r="C103" s="2587">
        <f ca="1">C20</f>
        <v>42395</v>
      </c>
      <c r="D103" s="2588">
        <f ca="1">D20</f>
        <v>41031</v>
      </c>
      <c r="E103" s="3648" t="s">
        <v>1435</v>
      </c>
      <c r="F103" s="3649"/>
      <c r="G103" s="1828" t="s">
        <v>1436</v>
      </c>
      <c r="H103" s="2595">
        <f>IF(D36="正常操作",H104+H105+H106,H105+H106)</f>
        <v>0</v>
      </c>
      <c r="I103" s="129"/>
    </row>
    <row r="104" spans="1:35" ht="18.75" customHeight="1">
      <c r="A104" s="361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t="e">
        <f ca="1">IF(E107="——","——",H101-H103)</f>
        <v>#REF!</v>
      </c>
      <c r="I107" s="129"/>
    </row>
    <row r="108" spans="1:35" ht="18.75" customHeight="1">
      <c r="A108" s="129"/>
      <c r="B108" s="129"/>
      <c r="C108" s="129"/>
      <c r="D108" s="129"/>
      <c r="E108" s="3610"/>
      <c r="F108" s="3611"/>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9" t="s">
        <v>1449</v>
      </c>
      <c r="E117" s="2329" t="s">
        <v>1450</v>
      </c>
      <c r="F117" s="2329" t="s">
        <v>1449</v>
      </c>
      <c r="G117" s="2329" t="s">
        <v>1451</v>
      </c>
      <c r="H117" s="2329" t="s">
        <v>1449</v>
      </c>
      <c r="I117" s="2329" t="s">
        <v>1451</v>
      </c>
    </row>
    <row r="118" spans="1:27" ht="24.75" customHeight="1">
      <c r="A118" s="2600" t="str">
        <f>项目基本情况!S2</f>
        <v>房地产</v>
      </c>
      <c r="B118" s="2329">
        <f>M18</f>
        <v>66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1" t="s">
        <v>1452</v>
      </c>
      <c r="B119" s="3581"/>
      <c r="C119" s="3581"/>
      <c r="D119" s="3621" t="e">
        <f ca="1">NUMBERSTRING(INT(D118*10000),2)&amp;"元整"</f>
        <v>#REF!</v>
      </c>
      <c r="E119" s="3623"/>
      <c r="F119" s="3621" t="e">
        <f ca="1">NUMBERSTRING(INT(F118*10000),2)&amp;"元整"</f>
        <v>#REF!</v>
      </c>
      <c r="G119" s="3623"/>
      <c r="H119" s="3621" t="e">
        <f ca="1">NUMBERSTRING(INT(H118*10000),2)&amp;"元整"</f>
        <v>#REF!</v>
      </c>
      <c r="I119" s="3623"/>
    </row>
    <row r="120" spans="1:27" ht="18.75" customHeight="1">
      <c r="A120" s="3645" t="str">
        <f>IF(项目基本情况!B9="房地产市场价值","",MID(E103,3,LEN(E103)-2))</f>
        <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1" t="s">
        <v>1452</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
      </c>
      <c r="B122" s="3612"/>
      <c r="C122" s="3612"/>
      <c r="D122" s="3645" t="e">
        <f ca="1">H107</f>
        <v>#REF!</v>
      </c>
      <c r="E122" s="3646"/>
      <c r="F122" s="3646"/>
      <c r="G122" s="3646"/>
      <c r="H122" s="3646"/>
      <c r="I122" s="3647"/>
      <c r="AA122" s="725"/>
    </row>
    <row r="123" spans="1:27" ht="18.75" customHeight="1">
      <c r="A123" s="3581" t="s">
        <v>1452</v>
      </c>
      <c r="B123" s="3581"/>
      <c r="C123" s="3581"/>
      <c r="D123" s="3621" t="e">
        <f ca="1">NUMBERSTRING(INT(D122*10000),2)&amp;"元整"</f>
        <v>#REF!</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1452</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1452</v>
      </c>
      <c r="B127" s="3581"/>
      <c r="C127" s="3581"/>
      <c r="D127" s="3621" t="e">
        <f>NUMBERSTRING(INT(D126*10000),2)&amp;"元整"</f>
        <v>#VALUE!</v>
      </c>
      <c r="E127" s="3622"/>
      <c r="F127" s="3622"/>
      <c r="G127" s="3622"/>
      <c r="H127" s="3622"/>
      <c r="I127" s="3623"/>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2576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66</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66</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0</v>
      </c>
      <c r="D41" s="235">
        <f ca="1">C44</f>
        <v>5.0000000000000001E-4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61" t="s">
        <v>1544</v>
      </c>
    </row>
    <row r="43" spans="1:7" ht="13.5" customHeight="1">
      <c r="A43" s="780" t="s">
        <v>347</v>
      </c>
      <c r="B43" s="215" t="s">
        <v>1545</v>
      </c>
      <c r="C43" s="238">
        <f ca="1">ROUND(IF('数据-取费表'!B22&lt;=1,C39*F22*'数据-取费表'!B21/2,C39*(POWER((1+F22),'数据-取费表'!B21/2)-1)),0)</f>
        <v>0</v>
      </c>
      <c r="D43" s="238"/>
      <c r="E43" s="238"/>
      <c r="F43" s="239"/>
      <c r="G43" s="3662"/>
    </row>
    <row r="44" spans="1:7" ht="13.5" customHeight="1">
      <c r="A44" s="780" t="s">
        <v>348</v>
      </c>
      <c r="B44" s="215" t="s">
        <v>1546</v>
      </c>
      <c r="C44" s="238">
        <f ca="1">ROUND(IF('数据-取费表'!B22&lt;=1,C40*F22*'数据-取费表'!B21/2,C40*(POWER((1+F22),'数据-取费表'!B21/2)-1)),4)</f>
        <v>5.0000000000000001E-4</v>
      </c>
      <c r="D44" s="238"/>
      <c r="E44" s="238"/>
      <c r="F44" s="239"/>
      <c r="G44" s="3663"/>
    </row>
    <row r="45" spans="1:7" s="214" customFormat="1" ht="13.5" customHeight="1">
      <c r="A45" s="255" t="s">
        <v>1547</v>
      </c>
      <c r="B45" s="244" t="s">
        <v>1513</v>
      </c>
      <c r="C45" s="245">
        <f ca="1">C46</f>
        <v>3</v>
      </c>
      <c r="D45" s="235">
        <f ca="1">C47</f>
        <v>4.4999999999999997E-3</v>
      </c>
      <c r="E45" s="236" t="s">
        <v>1539</v>
      </c>
      <c r="F45" s="246">
        <f ca="1">F27</f>
        <v>0.15</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16</v>
      </c>
      <c r="D51" s="232"/>
      <c r="E51" s="232"/>
      <c r="F51" s="264"/>
      <c r="G51" s="234" t="s">
        <v>1560</v>
      </c>
    </row>
    <row r="52" spans="1:7" s="208" customFormat="1" ht="16.8" thickBot="1">
      <c r="A52" s="265" t="s">
        <v>1561</v>
      </c>
      <c r="B52" s="266"/>
      <c r="C52" s="267">
        <f ca="1">C31+C51</f>
        <v>17</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8" t="str">
        <f>项目基本情况!B1</f>
        <v>房地产市场价值预评估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陈颖（注册号：0)、（注册号：0)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27" sqref="K27:K2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3402</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270.8057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41031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1944782</v>
      </c>
      <c r="D5" s="211" t="s">
        <v>1469</v>
      </c>
      <c r="E5" s="212" t="s">
        <v>1470</v>
      </c>
      <c r="F5" s="212" t="s">
        <v>1471</v>
      </c>
      <c r="G5" s="213"/>
    </row>
    <row r="6" spans="1:8" s="214" customFormat="1" ht="13.5" customHeight="1">
      <c r="A6" s="778" t="s">
        <v>1472</v>
      </c>
      <c r="B6" s="215" t="s">
        <v>1473</v>
      </c>
      <c r="C6" s="216">
        <f>基准地价修正!C33*基准地价修正!D33</f>
        <v>1876974</v>
      </c>
      <c r="D6" s="217"/>
      <c r="E6" s="218"/>
      <c r="F6" s="218"/>
      <c r="G6" s="219"/>
    </row>
    <row r="7" spans="1:8" s="214" customFormat="1" ht="13.5" customHeight="1">
      <c r="A7" s="778" t="s">
        <v>1474</v>
      </c>
      <c r="B7" s="215" t="s">
        <v>1475</v>
      </c>
      <c r="C7" s="220">
        <f>ROUND(C6*F7,0)</f>
        <v>57248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10560</v>
      </c>
      <c r="D8" s="222"/>
      <c r="E8" s="220"/>
      <c r="F8" s="221"/>
      <c r="G8" s="1856" t="s">
        <v>3437</v>
      </c>
    </row>
    <row r="9" spans="1:8" s="214" customFormat="1" ht="13.5" customHeight="1">
      <c r="A9" s="779" t="s">
        <v>355</v>
      </c>
      <c r="B9" s="224" t="s">
        <v>1478</v>
      </c>
      <c r="C9" s="225">
        <f ca="1">ROUND(D9*E9,0)</f>
        <v>10560</v>
      </c>
      <c r="D9" s="845">
        <f ca="1">IF(B1="",'数据-汇总表'!E5,IF(INDIRECT("'数据-取费表'!c"&amp;$G$1)="住宅",INDIRECT("'数据-取费表'!k"&amp;$G$1),0))</f>
        <v>66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66</v>
      </c>
      <c r="E19" s="211">
        <f>'数据-取费表'!B31</f>
        <v>200</v>
      </c>
      <c r="F19" s="231"/>
      <c r="G19" s="1856" t="s">
        <v>3438</v>
      </c>
    </row>
    <row r="20" spans="1:7" s="214" customFormat="1" ht="13.5" customHeight="1">
      <c r="A20" s="255" t="s">
        <v>1574</v>
      </c>
      <c r="B20" s="210" t="s">
        <v>1575</v>
      </c>
      <c r="C20" s="232">
        <f ca="1">ROUND((C5+C19)*F20,0)</f>
        <v>19448</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58635</v>
      </c>
      <c r="D22" s="235">
        <f ca="1">C26</f>
        <v>5.0000000000000001E-4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58343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292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294635</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294635</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2541955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198000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165000</v>
      </c>
      <c r="D34" s="217"/>
      <c r="E34" s="220"/>
      <c r="F34" s="257"/>
      <c r="G34" s="219"/>
    </row>
    <row r="35" spans="1:7" ht="13.5" customHeight="1">
      <c r="A35" s="780" t="s">
        <v>351</v>
      </c>
      <c r="B35" s="215" t="s">
        <v>1527</v>
      </c>
      <c r="C35" s="220">
        <f ca="1">ROUND(C34*F35,0)</f>
        <v>8250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8250</v>
      </c>
      <c r="D36" s="220"/>
      <c r="E36" s="220"/>
      <c r="F36" s="259">
        <f>'数据-取费表'!B34</f>
        <v>0.05</v>
      </c>
      <c r="G36" s="260" t="s">
        <v>1530</v>
      </c>
    </row>
    <row r="37" spans="1:7" s="258" customFormat="1" ht="13.5" customHeight="1">
      <c r="A37" s="780" t="s">
        <v>353</v>
      </c>
      <c r="B37" s="215" t="s">
        <v>1531</v>
      </c>
      <c r="C37" s="249">
        <f ca="1">ROUND(E37*D37,0)</f>
        <v>13200</v>
      </c>
      <c r="D37" s="217">
        <f ca="1">D19</f>
        <v>66</v>
      </c>
      <c r="E37" s="249">
        <f>'数据-取费表'!B35</f>
        <v>200</v>
      </c>
      <c r="F37" s="259"/>
      <c r="G37" s="261"/>
    </row>
    <row r="38" spans="1:7" ht="13.5" customHeight="1">
      <c r="A38" s="780" t="s">
        <v>354</v>
      </c>
      <c r="B38" s="215" t="s">
        <v>1533</v>
      </c>
      <c r="C38" s="220">
        <f ca="1">ROUND(C34*F38,0)</f>
        <v>3300</v>
      </c>
      <c r="D38" s="220"/>
      <c r="E38" s="220"/>
      <c r="F38" s="259">
        <f>'数据-取费表'!B36</f>
        <v>0.02</v>
      </c>
      <c r="G38" s="219" t="s">
        <v>1528</v>
      </c>
    </row>
    <row r="39" spans="1:7" s="214" customFormat="1" ht="13.5" customHeight="1">
      <c r="A39" s="255" t="s">
        <v>1534</v>
      </c>
      <c r="B39" s="210" t="s">
        <v>1535</v>
      </c>
      <c r="C39" s="232">
        <f ca="1">ROUND(C33*F20,0)</f>
        <v>1980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3000</v>
      </c>
      <c r="D41" s="235">
        <f ca="1">C44</f>
        <v>5.0000000000000001E-4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2970</v>
      </c>
      <c r="D42" s="238"/>
      <c r="E42" s="238"/>
      <c r="F42" s="239"/>
      <c r="G42" s="3661" t="s">
        <v>1591</v>
      </c>
    </row>
    <row r="43" spans="1:7" ht="13.5" customHeight="1">
      <c r="A43" s="780" t="s">
        <v>347</v>
      </c>
      <c r="B43" s="215" t="s">
        <v>1545</v>
      </c>
      <c r="C43" s="238">
        <f ca="1">ROUND(IF('数据-取费表'!B22&lt;=1,C39*F22*'数据-取费表'!B20/2,C39*(POWER((1+F22),'数据-取费表'!B20/2)-1)),0)</f>
        <v>30</v>
      </c>
      <c r="D43" s="238"/>
      <c r="E43" s="238"/>
      <c r="F43" s="239"/>
      <c r="G43" s="3662"/>
    </row>
    <row r="44" spans="1:7" ht="13.5" customHeight="1">
      <c r="A44" s="780" t="s">
        <v>348</v>
      </c>
      <c r="B44" s="215" t="s">
        <v>1546</v>
      </c>
      <c r="C44" s="238">
        <f ca="1">ROUND(IF('数据-取费表'!B22&lt;=1,C40*F22*'数据-取费表'!B20/2,C40*(POWER((1+F22),'数据-取费表'!B20/2)-1)),4)</f>
        <v>5.0000000000000001E-4</v>
      </c>
      <c r="D44" s="238"/>
      <c r="E44" s="238"/>
      <c r="F44" s="239"/>
      <c r="G44" s="3663"/>
    </row>
    <row r="45" spans="1:7" s="214" customFormat="1" ht="13.5" customHeight="1">
      <c r="A45" s="255" t="s">
        <v>1547</v>
      </c>
      <c r="B45" s="244" t="s">
        <v>1513</v>
      </c>
      <c r="C45" s="245">
        <f ca="1">C46</f>
        <v>29997</v>
      </c>
      <c r="D45" s="235">
        <f ca="1">C47</f>
        <v>4.4999999999999997E-3</v>
      </c>
      <c r="E45" s="236" t="s">
        <v>1539</v>
      </c>
      <c r="F45" s="246">
        <f ca="1">F27</f>
        <v>0.15</v>
      </c>
      <c r="G45" s="247" t="s">
        <v>1548</v>
      </c>
    </row>
    <row r="46" spans="1:7" s="214" customFormat="1" ht="13.5" customHeight="1">
      <c r="A46" s="780" t="s">
        <v>346</v>
      </c>
      <c r="B46" s="248" t="s">
        <v>1549</v>
      </c>
      <c r="C46" s="249">
        <f ca="1">ROUND((C33+C39)*F27,0)</f>
        <v>29997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255541</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166102</v>
      </c>
      <c r="D51" s="232"/>
      <c r="E51" s="232"/>
      <c r="F51" s="264"/>
      <c r="G51" s="234" t="s">
        <v>1560</v>
      </c>
    </row>
    <row r="52" spans="1:7" s="208" customFormat="1" ht="16.8" thickBot="1">
      <c r="A52" s="265" t="s">
        <v>1561</v>
      </c>
      <c r="B52" s="266"/>
      <c r="C52" s="267">
        <f ca="1">C31+C51</f>
        <v>2708057</v>
      </c>
      <c r="D52" s="266"/>
      <c r="E52" s="266"/>
      <c r="F52" s="266"/>
      <c r="G52" s="268"/>
    </row>
    <row r="55" spans="1:7" ht="15">
      <c r="B55" s="270" t="s">
        <v>1562</v>
      </c>
      <c r="C55" s="271"/>
    </row>
    <row r="56" spans="1:7">
      <c r="B56" s="273" t="s">
        <v>802</v>
      </c>
      <c r="C56" s="275">
        <f ca="1">1-C57</f>
        <v>0.93900000000000006</v>
      </c>
    </row>
    <row r="57" spans="1:7">
      <c r="B57" s="273" t="s">
        <v>803</v>
      </c>
      <c r="C57" s="274">
        <f ca="1">ROUND(C51/C52,3)</f>
        <v>6.0999999999999999E-2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-152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17" sqref="D1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66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188</v>
      </c>
      <c r="C2" s="1999" t="s">
        <v>1935</v>
      </c>
      <c r="D2" s="2000" t="s">
        <v>1936</v>
      </c>
      <c r="E2" s="3422" t="s">
        <v>3402</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42712</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28485</v>
      </c>
      <c r="C3" s="1999" t="s">
        <v>1941</v>
      </c>
      <c r="D3" s="2000" t="s">
        <v>1942</v>
      </c>
      <c r="E3" s="3420" t="s">
        <v>3410</v>
      </c>
      <c r="F3" s="2004" t="s">
        <v>3424</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28000</v>
      </c>
      <c r="N3" s="866">
        <f>SUMPRODUCT((因素修正幅度!B30:B54=I2)*(因素修正幅度!C3:G3=E2)*(因素修正幅度!C30:G54))</f>
        <v>9.5000000000000001E-2</v>
      </c>
      <c r="O3" s="1119"/>
      <c r="P3" s="1119"/>
      <c r="Q3" s="1119"/>
      <c r="R3" s="1212">
        <v>2</v>
      </c>
      <c r="S3" s="3361">
        <f>ROUND(SUMPRODUCT((B106:B110=R3)*(C105:N105=G2)*(C106:N110)),4)</f>
        <v>1.1838</v>
      </c>
      <c r="T3" s="3361">
        <f t="shared" si="0"/>
        <v>33666</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28453</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33880</v>
      </c>
      <c r="D5" s="1339">
        <f>ROUND(C6*C17+C20,0)</f>
        <v>28000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25094</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28000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24116</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2.5</v>
      </c>
      <c r="AA7" s="1216"/>
      <c r="AB7" s="1216"/>
      <c r="AC7" s="1217"/>
      <c r="AD7" s="1218"/>
      <c r="AE7" s="1218"/>
      <c r="AF7" s="1218"/>
      <c r="AG7" s="1218"/>
      <c r="AH7" s="1218"/>
      <c r="AI7" s="1218"/>
      <c r="AJ7" s="1219"/>
    </row>
    <row r="8" spans="1:36" ht="26.4">
      <c r="A8" s="3299"/>
      <c r="B8" s="170" t="s">
        <v>1957</v>
      </c>
      <c r="C8" s="2026" t="s">
        <v>3426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1.21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3427</v>
      </c>
      <c r="D15" s="2044" t="s">
        <v>3541</v>
      </c>
      <c r="E15" s="2045" t="s">
        <v>3428</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1.1000000000000001</v>
      </c>
      <c r="D16" s="3318">
        <v>1</v>
      </c>
      <c r="E16" s="3318">
        <v>1.1000000000000001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7" t="s">
        <v>3254</v>
      </c>
      <c r="B20" s="167" t="s">
        <v>1994</v>
      </c>
      <c r="C20" s="3325">
        <f>ROUND(IF(F21="与级别开发程度一致",0,(G21-E21)/C21),0)</f>
        <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7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1.0274000000000001</v>
      </c>
      <c r="D23" s="2054" t="s">
        <v>2002</v>
      </c>
      <c r="E23" s="761">
        <v>44197</v>
      </c>
      <c r="F23" s="2054" t="s">
        <v>2003</v>
      </c>
      <c r="G23" s="762">
        <f>'数据-取费表'!B2</f>
        <v>45993</v>
      </c>
      <c r="H23" s="3343" t="s">
        <v>3425</v>
      </c>
      <c r="I23" s="3344" t="str">
        <f>IF(H23="季度增幅（自定义）",SUMIF(N25:N28,E2,O25:O28),"")</f>
        <v/>
      </c>
      <c r="J23" s="3446" t="s">
        <v>3430</v>
      </c>
      <c r="K23" s="1125"/>
      <c r="L23" s="2055" t="s">
        <v>2004</v>
      </c>
      <c r="M23" s="1328">
        <f>ROUND(SUMIF(地价!B2:G2,E2,地价!B16:G16),0)</f>
        <v>687</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0.78400000000000003</v>
      </c>
      <c r="D24" s="2060" t="s">
        <v>2007</v>
      </c>
      <c r="E24" s="1335">
        <f>存贷款利率!E28/100</f>
        <v>4.3499999999999997E-2</v>
      </c>
      <c r="F24" s="2060" t="s">
        <v>1999</v>
      </c>
      <c r="G24" s="768">
        <f>SUMIF(M30:Q30,E2,M33:Q33)</f>
        <v>0.05</v>
      </c>
      <c r="H24" s="2060" t="s">
        <v>2008</v>
      </c>
      <c r="I24" s="769">
        <f>SUMIF('数据-取费表'!C6:C15,E2,'数据-取费表'!F6:F15)/COUNTIF('数据-取费表'!C6:C15,E2)</f>
        <v>29.1</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3333</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3255</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188</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28439</v>
      </c>
      <c r="D33" s="2098">
        <f>'数据-汇总表'!F19</f>
        <v>66</v>
      </c>
      <c r="E33" s="773">
        <f>ROUND(C33*D33/10000,0)</f>
        <v>188</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7110</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1"/>
      <c r="B37" s="2113" t="s">
        <v>2036</v>
      </c>
      <c r="C37" s="175">
        <f>ROUND(D5*C22*C23*C24*C28*F37,0)</f>
        <v>14102</v>
      </c>
      <c r="D37" s="2098"/>
      <c r="E37" s="171">
        <f>ROUND(C37*D37/10000,0)</f>
        <v>0</v>
      </c>
      <c r="F37" s="171">
        <f>SUMIF(修正!A59:A70,G2,修正!B59:B70)</f>
        <v>0.6</v>
      </c>
      <c r="G37" s="171">
        <f>ROUND(IF(E2="工业",C37*$M$42,C37*$M$41),0)</f>
        <v>3526</v>
      </c>
      <c r="H37" s="171">
        <f>D37</f>
        <v>0</v>
      </c>
      <c r="I37" s="171">
        <f>ROUND(G37*H37/10000,0)</f>
        <v>0</v>
      </c>
      <c r="J37" s="3012"/>
      <c r="K37" s="3359" t="s">
        <v>3264</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f>ROUND(D5*C22*C23*C24*C28*F38,0)</f>
        <v>7051</v>
      </c>
      <c r="D38" s="2098"/>
      <c r="E38" s="171">
        <f t="shared" ref="E38:E42" si="4">ROUND(C38*D38/10000,0)</f>
        <v>0</v>
      </c>
      <c r="F38" s="171">
        <f>SUMIF(修正!A59:A70,G2,修正!C59:C70)</f>
        <v>0.3</v>
      </c>
      <c r="G38" s="171">
        <f>ROUND(IF(E2="工业",C38*$M$42,C38*$M$41),0)</f>
        <v>1763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2"/>
      <c r="B39" s="2041" t="s">
        <v>3257</v>
      </c>
      <c r="C39" s="175">
        <f>ROUND(D5*C22*C23*C24*C28*F39,0)</f>
        <v>5876</v>
      </c>
      <c r="D39" s="2098"/>
      <c r="E39" s="171">
        <f t="shared" si="4"/>
        <v>0</v>
      </c>
      <c r="F39" s="171">
        <f>SUMIF(修正!A59:A70,G2,修正!D59:D70)</f>
        <v>0.25</v>
      </c>
      <c r="G39" s="171">
        <f>ROUND(IF(E2="工业",C39*$M$42,C39*$M$41),0)</f>
        <v>1469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5876</v>
      </c>
      <c r="D40" s="2098"/>
      <c r="E40" s="171">
        <f t="shared" si="4"/>
        <v>0</v>
      </c>
      <c r="F40" s="175">
        <f>SUMIF(修正!A59:A70,G2,修正!E59:E70)</f>
        <v>0.25</v>
      </c>
      <c r="G40" s="171">
        <f>ROUND(IF(E2="工业",C40*$M$42,C40*$M$41),0)</f>
        <v>1469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1.0421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3431</v>
      </c>
      <c r="D72" s="1065">
        <f t="shared" ref="D72:D80" si="17">SUMIF($J$71:$N$71,C72,J72:N72)</f>
        <v>9.4999999999999998E-3</v>
      </c>
      <c r="E72" s="744">
        <f>ROUND(SUM(D72:D80),4)</f>
        <v>4.2099999999999999E-2</v>
      </c>
      <c r="F72" s="1814">
        <f>IF(E2="住宅",SUMIF(L1:L12,G2,N1:N12),"——")</f>
        <v>9.5000000000000001E-2</v>
      </c>
      <c r="G72" s="1063">
        <v>9.4999999999999998E-3</v>
      </c>
      <c r="H72" s="1066">
        <f t="shared" ref="G72:H80" si="18">IFERROR(ROUNDDOWN($F$72*I72/2,4),"——")</f>
        <v>9.4999999999999998E-3</v>
      </c>
      <c r="I72" s="3367">
        <v>0.2</v>
      </c>
      <c r="J72" s="1064">
        <f t="shared" ref="J72:J80" si="19">K72+$G72</f>
        <v>1.9E-2</v>
      </c>
      <c r="K72" s="1064">
        <f t="shared" ref="K72:K80" si="20">$L72+$G72</f>
        <v>9.4999999999999998E-3</v>
      </c>
      <c r="L72" s="1064">
        <v>0</v>
      </c>
      <c r="M72" s="1064">
        <f t="shared" ref="M72:N80" si="21">L72-$G72</f>
        <v>-9.4999999999999998E-3</v>
      </c>
      <c r="N72" s="1064">
        <f t="shared" si="21"/>
        <v>-1.9E-2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3431</v>
      </c>
      <c r="D73" s="1065">
        <f t="shared" si="17"/>
        <v>1.23E-2</v>
      </c>
      <c r="E73" s="747"/>
      <c r="F73" s="1814"/>
      <c r="G73" s="1063">
        <v>1.23E-2</v>
      </c>
      <c r="H73" s="1066">
        <f t="shared" si="18"/>
        <v>1.23E-2</v>
      </c>
      <c r="I73" s="3367">
        <v>0.26</v>
      </c>
      <c r="J73" s="1064">
        <f t="shared" si="19"/>
        <v>2.46E-2</v>
      </c>
      <c r="K73" s="1064">
        <f t="shared" si="20"/>
        <v>1.23E-2</v>
      </c>
      <c r="L73" s="1064">
        <v>0</v>
      </c>
      <c r="M73" s="1064">
        <f t="shared" si="21"/>
        <v>-1.23E-2</v>
      </c>
      <c r="N73" s="1064">
        <f t="shared" si="21"/>
        <v>-2.46E-2</v>
      </c>
      <c r="AA73" s="1120"/>
      <c r="AB73" s="1120"/>
      <c r="AC73" s="1120"/>
      <c r="AD73" s="1120"/>
      <c r="AE73" s="1120"/>
      <c r="AF73" s="1120"/>
      <c r="AG73" s="1120"/>
      <c r="AH73" s="1120"/>
      <c r="AI73" s="1120"/>
      <c r="AJ73" s="1120"/>
      <c r="AK73" s="1120"/>
    </row>
    <row r="74" spans="1:37" s="1997" customFormat="1" ht="48">
      <c r="A74" s="3369" t="s">
        <v>3267</v>
      </c>
      <c r="B74" s="2134">
        <f>估价对象房地状况!C19</f>
        <v>0</v>
      </c>
      <c r="C74" s="2044" t="s">
        <v>3431</v>
      </c>
      <c r="D74" s="1065">
        <f t="shared" si="17"/>
        <v>4.7000000000000002E-3</v>
      </c>
      <c r="E74" s="747"/>
      <c r="F74" s="1814"/>
      <c r="G74" s="1063">
        <v>4.7000000000000002E-3</v>
      </c>
      <c r="H74" s="1066">
        <f t="shared" si="18"/>
        <v>4.7000000000000002E-3</v>
      </c>
      <c r="I74" s="3367">
        <v>0.1</v>
      </c>
      <c r="J74" s="1064">
        <f t="shared" si="19"/>
        <v>9.4000000000000004E-3</v>
      </c>
      <c r="K74" s="1064">
        <f t="shared" si="20"/>
        <v>4.7000000000000002E-3</v>
      </c>
      <c r="L74" s="1064">
        <v>0</v>
      </c>
      <c r="M74" s="1064">
        <f t="shared" si="21"/>
        <v>-4.7000000000000002E-3</v>
      </c>
      <c r="N74" s="1064">
        <f t="shared" si="21"/>
        <v>-9.4000000000000004E-3</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3432</v>
      </c>
      <c r="D75" s="1065">
        <f t="shared" si="17"/>
        <v>-2.3E-3</v>
      </c>
      <c r="E75" s="747"/>
      <c r="F75" s="1814"/>
      <c r="G75" s="1063">
        <v>2.3E-3</v>
      </c>
      <c r="H75" s="1066">
        <f t="shared" si="18"/>
        <v>2.3E-3</v>
      </c>
      <c r="I75" s="3367">
        <v>0.05</v>
      </c>
      <c r="J75" s="1064">
        <f t="shared" si="19"/>
        <v>4.5999999999999999E-3</v>
      </c>
      <c r="K75" s="1064">
        <f t="shared" si="20"/>
        <v>2.3E-3</v>
      </c>
      <c r="L75" s="1064">
        <v>0</v>
      </c>
      <c r="M75" s="1064">
        <f t="shared" si="21"/>
        <v>-2.3E-3</v>
      </c>
      <c r="N75" s="1064">
        <f t="shared" si="21"/>
        <v>-4.5999999999999999E-3</v>
      </c>
      <c r="O75" s="1119"/>
      <c r="P75" s="1119"/>
      <c r="Q75" s="1997"/>
      <c r="Z75" s="1998"/>
      <c r="AA75" s="2053"/>
      <c r="AG75" s="1121"/>
      <c r="AK75" s="2053"/>
    </row>
    <row r="76" spans="1:37" ht="26.4">
      <c r="A76" s="2130" t="s">
        <v>2059</v>
      </c>
      <c r="B76" s="1326" t="str">
        <f>估价对象房地状况!C21</f>
        <v>估价对象所在区域公共配套设施齐备情况</v>
      </c>
      <c r="C76" s="2044" t="s">
        <v>3431</v>
      </c>
      <c r="D76" s="1065">
        <f t="shared" si="17"/>
        <v>3.8E-3</v>
      </c>
      <c r="E76" s="747"/>
      <c r="F76" s="1814"/>
      <c r="G76" s="1063">
        <v>3.8E-3</v>
      </c>
      <c r="H76" s="1066">
        <f t="shared" si="18"/>
        <v>3.8E-3</v>
      </c>
      <c r="I76" s="3367">
        <v>0.08</v>
      </c>
      <c r="J76" s="1064">
        <f t="shared" si="19"/>
        <v>7.6E-3</v>
      </c>
      <c r="K76" s="1064">
        <f t="shared" si="20"/>
        <v>3.8E-3</v>
      </c>
      <c r="L76" s="1064">
        <v>0</v>
      </c>
      <c r="M76" s="1064">
        <f t="shared" si="21"/>
        <v>-3.8E-3</v>
      </c>
      <c r="N76" s="1064">
        <f t="shared" si="21"/>
        <v>-7.6E-3</v>
      </c>
      <c r="O76" s="1119"/>
      <c r="P76" s="1119"/>
      <c r="Z76" s="1998"/>
      <c r="AA76" s="2053"/>
      <c r="AG76" s="1121"/>
      <c r="AK76" s="2053"/>
    </row>
    <row r="77" spans="1:37" ht="26.4">
      <c r="A77" s="2130" t="s">
        <v>2060</v>
      </c>
      <c r="B77" s="1326" t="str">
        <f>估价对象房地状况!C22</f>
        <v>估价对象所在区域基础设施水平</v>
      </c>
      <c r="C77" s="2044" t="s">
        <v>3433</v>
      </c>
      <c r="D77" s="1065">
        <f t="shared" si="17"/>
        <v>8.3999999999999995E-3</v>
      </c>
      <c r="E77" s="747"/>
      <c r="F77" s="1814"/>
      <c r="G77" s="1063">
        <v>4.1999999999999997E-3</v>
      </c>
      <c r="H77" s="1066">
        <f t="shared" si="18"/>
        <v>4.1999999999999997E-3</v>
      </c>
      <c r="I77" s="3367">
        <v>0.09</v>
      </c>
      <c r="J77" s="1064">
        <f t="shared" si="19"/>
        <v>8.3999999999999995E-3</v>
      </c>
      <c r="K77" s="1064">
        <f t="shared" si="20"/>
        <v>4.1999999999999997E-3</v>
      </c>
      <c r="L77" s="1064">
        <v>0</v>
      </c>
      <c r="M77" s="1064">
        <f t="shared" si="21"/>
        <v>-4.1999999999999997E-3</v>
      </c>
      <c r="N77" s="1064">
        <f t="shared" si="21"/>
        <v>-8.3999999999999995E-3</v>
      </c>
      <c r="O77" s="1119"/>
      <c r="P77" s="1119"/>
      <c r="Z77" s="1998"/>
      <c r="AA77" s="2053"/>
      <c r="AG77" s="1121"/>
      <c r="AK77" s="2053"/>
    </row>
    <row r="78" spans="1:37" ht="36">
      <c r="A78" s="2130" t="s">
        <v>2057</v>
      </c>
      <c r="B78" s="2136" t="s">
        <v>2058</v>
      </c>
      <c r="C78" s="2044" t="s">
        <v>3434</v>
      </c>
      <c r="D78" s="1065">
        <f t="shared" si="17"/>
        <v>0</v>
      </c>
      <c r="E78" s="747"/>
      <c r="F78" s="1814"/>
      <c r="G78" s="1063">
        <v>2.3E-3</v>
      </c>
      <c r="H78" s="1066">
        <f t="shared" si="18"/>
        <v>2.3E-3</v>
      </c>
      <c r="I78" s="3367">
        <v>0.05</v>
      </c>
      <c r="J78" s="1064">
        <f t="shared" si="19"/>
        <v>4.5999999999999999E-3</v>
      </c>
      <c r="K78" s="1064">
        <f t="shared" si="20"/>
        <v>2.3E-3</v>
      </c>
      <c r="L78" s="1064">
        <v>0</v>
      </c>
      <c r="M78" s="1064">
        <f t="shared" si="21"/>
        <v>-2.3E-3</v>
      </c>
      <c r="N78" s="1064">
        <f t="shared" si="21"/>
        <v>-4.5999999999999999E-3</v>
      </c>
      <c r="O78" s="1997"/>
      <c r="P78" s="1997"/>
      <c r="Z78" s="1998"/>
      <c r="AA78" s="2053"/>
      <c r="AG78" s="1121"/>
      <c r="AK78" s="2053"/>
    </row>
    <row r="79" spans="1:37" ht="39.6">
      <c r="A79" s="2130" t="s">
        <v>2061</v>
      </c>
      <c r="B79" s="2133" t="str">
        <f>估价对象房地状况!C20</f>
        <v>区域自然环境：；人文环境；综合评价环境状况一般</v>
      </c>
      <c r="C79" s="2044" t="s">
        <v>3431</v>
      </c>
      <c r="D79" s="1065">
        <f t="shared" si="17"/>
        <v>5.7000000000000002E-3</v>
      </c>
      <c r="E79" s="747"/>
      <c r="F79" s="1814"/>
      <c r="G79" s="1063">
        <v>5.7000000000000002E-3</v>
      </c>
      <c r="H79" s="1066">
        <f t="shared" si="18"/>
        <v>5.7000000000000002E-3</v>
      </c>
      <c r="I79" s="3367">
        <v>0.12</v>
      </c>
      <c r="J79" s="1064">
        <f t="shared" si="19"/>
        <v>1.14E-2</v>
      </c>
      <c r="K79" s="1064">
        <f t="shared" si="20"/>
        <v>5.7000000000000002E-3</v>
      </c>
      <c r="L79" s="1064">
        <v>0</v>
      </c>
      <c r="M79" s="1064">
        <f t="shared" si="21"/>
        <v>-5.7000000000000002E-3</v>
      </c>
      <c r="N79" s="1064">
        <f t="shared" si="21"/>
        <v>-1.14E-2</v>
      </c>
      <c r="Z79" s="1998"/>
      <c r="AA79" s="2053"/>
      <c r="AG79" s="1121"/>
      <c r="AK79" s="2053"/>
    </row>
    <row r="80" spans="1:37" ht="36.6" thickBot="1">
      <c r="A80" s="2138" t="s">
        <v>2068</v>
      </c>
      <c r="B80" s="2142"/>
      <c r="C80" s="2044" t="s">
        <v>3434</v>
      </c>
      <c r="D80" s="1065">
        <f t="shared" si="17"/>
        <v>0</v>
      </c>
      <c r="E80" s="748"/>
      <c r="F80" s="1814"/>
      <c r="G80" s="1063">
        <v>2.3E-3</v>
      </c>
      <c r="H80" s="1066">
        <f t="shared" si="18"/>
        <v>2.3E-3</v>
      </c>
      <c r="I80" s="3368">
        <v>0.05</v>
      </c>
      <c r="J80" s="1064">
        <f t="shared" si="19"/>
        <v>4.5999999999999999E-3</v>
      </c>
      <c r="K80" s="1064">
        <f t="shared" si="20"/>
        <v>2.3E-3</v>
      </c>
      <c r="L80" s="1064">
        <v>0</v>
      </c>
      <c r="M80" s="1064">
        <f t="shared" si="21"/>
        <v>-2.3E-3</v>
      </c>
      <c r="N80" s="1064">
        <f t="shared" si="21"/>
        <v>-4.5999999999999999E-3</v>
      </c>
      <c r="Z80" s="1998"/>
      <c r="AA80" s="2053"/>
      <c r="AG80" s="1121"/>
      <c r="AK80" s="2053"/>
    </row>
    <row r="81" spans="1:37" ht="14.4" hidden="1">
      <c r="A81" s="2126" t="s">
        <v>2069</v>
      </c>
      <c r="B81" s="2127">
        <f>1+E83</f>
        <v>1</v>
      </c>
      <c r="C81" s="741"/>
      <c r="D81" s="741"/>
      <c r="E81" s="742"/>
      <c r="F81" s="2129"/>
      <c r="G81" s="3"/>
      <c r="H81" s="3"/>
      <c r="I81" s="3"/>
      <c r="J81" s="4"/>
      <c r="K81" s="4"/>
      <c r="L81" s="4"/>
      <c r="M81" s="4"/>
      <c r="N81" s="4"/>
      <c r="Z81" s="1998"/>
      <c r="AA81" s="2053"/>
      <c r="AG81" s="1121"/>
      <c r="AK81" s="2053"/>
    </row>
    <row r="82" spans="1:37" ht="25.2"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hidden="1">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hidden="1">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hidden="1">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hidden="1">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hidden="1">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hidden="1">
      <c r="A91" s="3377" t="s">
        <v>2612</v>
      </c>
      <c r="B91" s="3378">
        <f>1+E93</f>
        <v>1</v>
      </c>
      <c r="C91" s="3371"/>
      <c r="D91" s="3372"/>
      <c r="E91" s="1814"/>
      <c r="F91" s="1814"/>
      <c r="G91" s="3373"/>
      <c r="H91" s="3374"/>
      <c r="I91" s="3375"/>
      <c r="J91" s="3376"/>
      <c r="K91" s="3376"/>
      <c r="L91" s="3376"/>
      <c r="M91" s="3376"/>
      <c r="N91" s="3376"/>
    </row>
    <row r="92" spans="1:37" ht="25.2" hidden="1">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hidden="1">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hidden="1">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hidden="1">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hidden="1">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hidden="1">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hidden="1">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hidden="1">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hidden="1">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hidden="1"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3310</v>
      </c>
      <c r="B116" s="3416">
        <f>G3</f>
        <v>2.5</v>
      </c>
      <c r="C116" s="3400" t="s">
        <v>3311</v>
      </c>
      <c r="D116" s="3401">
        <f>SUMPRODUCT((A118:A122=F116)*(B117:M117=H116)*B118:M122)</f>
        <v>0.90080000000000005</v>
      </c>
      <c r="E116" s="2000" t="s">
        <v>3312</v>
      </c>
      <c r="F116" s="3402" t="str">
        <f>E2</f>
        <v>住宅</v>
      </c>
      <c r="G116" s="2000" t="s">
        <v>3313</v>
      </c>
      <c r="H116" s="3402" t="str">
        <f>G2</f>
        <v>三级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3327</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3328</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3329</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46" sqref="E4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3402</v>
      </c>
      <c r="D1" s="1362" t="s">
        <v>43</v>
      </c>
      <c r="E1" s="1363" t="s">
        <v>678</v>
      </c>
      <c r="F1" s="1062">
        <f ca="1">J53</f>
        <v>29.1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128.9333</v>
      </c>
      <c r="C2" s="1387" t="s">
        <v>879</v>
      </c>
      <c r="D2" s="1471">
        <f ca="1">C40+J29+L46</f>
        <v>1289333</v>
      </c>
      <c r="E2" s="1388" t="s">
        <v>880</v>
      </c>
      <c r="F2" s="1389"/>
      <c r="G2" s="2706"/>
      <c r="H2" s="2695"/>
      <c r="I2" s="2695"/>
      <c r="J2" s="2695"/>
      <c r="K2" s="2696"/>
      <c r="L2" s="2695"/>
      <c r="M2" s="2695"/>
    </row>
    <row r="3" spans="1:37" ht="18" customHeight="1" thickBot="1">
      <c r="A3" s="1390" t="s">
        <v>881</v>
      </c>
      <c r="B3" s="1391">
        <f ca="1">IF(ISERROR(D2/F43),0,ROUND(D2/F43,0))</f>
        <v>19535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68486</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68400</v>
      </c>
      <c r="D6" s="155" t="s">
        <v>2106</v>
      </c>
      <c r="E6" s="302" t="s">
        <v>696</v>
      </c>
      <c r="F6" s="303">
        <f ca="1">INDIRECT("'数据-取费表'!u"&amp;$G$1)</f>
        <v>6000</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1</v>
      </c>
      <c r="G7" s="1384"/>
      <c r="H7" s="304"/>
      <c r="I7" s="3667"/>
      <c r="J7" s="306"/>
      <c r="K7" s="307"/>
      <c r="L7" s="302" t="s">
        <v>697</v>
      </c>
      <c r="M7" s="303">
        <f ca="1">F7</f>
        <v>1</v>
      </c>
    </row>
    <row r="8" spans="1:37" ht="18" customHeight="1">
      <c r="A8" s="304"/>
      <c r="B8" s="3667"/>
      <c r="C8" s="306"/>
      <c r="D8" s="307"/>
      <c r="E8" s="302" t="s">
        <v>698</v>
      </c>
      <c r="F8" s="303">
        <f ca="1">INDIRECT("'数据-取费表'!ai"&amp;$G$1)</f>
        <v>12</v>
      </c>
      <c r="G8" s="1384"/>
      <c r="H8" s="304"/>
      <c r="I8" s="3667"/>
      <c r="J8" s="306"/>
      <c r="K8" s="307"/>
      <c r="L8" s="302" t="s">
        <v>698</v>
      </c>
      <c r="M8" s="303">
        <f ca="1">INDIRECT("'数据-取费表'!ai"&amp;$G$1)</f>
        <v>12</v>
      </c>
    </row>
    <row r="9" spans="1:37" ht="18" customHeight="1">
      <c r="A9" s="304"/>
      <c r="B9" s="3668"/>
      <c r="C9" s="306"/>
      <c r="D9" s="307"/>
      <c r="E9" s="302" t="s">
        <v>699</v>
      </c>
      <c r="F9" s="312">
        <f ca="1">INDIRECT("'数据-取费表'!w"&amp;$G$1)</f>
        <v>0.05</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86</v>
      </c>
      <c r="D10" s="1366" t="s">
        <v>2116</v>
      </c>
      <c r="E10" s="313" t="s">
        <v>701</v>
      </c>
      <c r="F10" s="1116" t="s">
        <v>3436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166102</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165000</v>
      </c>
      <c r="D14" s="1345" t="s">
        <v>708</v>
      </c>
      <c r="E14" s="1342"/>
      <c r="F14" s="319"/>
      <c r="G14" s="1384"/>
      <c r="H14" s="982" t="s">
        <v>398</v>
      </c>
      <c r="I14" s="302" t="s">
        <v>709</v>
      </c>
      <c r="J14" s="21">
        <f ca="1">C29</f>
        <v>255541</v>
      </c>
      <c r="K14" s="12"/>
      <c r="L14" s="807"/>
      <c r="M14" s="808"/>
    </row>
    <row r="15" spans="1:37" s="1397" customFormat="1" ht="18" customHeight="1" thickBot="1">
      <c r="A15" s="982" t="s">
        <v>399</v>
      </c>
      <c r="B15" s="302" t="s">
        <v>710</v>
      </c>
      <c r="C15" s="21">
        <f ca="1">ROUND(C14*F15,0)</f>
        <v>8250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8250</v>
      </c>
      <c r="D16" s="302" t="s">
        <v>711</v>
      </c>
      <c r="E16" s="302" t="s">
        <v>712</v>
      </c>
      <c r="F16" s="322">
        <f ca="1">IF(INDIRECT("'数据-取费表'!c"&amp;$G$1)="住宅",'数据-取费表'!B34,0)</f>
        <v>0.05</v>
      </c>
      <c r="G16" s="1384"/>
      <c r="H16" s="1079" t="s">
        <v>393</v>
      </c>
      <c r="I16" s="1080" t="s">
        <v>714</v>
      </c>
      <c r="J16" s="310">
        <f ca="1">ROUND(J17+J22+J23+J24,0)</f>
        <v>511</v>
      </c>
      <c r="K16" s="1087" t="s">
        <v>715</v>
      </c>
      <c r="L16" s="1088"/>
      <c r="M16" s="1072"/>
    </row>
    <row r="17" spans="1:37" s="1397" customFormat="1" ht="18" customHeight="1">
      <c r="A17" s="982" t="s">
        <v>681</v>
      </c>
      <c r="B17" s="302" t="s">
        <v>716</v>
      </c>
      <c r="C17" s="21">
        <f ca="1">ROUND(F17*(F43+INDIRECT("'数据-取费表'!S"&amp;$G$1)),0)</f>
        <v>13200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3300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198000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1980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511</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3000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-511</v>
      </c>
      <c r="K25" s="1095" t="s">
        <v>753</v>
      </c>
      <c r="L25" s="1096"/>
      <c r="M25" s="1097"/>
    </row>
    <row r="26" spans="1:37" ht="18" customHeight="1">
      <c r="A26" s="982" t="s">
        <v>397</v>
      </c>
      <c r="B26" s="302" t="s">
        <v>754</v>
      </c>
      <c r="C26" s="21">
        <f ca="1">ROUND((C19+C20)*F26,0)</f>
        <v>29997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0.03</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255541</v>
      </c>
      <c r="D29" s="1092"/>
      <c r="E29" s="1090"/>
      <c r="F29" s="1093"/>
      <c r="G29" s="1396"/>
      <c r="H29" s="334" t="s">
        <v>396</v>
      </c>
      <c r="I29" s="335" t="s">
        <v>768</v>
      </c>
      <c r="J29" s="336">
        <f ca="1">ROUND(J26/(1+F40)^F41,0)</f>
        <v>0</v>
      </c>
      <c r="K29" s="337" t="s">
        <v>769</v>
      </c>
      <c r="L29" s="338"/>
      <c r="M29" s="339">
        <f ca="1">INDIRECT("'数据-取费表'!k"&amp;$G$1)</f>
        <v>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12827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11465</v>
      </c>
      <c r="D31" s="1345" t="s">
        <v>720</v>
      </c>
      <c r="E31" s="1344" t="s">
        <v>770</v>
      </c>
      <c r="F31" s="2315">
        <f ca="1">IF(项目基本情况!B11="企业","——",IF(M47="住宅",IF(F6*F7*F8/12/(1+'数据-取费表'!F30)&gt;100000,4%,2.5%),IF(F6*F7*F8/12/(1+'数据-取费表'!F30)&gt;100000,12%,7%)))</f>
        <v>2.5000000000000001E-2</v>
      </c>
      <c r="G31" s="1384"/>
      <c r="H31" s="2808" t="s">
        <v>2306</v>
      </c>
      <c r="I31" s="1398"/>
      <c r="J31" s="1399"/>
      <c r="K31" s="2475"/>
      <c r="L31" s="2698"/>
      <c r="M31" s="2699"/>
    </row>
    <row r="32" spans="1:37" ht="18" customHeight="1">
      <c r="A32" s="982" t="s">
        <v>397</v>
      </c>
      <c r="B32" s="302" t="s">
        <v>723</v>
      </c>
      <c r="C32" s="21">
        <f ca="1">IF(项目基本情况!B11="自然人","——",ROUND(C6*F32/(1+'数据-取费表'!C42),0))</f>
        <v>3648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7817</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511</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166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685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55659</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1289333</v>
      </c>
      <c r="D40" s="324" t="s">
        <v>758</v>
      </c>
      <c r="E40" s="302" t="s">
        <v>759</v>
      </c>
      <c r="F40" s="312">
        <f ca="1">INDIRECT("'数据-取费表'!I"&amp;$G$1)</f>
        <v>0.03</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29.1</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19535</v>
      </c>
      <c r="D43" s="337" t="s">
        <v>777</v>
      </c>
      <c r="E43" s="338" t="s">
        <v>778</v>
      </c>
      <c r="F43" s="339">
        <f ca="1">INDIRECT("'数据-取费表'!k"&amp;$G$1)</f>
        <v>66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-130.23519999999999</v>
      </c>
      <c r="D45" s="3432" t="s">
        <v>3351</v>
      </c>
      <c r="E45" s="1400"/>
      <c r="F45" s="1400"/>
      <c r="O45" s="1403" t="s">
        <v>808</v>
      </c>
      <c r="P45" s="1461"/>
      <c r="Q45" s="1461"/>
      <c r="R45" s="1461"/>
    </row>
    <row r="46" spans="1:18" s="1384" customFormat="1" ht="13.8" thickBot="1">
      <c r="A46" s="1404" t="s">
        <v>809</v>
      </c>
      <c r="C46" s="1405">
        <f ca="1">ROUND(C45,0)</f>
        <v>-130</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3441</v>
      </c>
      <c r="K47" s="1416" t="s">
        <v>816</v>
      </c>
      <c r="L47" s="1417">
        <f ca="1">INDIRECT("'数据-取费表'!d"&amp;$G$1)</f>
        <v>70</v>
      </c>
      <c r="M47" s="1380" t="str">
        <f>IF(ISNUMBER(FIND("住宅",C1)),"住宅","非住宅")</f>
        <v>住宅</v>
      </c>
      <c r="O47" s="1418" t="s">
        <v>403</v>
      </c>
      <c r="P47" s="1419" t="s">
        <v>817</v>
      </c>
      <c r="Q47" s="1420">
        <f ca="1">C40+J29</f>
        <v>1289333</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3442</v>
      </c>
      <c r="K48" s="1423" t="s">
        <v>820</v>
      </c>
      <c r="L48" s="1424">
        <f ca="1">INDIRECT("'数据-取费表'!f"&amp;$G$1)</f>
        <v>29.1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1987</v>
      </c>
      <c r="K49" s="1423" t="s">
        <v>824</v>
      </c>
      <c r="L49" s="1427"/>
      <c r="O49" s="1428" t="s">
        <v>405</v>
      </c>
      <c r="P49" s="1419" t="s">
        <v>825</v>
      </c>
      <c r="Q49" s="1420">
        <f ca="1">C29</f>
        <v>255541</v>
      </c>
      <c r="R49" s="1420" t="s">
        <v>818</v>
      </c>
    </row>
    <row r="50" spans="1:18" s="1384" customFormat="1" ht="13.8" thickBot="1">
      <c r="A50" s="976"/>
      <c r="B50" s="979"/>
      <c r="C50" s="980"/>
      <c r="D50" s="953"/>
      <c r="E50" s="1056" t="s">
        <v>697</v>
      </c>
      <c r="F50" s="1057">
        <f ca="1">F7</f>
        <v>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12</v>
      </c>
      <c r="K51" s="1434" t="s">
        <v>830</v>
      </c>
      <c r="L51" s="1435">
        <f ca="1">ROUND(-PV(INDIRECT("'数据-取费表'!h"&amp;$G$1),J51,(C39-C13*C76),0),0)</f>
        <v>454827</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29.1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29.1</v>
      </c>
      <c r="K53" s="3664" t="s">
        <v>837</v>
      </c>
      <c r="L53" s="3665"/>
      <c r="O53" s="1418" t="s">
        <v>409</v>
      </c>
      <c r="P53" s="1419" t="s">
        <v>838</v>
      </c>
      <c r="Q53" s="1420">
        <f ca="1">Q47+Q48</f>
        <v>1289333</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166102</v>
      </c>
      <c r="D56" s="1447"/>
      <c r="E56" s="1448"/>
      <c r="F56" s="1440"/>
      <c r="I56" s="1449" t="s">
        <v>842</v>
      </c>
      <c r="J56" s="1450" t="s">
        <v>3443</v>
      </c>
      <c r="K56" s="1421" t="s">
        <v>843</v>
      </c>
      <c r="L56" s="1424">
        <f ca="1">IF(L48&lt;J51,"——",L48-J51)</f>
        <v>17.100000000000001</v>
      </c>
      <c r="O56" s="1418" t="s">
        <v>403</v>
      </c>
      <c r="P56" s="1419" t="s">
        <v>817</v>
      </c>
      <c r="Q56" s="1420">
        <f ca="1">C40+J29</f>
        <v>1289333</v>
      </c>
      <c r="R56" s="1420" t="s">
        <v>818</v>
      </c>
    </row>
    <row r="57" spans="1:18" s="1384" customFormat="1" ht="24.6" thickBot="1">
      <c r="A57" s="1451"/>
      <c r="B57" s="950" t="s">
        <v>767</v>
      </c>
      <c r="C57" s="238">
        <f ca="1">C29</f>
        <v>255541</v>
      </c>
      <c r="D57" s="1452"/>
      <c r="E57" s="1453"/>
      <c r="F57" s="1454"/>
      <c r="I57" s="1455" t="s">
        <v>844</v>
      </c>
      <c r="J57" s="1456" t="str">
        <f ca="1">IF(OR(M47="住宅",J51&lt;L48,J56="是"),"——",J51-L48)</f>
        <v>——</v>
      </c>
      <c r="K57" s="1421" t="s">
        <v>892</v>
      </c>
      <c r="L57" s="1424">
        <f ca="1">IF(L48&lt;J51,"——",IF(L55="比较法",L49,IF(L55="基准地价",L50,L51)))</f>
        <v>454827</v>
      </c>
      <c r="O57" s="1418" t="s">
        <v>404</v>
      </c>
      <c r="P57" s="1419" t="s">
        <v>893</v>
      </c>
      <c r="Q57" s="1420">
        <f ca="1">L60</f>
        <v>0</v>
      </c>
      <c r="R57" s="1420" t="s">
        <v>894</v>
      </c>
    </row>
    <row r="58" spans="1:18" s="1384" customFormat="1" ht="24.6" thickBot="1">
      <c r="A58" s="315" t="s">
        <v>393</v>
      </c>
      <c r="B58" s="958" t="s">
        <v>714</v>
      </c>
      <c r="C58" s="316">
        <f ca="1">ROUND(C59+C64+C65+C66,0)</f>
        <v>677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1289333</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511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166</v>
      </c>
      <c r="D65" s="964" t="s">
        <v>743</v>
      </c>
      <c r="E65" s="950" t="s">
        <v>744</v>
      </c>
      <c r="F65" s="330">
        <f t="shared" ca="1" si="0"/>
        <v>1E-3</v>
      </c>
      <c r="I65" s="1462" t="s">
        <v>867</v>
      </c>
      <c r="J65" s="1463">
        <v>40</v>
      </c>
      <c r="K65" s="1463">
        <v>30</v>
      </c>
      <c r="L65" s="1463">
        <v>50</v>
      </c>
      <c r="M65" s="1465">
        <v>0.02</v>
      </c>
      <c r="O65" s="1418" t="s">
        <v>403</v>
      </c>
      <c r="P65" s="1419" t="s">
        <v>868</v>
      </c>
      <c r="Q65" s="1420">
        <f ca="1">C40+J29</f>
        <v>1289333</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-677</v>
      </c>
      <c r="D67" s="963" t="s">
        <v>753</v>
      </c>
      <c r="E67" s="968"/>
      <c r="F67" s="969"/>
      <c r="O67" s="1428" t="s">
        <v>405</v>
      </c>
      <c r="P67" s="1419" t="s">
        <v>850</v>
      </c>
      <c r="Q67" s="1466">
        <f ca="1">L51</f>
        <v>454827</v>
      </c>
      <c r="R67" s="1420" t="s">
        <v>870</v>
      </c>
    </row>
    <row r="68" spans="1:18" s="1384" customFormat="1" ht="16.2" thickBot="1">
      <c r="A68" s="947" t="s">
        <v>395</v>
      </c>
      <c r="B68" s="948" t="s">
        <v>774</v>
      </c>
      <c r="C68" s="301">
        <f ca="1">ROUND(C67*(1-((1+F70)/(1+F68))^F69)/(F68-F70),0)</f>
        <v>-13019</v>
      </c>
      <c r="D68" s="965" t="s">
        <v>758</v>
      </c>
      <c r="E68" s="950" t="s">
        <v>759</v>
      </c>
      <c r="F68" s="312">
        <f ca="1">F40</f>
        <v>0.03</v>
      </c>
      <c r="O68" s="1428" t="s">
        <v>406</v>
      </c>
      <c r="P68" s="1467" t="s">
        <v>871</v>
      </c>
      <c r="Q68" s="1420">
        <f ca="1">ROUND(Q69-Q70*Q71,0)</f>
        <v>45693</v>
      </c>
      <c r="R68" s="1420" t="s">
        <v>414</v>
      </c>
    </row>
    <row r="69" spans="1:18" s="1384" customFormat="1" ht="13.8" thickBot="1">
      <c r="A69" s="951"/>
      <c r="B69" s="952"/>
      <c r="C69" s="306"/>
      <c r="D69" s="970" t="s">
        <v>762</v>
      </c>
      <c r="E69" s="950" t="s">
        <v>763</v>
      </c>
      <c r="F69" s="333">
        <f ca="1">F41</f>
        <v>29.1</v>
      </c>
      <c r="O69" s="1428" t="s">
        <v>411</v>
      </c>
      <c r="P69" s="1467" t="s">
        <v>872</v>
      </c>
      <c r="Q69" s="1420">
        <f ca="1">C39</f>
        <v>55659</v>
      </c>
      <c r="R69" s="1420" t="s">
        <v>818</v>
      </c>
    </row>
    <row r="70" spans="1:18" s="1384" customFormat="1" ht="13.8" thickBot="1">
      <c r="A70" s="954"/>
      <c r="B70" s="955"/>
      <c r="C70" s="310"/>
      <c r="D70" s="966"/>
      <c r="E70" s="950" t="s">
        <v>766</v>
      </c>
      <c r="F70" s="1054"/>
      <c r="O70" s="1428" t="s">
        <v>412</v>
      </c>
      <c r="P70" s="1467" t="s">
        <v>873</v>
      </c>
      <c r="Q70" s="1420">
        <f ca="1">C13</f>
        <v>166102</v>
      </c>
      <c r="R70" s="1420" t="s">
        <v>818</v>
      </c>
    </row>
    <row r="71" spans="1:18" s="1384" customFormat="1" ht="13.8" thickBot="1">
      <c r="A71" s="971" t="s">
        <v>396</v>
      </c>
      <c r="B71" s="972" t="s">
        <v>776</v>
      </c>
      <c r="C71" s="336">
        <f ca="1">ROUND(C68/F71,0)</f>
        <v>-197</v>
      </c>
      <c r="D71" s="973" t="s">
        <v>777</v>
      </c>
      <c r="E71" s="974" t="s">
        <v>778</v>
      </c>
      <c r="F71" s="339">
        <f ca="1">F43</f>
        <v>66</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9966</v>
      </c>
      <c r="D75" s="1384"/>
      <c r="E75" s="1384"/>
      <c r="F75" s="1384"/>
      <c r="K75" s="1402"/>
      <c r="L75" s="1384"/>
      <c r="O75" s="1418" t="s">
        <v>409</v>
      </c>
      <c r="P75" s="1419" t="s">
        <v>838</v>
      </c>
      <c r="Q75" s="1420">
        <f ca="1">Q65+Q66</f>
        <v>1289333</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0.82099999999999995</v>
      </c>
    </row>
    <row r="80" spans="1:18">
      <c r="B80" s="340" t="s">
        <v>800</v>
      </c>
      <c r="C80" s="274">
        <f ca="1">ROUND(C75/C39,3)</f>
        <v>0.17899999999999999</v>
      </c>
    </row>
    <row r="81" spans="2:3">
      <c r="B81" s="270" t="s">
        <v>801</v>
      </c>
      <c r="C81" s="238"/>
    </row>
    <row r="82" spans="2:3">
      <c r="B82" s="273" t="s">
        <v>802</v>
      </c>
      <c r="C82" s="275">
        <f ca="1">1-C83</f>
        <v>0.871</v>
      </c>
    </row>
    <row r="83" spans="2:3">
      <c r="B83" s="273" t="s">
        <v>803</v>
      </c>
      <c r="C83" s="274">
        <f ca="1">ROUND(C13/C40,3)</f>
        <v>0.129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3357</v>
      </c>
      <c r="E2" s="3444"/>
      <c r="F2" s="2846"/>
      <c r="G2" s="2847"/>
      <c r="H2" s="2848"/>
      <c r="I2" s="2849"/>
      <c r="J2" s="3675" t="s">
        <v>2317</v>
      </c>
      <c r="K2" s="3676"/>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7" t="s">
        <v>2327</v>
      </c>
      <c r="K3" s="3678"/>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7" t="s">
        <v>2329</v>
      </c>
      <c r="K4" s="3678"/>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3" t="s">
        <v>2333</v>
      </c>
      <c r="B6" s="3684"/>
      <c r="C6" s="3685"/>
      <c r="D6" s="2870"/>
      <c r="E6" s="2871"/>
      <c r="F6" s="2872"/>
      <c r="G6" s="2873"/>
      <c r="H6" s="2848"/>
      <c r="I6" s="2849"/>
      <c r="J6" s="3669">
        <v>1</v>
      </c>
      <c r="K6" s="367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69"/>
      <c r="K7" s="3671"/>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6" t="s">
        <v>2347</v>
      </c>
      <c r="C8" s="3687"/>
      <c r="D8" s="2889" t="s">
        <v>2348</v>
      </c>
      <c r="E8" s="2890" t="s">
        <v>2349</v>
      </c>
      <c r="F8" s="2891" t="s">
        <v>2350</v>
      </c>
      <c r="G8" s="2892"/>
      <c r="H8" s="2848"/>
      <c r="I8" s="2849"/>
      <c r="J8" s="3669"/>
      <c r="K8" s="3671"/>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6" t="s">
        <v>2353</v>
      </c>
      <c r="C9" s="3687"/>
      <c r="D9" s="2889">
        <f>ROUND(D6*E9,0)</f>
        <v>0</v>
      </c>
      <c r="E9" s="2893"/>
      <c r="F9" s="2894" t="s">
        <v>2354</v>
      </c>
      <c r="G9" s="2873"/>
      <c r="H9" s="2848"/>
      <c r="I9" s="2849"/>
      <c r="J9" s="3669"/>
      <c r="K9" s="3671"/>
      <c r="L9" s="2883" t="s">
        <v>2355</v>
      </c>
      <c r="M9" s="2884"/>
      <c r="N9" s="2860"/>
      <c r="O9" s="2885"/>
      <c r="P9" s="2885"/>
      <c r="Q9" s="2886">
        <v>365</v>
      </c>
      <c r="R9" s="2887">
        <f t="shared" si="0"/>
        <v>0</v>
      </c>
      <c r="S9" s="2841"/>
      <c r="T9" s="2841"/>
      <c r="U9" s="2841"/>
      <c r="V9" s="2849"/>
    </row>
    <row r="10" spans="1:22" s="2853" customFormat="1" ht="13.2" customHeight="1">
      <c r="A10" s="2888">
        <v>2</v>
      </c>
      <c r="B10" s="3686" t="s">
        <v>2356</v>
      </c>
      <c r="C10" s="3687"/>
      <c r="D10" s="2889">
        <f>ROUND(D6*E10,0)</f>
        <v>0</v>
      </c>
      <c r="E10" s="2893"/>
      <c r="F10" s="2894" t="s">
        <v>2357</v>
      </c>
      <c r="G10" s="2873"/>
      <c r="H10" s="2848"/>
      <c r="I10" s="2849"/>
      <c r="J10" s="3669"/>
      <c r="K10" s="3671"/>
      <c r="L10" s="2883" t="s">
        <v>2358</v>
      </c>
      <c r="M10" s="2884"/>
      <c r="N10" s="2860"/>
      <c r="O10" s="2885"/>
      <c r="P10" s="2885"/>
      <c r="Q10" s="2886">
        <v>365</v>
      </c>
      <c r="R10" s="2887">
        <f t="shared" si="0"/>
        <v>0</v>
      </c>
      <c r="S10" s="2841"/>
      <c r="T10" s="2841"/>
      <c r="U10" s="2841"/>
      <c r="V10" s="2849"/>
    </row>
    <row r="11" spans="1:22" s="2853" customFormat="1" ht="13.2" customHeight="1">
      <c r="A11" s="2888">
        <v>3</v>
      </c>
      <c r="B11" s="3686" t="s">
        <v>2359</v>
      </c>
      <c r="C11" s="3687"/>
      <c r="D11" s="2889">
        <f>D12+D14+D15+D16</f>
        <v>0</v>
      </c>
      <c r="E11" s="2895" t="e">
        <f>D11/D6</f>
        <v>#DIV/0!</v>
      </c>
      <c r="F11" s="2891"/>
      <c r="G11" s="2892"/>
      <c r="H11" s="2848"/>
      <c r="I11" s="2849"/>
      <c r="J11" s="3669"/>
      <c r="K11" s="3671"/>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9" t="s">
        <v>2362</v>
      </c>
      <c r="C12" s="3680"/>
      <c r="D12" s="2897">
        <f>ROUND(D13*1.2%*(1-30%),0)</f>
        <v>0</v>
      </c>
      <c r="E12" s="2898">
        <v>1.2E-2</v>
      </c>
      <c r="F12" s="2891" t="s">
        <v>2363</v>
      </c>
      <c r="G12" s="2892"/>
      <c r="H12" s="2848"/>
      <c r="I12" s="2849"/>
      <c r="J12" s="3669"/>
      <c r="K12" s="3671"/>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69"/>
      <c r="K13" s="3671"/>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9" t="s">
        <v>2368</v>
      </c>
      <c r="C14" s="3680"/>
      <c r="D14" s="2897">
        <f>ROUND(E14*B5/10000,0)</f>
        <v>0</v>
      </c>
      <c r="E14" s="2886"/>
      <c r="F14" s="2891" t="s">
        <v>2369</v>
      </c>
      <c r="G14" s="2892"/>
      <c r="H14" s="2848"/>
      <c r="I14" s="2849"/>
      <c r="J14" s="3669"/>
      <c r="K14" s="367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9" t="s">
        <v>2372</v>
      </c>
      <c r="C15" s="3680"/>
      <c r="D15" s="2897">
        <f>ROUND(D6*E15,0)</f>
        <v>0</v>
      </c>
      <c r="E15" s="2898">
        <v>5.5E-2</v>
      </c>
      <c r="F15" s="2891" t="s">
        <v>2373</v>
      </c>
      <c r="G15" s="2873"/>
      <c r="H15" s="2848"/>
      <c r="I15" s="2849"/>
      <c r="J15" s="3669">
        <v>2</v>
      </c>
      <c r="K15" s="367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9" t="s">
        <v>2381</v>
      </c>
      <c r="C16" s="3680"/>
      <c r="D16" s="2908">
        <f>D6*E16</f>
        <v>0</v>
      </c>
      <c r="E16" s="2909"/>
      <c r="F16" s="2894" t="s">
        <v>2382</v>
      </c>
      <c r="G16" s="2873"/>
      <c r="H16" s="2848"/>
      <c r="I16" s="2849"/>
      <c r="J16" s="3669"/>
      <c r="K16" s="3671"/>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1" t="s">
        <v>2384</v>
      </c>
      <c r="C17" s="3682"/>
      <c r="D17" s="2911">
        <f>ROUND(D6*E17,0)</f>
        <v>0</v>
      </c>
      <c r="E17" s="2912"/>
      <c r="F17" s="2913" t="s">
        <v>2385</v>
      </c>
      <c r="G17" s="2873"/>
      <c r="H17" s="2848"/>
      <c r="I17" s="2849"/>
      <c r="J17" s="3669"/>
      <c r="K17" s="3671"/>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69"/>
      <c r="K18" s="3671"/>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69"/>
      <c r="K19" s="367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9">
        <v>3</v>
      </c>
      <c r="K20" s="367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69"/>
      <c r="K21" s="3671"/>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69"/>
      <c r="K22" s="3671"/>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69"/>
      <c r="K23" s="3671"/>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69"/>
      <c r="K24" s="367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5" t="s">
        <v>2317</v>
      </c>
      <c r="K32" s="3676"/>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7" t="s">
        <v>2327</v>
      </c>
      <c r="K33" s="3678"/>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7" t="s">
        <v>2329</v>
      </c>
      <c r="K34" s="367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69">
        <v>1</v>
      </c>
      <c r="K36" s="3670"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69"/>
      <c r="K40" s="3672"/>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3">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128.9333</v>
      </c>
      <c r="C2" s="1872" t="s">
        <v>1651</v>
      </c>
      <c r="D2" s="1873" t="s">
        <v>1652</v>
      </c>
      <c r="E2" s="2607">
        <f>SUM(E6:E13)</f>
        <v>66</v>
      </c>
      <c r="F2" s="2707"/>
      <c r="G2" s="1489"/>
      <c r="H2" s="1489"/>
      <c r="I2" s="1489"/>
      <c r="J2" s="1489"/>
      <c r="K2" s="1489"/>
      <c r="L2" s="1489"/>
      <c r="M2" s="1489"/>
      <c r="N2" s="1489"/>
      <c r="O2" s="1489"/>
      <c r="P2" s="1489"/>
      <c r="Q2" s="1489"/>
      <c r="R2" s="1489"/>
      <c r="S2" s="1489"/>
    </row>
    <row r="3" spans="1:22" ht="15.6">
      <c r="A3" s="1870" t="s">
        <v>686</v>
      </c>
      <c r="B3" s="2601">
        <f ca="1">ROUND(B2*10000/E2,0)</f>
        <v>19535</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128.9333</v>
      </c>
      <c r="C6" s="1872" t="s">
        <v>1651</v>
      </c>
      <c r="D6" s="2709"/>
      <c r="E6" s="2606">
        <f>IF(OR(A6=0,F6="否"),0,'数据-取费表'!K6+'数据-取费表'!S6)</f>
        <v>66</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8" zoomScale="85" zoomScaleNormal="60" zoomScaleSheetLayoutView="85" workbookViewId="0">
      <selection activeCell="C38" sqref="C3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3402</v>
      </c>
      <c r="E1" s="3426" t="s">
        <v>3444</v>
      </c>
      <c r="F1" s="1879" t="s">
        <v>3445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279.80700000000002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42395</v>
      </c>
      <c r="C3" s="354" t="s">
        <v>1665</v>
      </c>
      <c r="D3" s="353">
        <f>IF(D1="",'数据-汇总表'!E3,SUMIF('数据-汇总表'!$C19:$C33,D1,'数据-汇总表'!$E19:$E33))</f>
        <v>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c r="A5" s="358"/>
      <c r="B5" s="359"/>
      <c r="C5" s="3820" t="s">
        <v>3448</v>
      </c>
      <c r="D5" s="3728"/>
      <c r="E5" s="3734" t="s">
        <v>1674</v>
      </c>
      <c r="F5" s="3735"/>
      <c r="G5" s="3727" t="s">
        <v>1675</v>
      </c>
      <c r="H5" s="3728"/>
      <c r="I5" s="3727" t="s">
        <v>1676</v>
      </c>
      <c r="J5" s="3728"/>
      <c r="K5" s="1890"/>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25" t="s">
        <v>1677</v>
      </c>
      <c r="D6" s="3726"/>
      <c r="E6" s="3732" t="str">
        <f>Sheet1!$E$2</f>
        <v>甜水园东里甲24号楼6层1门601</v>
      </c>
      <c r="F6" s="3733"/>
      <c r="G6" s="3725" t="str">
        <f>Sheet1!E6</f>
        <v>甜水园东里9号楼4层1门401</v>
      </c>
      <c r="H6" s="3726"/>
      <c r="I6" s="3725" t="str">
        <f>Sheet1!$E$7</f>
        <v>甜水园东里18号楼4层1门401</v>
      </c>
      <c r="J6" s="3726"/>
      <c r="K6" s="1890"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45993</v>
      </c>
      <c r="D7" s="365">
        <v>100</v>
      </c>
      <c r="E7" s="366">
        <f>Sheet1!$R$2</f>
        <v>45987</v>
      </c>
      <c r="F7" s="367">
        <f>SUMIF(58:58,YEAR(E7)&amp;"-"&amp;MONTH(E7),59:59)</f>
        <v>100</v>
      </c>
      <c r="G7" s="366">
        <f>Sheet1!$R$6</f>
        <v>45911</v>
      </c>
      <c r="H7" s="365">
        <f>SUMIF(58:58,YEAR(G7)&amp;"-"&amp;MONTH(G7),59:59)</f>
        <v>100.2</v>
      </c>
      <c r="I7" s="366">
        <f>Sheet1!$R$7</f>
        <v>45905</v>
      </c>
      <c r="J7" s="365">
        <f>SUMIF(58:58,YEAR(I7)&amp;"-"&amp;MONTH(I7),59:59)</f>
        <v>100.2</v>
      </c>
      <c r="K7" s="1891"/>
      <c r="L7" s="2717"/>
      <c r="M7" s="2718"/>
      <c r="N7" s="2718"/>
      <c r="O7" s="2718"/>
      <c r="P7" s="3729" t="s">
        <v>1680</v>
      </c>
      <c r="Q7" s="3731"/>
      <c r="R7" s="701" t="s">
        <v>20</v>
      </c>
      <c r="S7" s="702">
        <f t="shared" ref="S7:S15" si="0">F7</f>
        <v>100</v>
      </c>
      <c r="T7" s="701" t="s">
        <v>20</v>
      </c>
      <c r="U7" s="702">
        <f t="shared" ref="U7:U15" si="1">H7</f>
        <v>100.2</v>
      </c>
      <c r="V7" s="701" t="s">
        <v>20</v>
      </c>
      <c r="W7" s="702">
        <f t="shared" ref="W7:W15" si="2">J7</f>
        <v>100.2</v>
      </c>
      <c r="X7" s="703"/>
      <c r="Y7" s="3729" t="s">
        <v>1680</v>
      </c>
      <c r="Z7" s="3730"/>
      <c r="AA7" s="704">
        <f>D7/F7</f>
        <v>1</v>
      </c>
      <c r="AB7" s="704">
        <f>D7/H7</f>
        <v>0.99800399201596801</v>
      </c>
      <c r="AC7" s="704">
        <f>D7/J7</f>
        <v>0.99800399201596801</v>
      </c>
    </row>
    <row r="8" spans="1:29" s="108" customFormat="1" ht="15" thickBot="1">
      <c r="A8" s="362" t="s">
        <v>1681</v>
      </c>
      <c r="B8" s="363"/>
      <c r="C8" s="368" t="s">
        <v>3446</v>
      </c>
      <c r="D8" s="365">
        <v>100</v>
      </c>
      <c r="E8" s="1892" t="s">
        <v>3446</v>
      </c>
      <c r="F8" s="367">
        <f>SUMIF(61:61,E8,62:62)-SUMIF(61:61,C8,62:62)+100</f>
        <v>100</v>
      </c>
      <c r="G8" s="368" t="s">
        <v>3446</v>
      </c>
      <c r="H8" s="365">
        <f>SUMIF(61:61,G8,62:62)-SUMIF(61:61,C8,62:62)+100</f>
        <v>100</v>
      </c>
      <c r="I8" s="1892" t="s">
        <v>3446</v>
      </c>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ht="14.4">
      <c r="A9" s="369" t="s">
        <v>1684</v>
      </c>
      <c r="B9" s="63" t="s">
        <v>1685</v>
      </c>
      <c r="C9" s="3819" t="s">
        <v>3447</v>
      </c>
      <c r="D9" s="126">
        <v>100</v>
      </c>
      <c r="E9" s="371" t="s">
        <v>3402</v>
      </c>
      <c r="F9" s="372">
        <f>SUMIF(63:63,E9,64:64)-SUMIF(63:63,C9,64:64)+100</f>
        <v>100</v>
      </c>
      <c r="G9" s="373" t="s">
        <v>3402</v>
      </c>
      <c r="H9" s="126">
        <f>SUMIF(63:63,G9,64:64)-SUMIF(63:63,C9,64:64)+100</f>
        <v>100</v>
      </c>
      <c r="I9" s="373" t="s">
        <v>3402</v>
      </c>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v>2.5</v>
      </c>
      <c r="D11" s="127">
        <v>100</v>
      </c>
      <c r="E11" s="381">
        <v>2.5</v>
      </c>
      <c r="F11" s="376">
        <f>LOOKUP(E11,68:68,69:69)-LOOKUP(C11,68:68,69:69)+100</f>
        <v>100</v>
      </c>
      <c r="G11" s="380">
        <v>2.5</v>
      </c>
      <c r="H11" s="127">
        <f>LOOKUP(G11,68:68,69:69)-LOOKUP(C11,68:68,69:69)+100</f>
        <v>100</v>
      </c>
      <c r="I11" s="380">
        <v>2.5</v>
      </c>
      <c r="J11" s="127">
        <f>LOOKUP(I11,68:68,69:69)-LOOKUP(C11,68:68,69:69)+100</f>
        <v>100</v>
      </c>
      <c r="K11" s="377"/>
      <c r="L11" s="2721"/>
      <c r="M11" s="2716"/>
      <c r="N11" s="2716"/>
      <c r="O11" s="2716"/>
      <c r="P11" s="3704"/>
      <c r="Q11" s="1343" t="str">
        <f t="shared" si="6"/>
        <v>容积率</v>
      </c>
      <c r="R11" s="701" t="s">
        <v>18</v>
      </c>
      <c r="S11" s="702">
        <f t="shared" si="0"/>
        <v>100</v>
      </c>
      <c r="T11" s="701" t="s">
        <v>18</v>
      </c>
      <c r="U11" s="702">
        <f t="shared" si="1"/>
        <v>100</v>
      </c>
      <c r="V11" s="701" t="s">
        <v>18</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t="s">
        <v>3517</v>
      </c>
      <c r="D26" s="386">
        <v>100</v>
      </c>
      <c r="E26" s="1906" t="s">
        <v>3528</v>
      </c>
      <c r="F26" s="386">
        <f>SUMIF(88:88,E26,89:89)-SUMIF(88:88,C26,89:89)+100</f>
        <v>96</v>
      </c>
      <c r="G26" s="1907" t="s">
        <v>3517</v>
      </c>
      <c r="H26" s="386">
        <f>SUMIF(88:88,G26,89:89)-SUMIF(88:88,C26,89:89)+100</f>
        <v>100</v>
      </c>
      <c r="I26" s="1907" t="s">
        <v>3522</v>
      </c>
      <c r="J26" s="386">
        <f>SUMIF(88:88,I26,89:89)-SUMIF(88:88,C26,89:89)+100</f>
        <v>102</v>
      </c>
      <c r="K26" s="377">
        <v>1</v>
      </c>
      <c r="L26" s="2722"/>
      <c r="M26" s="2716"/>
      <c r="N26" s="2716"/>
      <c r="O26" s="2716"/>
      <c r="P26" s="3703"/>
      <c r="Q26" s="1352" t="str">
        <f t="shared" si="11"/>
        <v>朝向</v>
      </c>
      <c r="R26" s="705" t="s">
        <v>18</v>
      </c>
      <c r="S26" s="706">
        <f t="shared" si="12"/>
        <v>96</v>
      </c>
      <c r="T26" s="705" t="s">
        <v>18</v>
      </c>
      <c r="U26" s="706">
        <f t="shared" si="13"/>
        <v>100</v>
      </c>
      <c r="V26" s="705" t="s">
        <v>18</v>
      </c>
      <c r="W26" s="706">
        <f t="shared" si="14"/>
        <v>102</v>
      </c>
      <c r="X26" s="1355"/>
      <c r="Y26" s="3696"/>
      <c r="Z26" s="1356" t="str">
        <f>Q26</f>
        <v>朝向</v>
      </c>
      <c r="AA26" s="1353">
        <f t="shared" si="15"/>
        <v>1.0416666666666667</v>
      </c>
      <c r="AB26" s="1353">
        <f t="shared" si="16"/>
        <v>1</v>
      </c>
      <c r="AC26" s="1353">
        <f t="shared" si="17"/>
        <v>0.98039215686274506</v>
      </c>
    </row>
    <row r="27" spans="1:29" s="108" customFormat="1" ht="15.6" thickBot="1">
      <c r="A27" s="382"/>
      <c r="B27" s="3828" t="s">
        <v>3516</v>
      </c>
      <c r="C27" s="3829" t="str">
        <f>C90</f>
        <v>1/6</v>
      </c>
      <c r="D27" s="413">
        <v>100</v>
      </c>
      <c r="E27" s="416" t="str">
        <f>D90</f>
        <v>6/6</v>
      </c>
      <c r="F27" s="413">
        <f>SUMIF(90:90,E27,91:91)-SUMIF(90:90,C27,91:91)+100</f>
        <v>99</v>
      </c>
      <c r="G27" s="414" t="s">
        <v>3521</v>
      </c>
      <c r="H27" s="413">
        <f>SUMIF(90:90,G27,91:91)-SUMIF(90:90,C27,91:91)+100</f>
        <v>102</v>
      </c>
      <c r="I27" s="414" t="str">
        <f>F90</f>
        <v>4/6</v>
      </c>
      <c r="J27" s="413">
        <f>SUMIF(90:90,I27,91:91)-SUMIF(90:90,C27,91:91)+100</f>
        <v>102</v>
      </c>
      <c r="K27" s="1894"/>
      <c r="L27" s="2717"/>
      <c r="M27" s="2718"/>
      <c r="N27" s="2718"/>
      <c r="O27" s="2718"/>
      <c r="P27" s="3703"/>
      <c r="Q27" s="1343" t="str">
        <f t="shared" si="11"/>
        <v>楼层</v>
      </c>
      <c r="R27" s="701" t="s">
        <v>18</v>
      </c>
      <c r="S27" s="702">
        <f t="shared" si="12"/>
        <v>99</v>
      </c>
      <c r="T27" s="701" t="s">
        <v>18</v>
      </c>
      <c r="U27" s="702">
        <f t="shared" si="13"/>
        <v>102</v>
      </c>
      <c r="V27" s="701" t="s">
        <v>18</v>
      </c>
      <c r="W27" s="702">
        <f t="shared" si="14"/>
        <v>102</v>
      </c>
      <c r="X27" s="703"/>
      <c r="Y27" s="3696"/>
      <c r="Z27" s="52" t="str">
        <f>Q27</f>
        <v>楼层</v>
      </c>
      <c r="AA27" s="1353">
        <f t="shared" si="15"/>
        <v>1.0101010101010102</v>
      </c>
      <c r="AB27" s="1353">
        <f t="shared" si="16"/>
        <v>0.98039215686274506</v>
      </c>
      <c r="AC27" s="1353">
        <f t="shared" si="17"/>
        <v>0.98039215686274506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t="s">
        <v>3539</v>
      </c>
      <c r="D32" s="418">
        <v>100</v>
      </c>
      <c r="E32" s="1911" t="s">
        <v>3539</v>
      </c>
      <c r="F32" s="412">
        <f>SUMIF(100:100,E32,101:101)-SUMIF(100:100,C32,101:101)+100</f>
        <v>100</v>
      </c>
      <c r="G32" s="1910" t="s">
        <v>3539</v>
      </c>
      <c r="H32" s="418">
        <f>SUMIF(100:100,G32,101:101)-SUMIF(100:100,C32,101:101)+100</f>
        <v>100</v>
      </c>
      <c r="I32" s="1911" t="s">
        <v>3539</v>
      </c>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66</v>
      </c>
      <c r="D33" s="127">
        <v>100</v>
      </c>
      <c r="E33" s="381">
        <f>Sheet1!$I$2</f>
        <v>62.75</v>
      </c>
      <c r="F33" s="376">
        <f>LOOKUP(E33,103:103,104:104)-LOOKUP(C33,103:103,104:104)+100</f>
        <v>100</v>
      </c>
      <c r="G33" s="380">
        <f>Sheet1!$I$6</f>
        <v>55.96</v>
      </c>
      <c r="H33" s="127">
        <f>LOOKUP(G33,103:103,104:104)-LOOKUP(C33,103:103,104:104)+100</f>
        <v>102</v>
      </c>
      <c r="I33" s="381">
        <f>Sheet1!$I$7</f>
        <v>58.07</v>
      </c>
      <c r="J33" s="127">
        <f>LOOKUP(I33,103:103,104:104)-LOOKUP(C33,103:103,104:104)+100</f>
        <v>102</v>
      </c>
      <c r="K33" s="1894"/>
      <c r="L33" s="2721"/>
      <c r="M33" s="2723"/>
      <c r="N33" s="2723"/>
      <c r="O33" s="2723"/>
      <c r="P33" s="3698"/>
      <c r="Q33" s="707" t="str">
        <f t="shared" si="11"/>
        <v>项目建筑规模</v>
      </c>
      <c r="R33" s="708" t="s">
        <v>18</v>
      </c>
      <c r="S33" s="709">
        <f t="shared" si="12"/>
        <v>100</v>
      </c>
      <c r="T33" s="708" t="s">
        <v>18</v>
      </c>
      <c r="U33" s="709">
        <f t="shared" si="13"/>
        <v>102</v>
      </c>
      <c r="V33" s="708" t="s">
        <v>18</v>
      </c>
      <c r="W33" s="709">
        <f t="shared" si="14"/>
        <v>102</v>
      </c>
      <c r="X33" s="710"/>
      <c r="Y33" s="3700"/>
      <c r="Z33" s="711" t="str">
        <f t="shared" si="18"/>
        <v>项目建筑规模</v>
      </c>
      <c r="AA33" s="1353">
        <f t="shared" si="15"/>
        <v>1</v>
      </c>
      <c r="AB33" s="1353">
        <f t="shared" si="16"/>
        <v>0.98039215686274506</v>
      </c>
      <c r="AC33" s="1353">
        <f t="shared" si="17"/>
        <v>0.98039215686274506</v>
      </c>
    </row>
    <row r="34" spans="1:29" ht="15">
      <c r="A34" s="423"/>
      <c r="B34" s="375" t="s">
        <v>1698</v>
      </c>
      <c r="C34" s="1912" t="s">
        <v>3530</v>
      </c>
      <c r="D34" s="386">
        <v>100</v>
      </c>
      <c r="E34" s="1913" t="s">
        <v>3530</v>
      </c>
      <c r="F34" s="412">
        <f>SUMIF(105:105,E34,106:106)-SUMIF(105:105,C34,106:106)+100</f>
        <v>100</v>
      </c>
      <c r="G34" s="1912" t="s">
        <v>3530</v>
      </c>
      <c r="H34" s="386">
        <f>SUMIF(105:105,G34,106:106)-SUMIF(105:105,C34,106:106)+100</f>
        <v>100</v>
      </c>
      <c r="I34" s="1913" t="s">
        <v>3530</v>
      </c>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v>0.65</v>
      </c>
      <c r="D37" s="127">
        <v>100</v>
      </c>
      <c r="E37" s="425">
        <f>C37</f>
        <v>0.65</v>
      </c>
      <c r="F37" s="376">
        <f>LOOKUP(E37,112:112,113:113)-LOOKUP(C37,112:112,113:113)+100</f>
        <v>100</v>
      </c>
      <c r="G37" s="427">
        <f>C37</f>
        <v>0.65</v>
      </c>
      <c r="H37" s="127">
        <f>LOOKUP(G37,112:112,113:113)-LOOKUP(C37,112:112,113:113)+100</f>
        <v>100</v>
      </c>
      <c r="I37" s="426">
        <f>C37</f>
        <v>0.65</v>
      </c>
      <c r="J37" s="127">
        <f>LOOKUP(I37,112:112,113:113)-LOOKUP(C37,112:112,113:113)+100</f>
        <v>100</v>
      </c>
      <c r="K37" s="377"/>
      <c r="L37" s="2717"/>
      <c r="M37" s="2718"/>
      <c r="N37" s="2718"/>
      <c r="O37" s="2718"/>
      <c r="P37" s="3698"/>
      <c r="Q37" s="1343" t="str">
        <f t="shared" si="11"/>
        <v>成新度</v>
      </c>
      <c r="R37" s="701" t="s">
        <v>18</v>
      </c>
      <c r="S37" s="702">
        <f t="shared" si="12"/>
        <v>100</v>
      </c>
      <c r="T37" s="701" t="s">
        <v>18</v>
      </c>
      <c r="U37" s="702">
        <f t="shared" si="13"/>
        <v>100</v>
      </c>
      <c r="V37" s="701" t="s">
        <v>18</v>
      </c>
      <c r="W37" s="702">
        <f t="shared" si="14"/>
        <v>100</v>
      </c>
      <c r="X37" s="703"/>
      <c r="Y37" s="3700"/>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t="s">
        <v>3532</v>
      </c>
      <c r="D42" s="386">
        <v>100</v>
      </c>
      <c r="E42" s="1907" t="s">
        <v>3537</v>
      </c>
      <c r="F42" s="412">
        <f>SUMIF(122:122,E42,123:123)-SUMIF(122:122,C42,123:123)+100</f>
        <v>97</v>
      </c>
      <c r="G42" s="1906" t="s">
        <v>3537</v>
      </c>
      <c r="H42" s="386">
        <f>SUMIF(122:122,G42,123:123)-SUMIF(122:122,C42,123:123)+100</f>
        <v>97</v>
      </c>
      <c r="I42" s="1907" t="s">
        <v>3532</v>
      </c>
      <c r="J42" s="386">
        <f>SUMIF(122:122,I42,123:123)-SUMIF(122:122,C42,123:123)+100</f>
        <v>100</v>
      </c>
      <c r="K42" s="377">
        <v>3</v>
      </c>
      <c r="L42" s="2722"/>
      <c r="M42" s="2716"/>
      <c r="N42" s="2716"/>
      <c r="O42" s="2716"/>
      <c r="P42" s="3698"/>
      <c r="Q42" s="1352" t="str">
        <f t="shared" si="11"/>
        <v>内部装修</v>
      </c>
      <c r="R42" s="705" t="s">
        <v>18</v>
      </c>
      <c r="S42" s="706">
        <f t="shared" si="12"/>
        <v>97</v>
      </c>
      <c r="T42" s="705" t="s">
        <v>18</v>
      </c>
      <c r="U42" s="706">
        <f t="shared" si="13"/>
        <v>97</v>
      </c>
      <c r="V42" s="705" t="s">
        <v>18</v>
      </c>
      <c r="W42" s="706">
        <f t="shared" si="14"/>
        <v>100</v>
      </c>
      <c r="X42" s="1355"/>
      <c r="Y42" s="3700"/>
      <c r="Z42" s="1356" t="str">
        <f t="shared" si="18"/>
        <v>内部装修</v>
      </c>
      <c r="AA42" s="1353">
        <f t="shared" si="15"/>
        <v>1.0309278350515463</v>
      </c>
      <c r="AB42" s="1353">
        <f t="shared" si="16"/>
        <v>1.0309278350515463</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4.4">
      <c r="A47" s="430" t="s">
        <v>1708</v>
      </c>
      <c r="B47" s="431"/>
      <c r="C47" s="1154" t="s">
        <v>16</v>
      </c>
      <c r="D47" s="1155"/>
      <c r="E47" s="1156">
        <f>Sheet1!$O$2</f>
        <v>37769</v>
      </c>
      <c r="F47" s="1157"/>
      <c r="G47" s="1158">
        <f>Sheet1!O6</f>
        <v>47141</v>
      </c>
      <c r="H47" s="1159"/>
      <c r="I47" s="1156">
        <f>Sheet1!$O$7</f>
        <v>42104</v>
      </c>
      <c r="J47" s="1159"/>
      <c r="K47" s="1914"/>
      <c r="L47" s="2724"/>
      <c r="M47" s="2725"/>
      <c r="N47" s="2716"/>
      <c r="O47" s="2725"/>
      <c r="P47" s="3693" t="str">
        <f>A47</f>
        <v>成交单价（元/平方米）</v>
      </c>
      <c r="Q47" s="3693"/>
      <c r="R47" s="3694">
        <f>E47</f>
        <v>37769</v>
      </c>
      <c r="S47" s="3694"/>
      <c r="T47" s="3694">
        <f>G47</f>
        <v>47141</v>
      </c>
      <c r="U47" s="3694"/>
      <c r="V47" s="3694">
        <f>I47</f>
        <v>42104</v>
      </c>
      <c r="W47" s="3694"/>
      <c r="X47" s="690"/>
      <c r="Y47" s="712"/>
      <c r="Z47" s="690"/>
      <c r="AA47" s="690"/>
      <c r="AB47" s="690"/>
      <c r="AC47" s="690"/>
    </row>
    <row r="48" spans="1:29" ht="15" thickBot="1">
      <c r="A48" s="437" t="s">
        <v>1709</v>
      </c>
      <c r="B48" s="438"/>
      <c r="C48" s="1160">
        <f>R49</f>
        <v>42395</v>
      </c>
      <c r="D48" s="2317" t="s">
        <v>2138</v>
      </c>
      <c r="E48" s="1161">
        <f>R48</f>
        <v>40969</v>
      </c>
      <c r="F48" s="2318"/>
      <c r="G48" s="1160">
        <f>T48</f>
        <v>46619</v>
      </c>
      <c r="H48" s="2318"/>
      <c r="I48" s="1161">
        <f>V48</f>
        <v>39596</v>
      </c>
      <c r="J48" s="2318"/>
      <c r="K48" s="2319">
        <f>F48+H48+J48</f>
        <v>0</v>
      </c>
      <c r="L48" s="2724"/>
      <c r="M48" s="2725"/>
      <c r="N48" s="2725"/>
      <c r="O48" s="2725"/>
      <c r="P48" s="3693" t="str">
        <f>A48</f>
        <v>比较价值（元/平方米）</v>
      </c>
      <c r="Q48" s="3693"/>
      <c r="R48" s="3694">
        <f>IF(F1="售价",ROUND(PRODUCT(R47,AA7:AA46),0),ROUND(PRODUCT(R47,AA7:AA46),1))</f>
        <v>40969</v>
      </c>
      <c r="S48" s="3694"/>
      <c r="T48" s="3694">
        <f>IF(F1="售价",ROUND(PRODUCT(T47,AB7:AB46),0),ROUND(PRODUCT(T47,AB7:AB46),1))</f>
        <v>46619</v>
      </c>
      <c r="U48" s="3694"/>
      <c r="V48" s="3694">
        <f>IF(F1="售价",ROUND(PRODUCT(V47,AC7:AC46),0),ROUND(PRODUCT(V47,AC7:AC46),1))</f>
        <v>39596</v>
      </c>
      <c r="W48" s="3694"/>
      <c r="X48" s="690"/>
      <c r="Y48" s="690"/>
      <c r="Z48" s="690"/>
      <c r="AA48" s="690"/>
      <c r="AB48" s="690"/>
      <c r="AC48" s="690"/>
    </row>
    <row r="49" spans="1:29" ht="15" thickBot="1">
      <c r="A49" s="441" t="s">
        <v>1710</v>
      </c>
      <c r="B49" s="442"/>
      <c r="C49" s="1162">
        <f>R49</f>
        <v>42395</v>
      </c>
      <c r="D49" s="1163"/>
      <c r="E49" s="1163"/>
      <c r="F49" s="1163"/>
      <c r="G49" s="1163"/>
      <c r="H49" s="1163"/>
      <c r="I49" s="1163"/>
      <c r="J49" s="1163"/>
      <c r="K49" s="1915"/>
      <c r="L49" s="2724"/>
      <c r="M49" s="2725"/>
      <c r="N49" s="2725"/>
      <c r="O49" s="2725"/>
      <c r="P49" s="3690" t="str">
        <f>A49</f>
        <v>估价对象XX用房的比较价值（楼面单价，元/平方米）</v>
      </c>
      <c r="Q49" s="3691"/>
      <c r="R49" s="3692">
        <f>IF(F1="售价",ROUND(IF(D48="简单平均",AVERAGE(R48:V48),R48*F48+T48*H48+V48*J48),0),ROUND(IF(D48="简单平均",AVERAGE(R48:V48),R48*F48+T48*H48+V48*J48),1))</f>
        <v>42395</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8.4725568587995514E-2</v>
      </c>
      <c r="F52" s="449" t="str">
        <f>IF(OR(E52&gt;=0.3,E52&lt;=-0.3),"超过30%","")</f>
        <v/>
      </c>
      <c r="G52" s="448">
        <f>IF(G47&lt;G48,G48/G47-1,G47/G48-1)</f>
        <v>1.1197151376048486E-2</v>
      </c>
      <c r="H52" s="449" t="str">
        <f>IF(OR(G52&gt;=0.3,G52&lt;=-0.3),"超过30%","")</f>
        <v/>
      </c>
      <c r="I52" s="448">
        <f>IF(I47&lt;I48,I48/I47-1,I47/I48-1)</f>
        <v>6.3339731285988465E-2</v>
      </c>
      <c r="J52" s="449" t="str">
        <f>IF(OR(I52&gt;=0.3,I52&lt;=-0.3),"超过30%","")</f>
        <v/>
      </c>
      <c r="K52" s="2730"/>
      <c r="L52" s="2726"/>
      <c r="M52" s="2725"/>
      <c r="N52" s="2725"/>
      <c r="O52" s="2725"/>
    </row>
    <row r="53" spans="1:29" ht="13.5" customHeight="1">
      <c r="A53" s="2725"/>
      <c r="B53" s="2725"/>
      <c r="C53" s="446" t="s">
        <v>1712</v>
      </c>
      <c r="D53" s="450"/>
      <c r="E53" s="448">
        <f>IF(E48&lt;G48,G48/E48-1,E48/G48-1)</f>
        <v>0.1379091508213528</v>
      </c>
      <c r="F53" s="449" t="str">
        <f>IF(OR(E53&gt;=0.2,E53&lt;=-0.2),"超过20%","")</f>
        <v/>
      </c>
      <c r="G53" s="448">
        <f>IF(G48&lt;I48,I48/G48-1,G48/I48-1)</f>
        <v>0.17736640064652986</v>
      </c>
      <c r="H53" s="449" t="str">
        <f>IF(OR(G53&gt;=0.2,G53&lt;=-0.2),"超过20%","")</f>
        <v/>
      </c>
      <c r="I53" s="448">
        <f>IF(I48&lt;E48,E48/I48-1,I48/E48-1)</f>
        <v>3.4675219719163541E-2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0.24814000900209177</v>
      </c>
      <c r="F54" s="449" t="str">
        <f>IF(OR(E54&gt;=0.3,E54&lt;=-0.3),"超过30%","")</f>
        <v/>
      </c>
      <c r="G54" s="448">
        <f>IF(G47&lt;I47,I47/G47-1,G47/I47-1)</f>
        <v>0.11963233897016901</v>
      </c>
      <c r="H54" s="449" t="str">
        <f>IF(OR(G54&gt;=0.3,G54&lt;=-0.3),"超过30%","")</f>
        <v/>
      </c>
      <c r="I54" s="448">
        <f>IF(I47&lt;E47,E47/I47-1,I47/E47-1)</f>
        <v>0.11477666869655012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c r="A59" s="458"/>
      <c r="B59" s="1919"/>
      <c r="C59" s="1183">
        <v>100</v>
      </c>
      <c r="D59" s="460">
        <f>C59</f>
        <v>100</v>
      </c>
      <c r="E59" s="461">
        <f>C59</f>
        <v>100</v>
      </c>
      <c r="F59" s="461">
        <v>100.2</v>
      </c>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831" t="s">
        <v>3523</v>
      </c>
      <c r="D88" s="3831" t="s">
        <v>3524</v>
      </c>
      <c r="E88" s="3831" t="s">
        <v>3518</v>
      </c>
      <c r="F88" s="3832" t="s">
        <v>3525</v>
      </c>
      <c r="G88" s="3831" t="s">
        <v>3526</v>
      </c>
      <c r="H88" s="3831" t="s">
        <v>3527</v>
      </c>
      <c r="I88" s="3831" t="s">
        <v>3529</v>
      </c>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3830" t="s">
        <v>3519</v>
      </c>
      <c r="D90" s="3830" t="s">
        <v>3520</v>
      </c>
      <c r="E90" s="3830"/>
      <c r="F90" s="3830" t="s">
        <v>3521</v>
      </c>
      <c r="G90" s="503"/>
      <c r="H90" s="504"/>
      <c r="I90" s="504"/>
      <c r="J90" s="504"/>
      <c r="K90" s="504"/>
      <c r="L90" s="505"/>
      <c r="M90" s="506"/>
      <c r="N90" s="935"/>
      <c r="O90" s="935"/>
      <c r="P90" s="1923"/>
      <c r="Q90" s="508"/>
    </row>
    <row r="91" spans="1:17" s="422" customFormat="1" ht="14.4" thickBot="1">
      <c r="A91" s="502"/>
      <c r="B91" s="492"/>
      <c r="C91" s="509">
        <v>99</v>
      </c>
      <c r="D91" s="509">
        <v>98</v>
      </c>
      <c r="E91" s="509"/>
      <c r="F91" s="509">
        <v>101</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834" t="s">
        <v>3540</v>
      </c>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0(含)-45</v>
      </c>
      <c r="D102" s="527" t="str">
        <f t="shared" ref="D102:L102" si="26">D103&amp;"(含)"&amp;"-"&amp;E103</f>
        <v>45(含)-60</v>
      </c>
      <c r="E102" s="527" t="str">
        <f t="shared" si="26"/>
        <v>60(含)-75</v>
      </c>
      <c r="F102" s="527" t="str">
        <f t="shared" si="26"/>
        <v>75(含)-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45</v>
      </c>
      <c r="E103" s="544">
        <v>60</v>
      </c>
      <c r="F103" s="544">
        <v>75</v>
      </c>
      <c r="G103" s="544"/>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95</v>
      </c>
      <c r="G104" s="485"/>
      <c r="H104" s="485"/>
      <c r="I104" s="485"/>
      <c r="J104" s="485"/>
      <c r="K104" s="485"/>
      <c r="L104" s="485"/>
      <c r="M104" s="485"/>
      <c r="N104" s="934"/>
      <c r="O104" s="934"/>
      <c r="P104" s="1923"/>
      <c r="Q104" s="508"/>
    </row>
    <row r="105" spans="1:17" ht="15" thickTop="1">
      <c r="A105" s="548"/>
      <c r="B105" s="487" t="s">
        <v>1738</v>
      </c>
      <c r="C105" s="3831" t="s">
        <v>3531</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831" t="s">
        <v>3533</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831" t="s">
        <v>3534</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833" t="s">
        <v>3535</v>
      </c>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831" t="s">
        <v>3536</v>
      </c>
      <c r="D122" s="3831" t="s">
        <v>3538</v>
      </c>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24"/>
      <c r="AC5" s="3706"/>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24"/>
      <c r="AC6" s="3707"/>
    </row>
    <row r="7" spans="1:29" s="108" customFormat="1" ht="15" thickBot="1">
      <c r="A7" s="362" t="s">
        <v>1679</v>
      </c>
      <c r="B7" s="363"/>
      <c r="C7" s="364">
        <f>'数据-取费表'!B2</f>
        <v>45993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c r="A5" s="358"/>
      <c r="B5" s="359"/>
      <c r="C5" s="3727" t="s">
        <v>1673</v>
      </c>
      <c r="D5" s="3728"/>
      <c r="E5" s="3734" t="s">
        <v>1674</v>
      </c>
      <c r="F5" s="3735"/>
      <c r="G5" s="3727" t="s">
        <v>1675</v>
      </c>
      <c r="H5" s="3728"/>
      <c r="I5" s="3727" t="s">
        <v>1676</v>
      </c>
      <c r="J5" s="3728"/>
      <c r="K5" s="559"/>
      <c r="L5" s="2715"/>
      <c r="M5" s="2716"/>
      <c r="N5" s="2716"/>
      <c r="O5" s="2716"/>
      <c r="P5" s="3744"/>
      <c r="Q5" s="3715"/>
      <c r="R5" s="3720"/>
      <c r="S5" s="3721"/>
      <c r="T5" s="3720"/>
      <c r="U5" s="3721"/>
      <c r="V5" s="3724"/>
      <c r="W5" s="3724"/>
      <c r="X5" s="1355"/>
      <c r="Y5" s="3720"/>
      <c r="Z5" s="3721"/>
      <c r="AA5" s="3706"/>
      <c r="AB5" s="3706"/>
      <c r="AC5" s="3740"/>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45"/>
      <c r="Q6" s="3717"/>
      <c r="R6" s="3720"/>
      <c r="S6" s="3721"/>
      <c r="T6" s="3722"/>
      <c r="U6" s="3723"/>
      <c r="V6" s="3724"/>
      <c r="W6" s="3724"/>
      <c r="X6" s="1355"/>
      <c r="Y6" s="3722"/>
      <c r="Z6" s="3723"/>
      <c r="AA6" s="3707"/>
      <c r="AB6" s="3707"/>
      <c r="AC6" s="3741"/>
    </row>
    <row r="7" spans="1:29" s="108" customFormat="1" ht="15" thickBot="1">
      <c r="A7" s="362" t="s">
        <v>1679</v>
      </c>
      <c r="B7" s="363"/>
      <c r="C7" s="364">
        <f>'数据-取费表'!B2</f>
        <v>45993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受贵公司委托，我公司对房地产市场价值进行了预评估。</v>
      </c>
    </row>
    <row r="5" spans="1:1" ht="17.399999999999999">
      <c r="A5" s="1481" t="s">
        <v>899</v>
      </c>
    </row>
    <row r="6" spans="1:1" ht="17.399999999999999">
      <c r="A6" s="1482" t="s">
        <v>900</v>
      </c>
    </row>
    <row r="7" spans="1:1" ht="17.399999999999999">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估价对象为房地产，为所有。根据《国有土地使用证》[]，估价对象（分摊）出让国有建设用地使用权面积为0平方米，建筑面积为66平方米。</v>
      </c>
    </row>
    <row r="8" spans="1:1" ht="54.6">
      <c r="A8" s="1483" t="s">
        <v>901</v>
      </c>
    </row>
    <row r="9" spans="1:1" ht="17.399999999999999">
      <c r="A9" s="1482" t="s">
        <v>902</v>
      </c>
    </row>
    <row r="10" spans="1:1" ht="17.399999999999999">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2025年12月2日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45993</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45993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4.4">
      <c r="A37" s="430" t="s">
        <v>1844</v>
      </c>
      <c r="B37" s="1973" t="s">
        <v>3352</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45993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30"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30" s="108" customFormat="1" ht="15" thickBot="1">
      <c r="A7" s="362" t="s">
        <v>1679</v>
      </c>
      <c r="B7" s="363"/>
      <c r="C7" s="364">
        <f>'数据-取费表'!B2</f>
        <v>45993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152</v>
      </c>
      <c r="G10" s="414"/>
      <c r="H10" s="127">
        <f>ROUND(100/'数据-取费表'!G16,0)</f>
        <v>152</v>
      </c>
      <c r="I10" s="414"/>
      <c r="J10" s="127">
        <f>ROUND(100/'数据-取费表'!G16,0)</f>
        <v>152</v>
      </c>
      <c r="K10" s="620"/>
      <c r="L10" s="2719"/>
      <c r="M10" s="2720"/>
      <c r="N10" s="2720"/>
      <c r="O10" s="2773"/>
      <c r="P10" s="3693"/>
      <c r="Q10" s="1343" t="str">
        <f t="shared" si="6"/>
        <v>土地使用年限（年）</v>
      </c>
      <c r="R10" s="701" t="s">
        <v>14</v>
      </c>
      <c r="S10" s="702">
        <f t="shared" si="0"/>
        <v>152</v>
      </c>
      <c r="T10" s="701" t="s">
        <v>14</v>
      </c>
      <c r="U10" s="702">
        <f t="shared" si="1"/>
        <v>152</v>
      </c>
      <c r="V10" s="701" t="s">
        <v>14</v>
      </c>
      <c r="W10" s="702">
        <f t="shared" si="2"/>
        <v>152</v>
      </c>
      <c r="X10" s="703"/>
      <c r="Y10" s="3568"/>
      <c r="Z10" s="52" t="str">
        <f t="shared" si="7"/>
        <v>土地使用年限（年）</v>
      </c>
      <c r="AA10" s="704">
        <f t="shared" si="3"/>
        <v>0.65789473684210531</v>
      </c>
      <c r="AB10" s="704">
        <f t="shared" si="4"/>
        <v>0.65789473684210531</v>
      </c>
      <c r="AC10" s="704">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66</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SUMIF(修正!A59:A70,H62,修正!G59:G70)</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45993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152</v>
      </c>
      <c r="G10" s="383"/>
      <c r="H10" s="127">
        <f>ROUND(100/'数据-取费表'!G16,0)</f>
        <v>152</v>
      </c>
      <c r="I10" s="383"/>
      <c r="J10" s="127">
        <f>ROUND(100/'数据-取费表'!G16,0)</f>
        <v>152</v>
      </c>
      <c r="K10" s="620"/>
      <c r="L10" s="2719"/>
      <c r="M10" s="2720"/>
      <c r="N10" s="2720"/>
      <c r="O10" s="2773"/>
      <c r="P10" s="3693"/>
      <c r="Q10" s="1343" t="str">
        <f t="shared" si="6"/>
        <v>土地使用年限（年）</v>
      </c>
      <c r="R10" s="701" t="s">
        <v>14</v>
      </c>
      <c r="S10" s="702">
        <f t="shared" si="0"/>
        <v>152</v>
      </c>
      <c r="T10" s="701" t="s">
        <v>14</v>
      </c>
      <c r="U10" s="702">
        <f t="shared" si="1"/>
        <v>152</v>
      </c>
      <c r="V10" s="701" t="s">
        <v>14</v>
      </c>
      <c r="W10" s="702">
        <f t="shared" si="2"/>
        <v>152</v>
      </c>
      <c r="X10" s="703"/>
      <c r="Y10" s="3568"/>
      <c r="Z10" s="52" t="str">
        <f t="shared" si="7"/>
        <v>土地使用年限（年）</v>
      </c>
      <c r="AA10" s="704">
        <f t="shared" si="3"/>
        <v>0.65789473684210531</v>
      </c>
      <c r="AB10" s="704">
        <f t="shared" si="4"/>
        <v>0.65789473684210531</v>
      </c>
      <c r="AC10" s="704">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66</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SUMIF(修正!A59:A70,H58,修正!G59:G70)</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188</v>
      </c>
      <c r="C2" s="2145" t="s">
        <v>2074</v>
      </c>
      <c r="D2" s="2145" t="s">
        <v>2075</v>
      </c>
      <c r="E2" s="2612">
        <f ca="1">SUMIF(E6:E13,"&lt;&gt;#ref!",E6:E13)</f>
        <v>66</v>
      </c>
      <c r="F2" s="2793"/>
      <c r="G2" s="2793"/>
      <c r="H2" s="2793"/>
      <c r="I2" s="2793"/>
      <c r="J2" s="2793"/>
      <c r="K2" s="2793"/>
      <c r="L2" s="2793"/>
      <c r="M2" s="2793"/>
      <c r="N2" s="2793"/>
      <c r="O2" s="2793"/>
      <c r="P2" s="2793"/>
    </row>
    <row r="3" spans="1:16" ht="15.6">
      <c r="A3" s="2145" t="s">
        <v>2076</v>
      </c>
      <c r="B3" s="2602">
        <f ca="1">ROUND(B2*10000/E2,0)</f>
        <v>28485</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188</v>
      </c>
      <c r="C6" s="2145" t="s">
        <v>2074</v>
      </c>
      <c r="D6" s="2793"/>
      <c r="E6" s="2612">
        <f ca="1">SUMIF(INDIRECT("'"&amp;A6&amp;"'"&amp;"!C:C"),"建筑面积",INDIRECT("'"&amp;A6&amp;"'"&amp;"!D:D"))</f>
        <v>66</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6"/>
  <sheetViews>
    <sheetView workbookViewId="0">
      <selection activeCell="A50" sqref="A50"/>
    </sheetView>
  </sheetViews>
  <sheetFormatPr defaultRowHeight="14.4"/>
  <cols>
    <col min="18" max="18" width="15.44140625" customWidth="1"/>
  </cols>
  <sheetData>
    <row r="1" spans="1:18">
      <c r="A1" s="3825" t="s">
        <v>3449</v>
      </c>
      <c r="B1" s="3825" t="s">
        <v>3450</v>
      </c>
      <c r="C1" s="3825" t="s">
        <v>3451</v>
      </c>
      <c r="D1" s="3825" t="s">
        <v>3452</v>
      </c>
      <c r="E1" s="3825" t="s">
        <v>3453</v>
      </c>
      <c r="F1" s="3825" t="s">
        <v>3454</v>
      </c>
      <c r="G1" s="3825" t="s">
        <v>3455</v>
      </c>
      <c r="H1" s="3825" t="s">
        <v>3456</v>
      </c>
      <c r="I1" s="3825" t="s">
        <v>3457</v>
      </c>
      <c r="J1" s="3825" t="s">
        <v>3458</v>
      </c>
      <c r="K1" s="3825" t="s">
        <v>3459</v>
      </c>
      <c r="L1" s="3825" t="s">
        <v>3460</v>
      </c>
      <c r="M1" s="3825" t="s">
        <v>3461</v>
      </c>
      <c r="N1" s="3825" t="s">
        <v>3462</v>
      </c>
      <c r="O1" s="3825" t="s">
        <v>3463</v>
      </c>
      <c r="P1" s="3825" t="s">
        <v>3464</v>
      </c>
      <c r="Q1" s="3825" t="s">
        <v>3465</v>
      </c>
      <c r="R1" s="3825" t="s">
        <v>3466</v>
      </c>
    </row>
    <row r="2" spans="1:18" ht="34.799999999999997" thickBot="1">
      <c r="A2" s="3826">
        <v>1</v>
      </c>
      <c r="B2" s="3826" t="s">
        <v>3467</v>
      </c>
      <c r="C2" s="3826" t="s">
        <v>3468</v>
      </c>
      <c r="D2" s="3826" t="s">
        <v>3469</v>
      </c>
      <c r="E2" s="3826" t="s">
        <v>3470</v>
      </c>
      <c r="F2" s="3826" t="s">
        <v>3471</v>
      </c>
      <c r="G2" s="3826"/>
      <c r="H2" s="3826" t="s">
        <v>3472</v>
      </c>
      <c r="I2" s="3826">
        <v>62.75</v>
      </c>
      <c r="J2" s="3826" t="s">
        <v>3402</v>
      </c>
      <c r="K2" s="3826">
        <v>6</v>
      </c>
      <c r="L2" s="3826">
        <v>6</v>
      </c>
      <c r="M2" s="3826">
        <v>1992</v>
      </c>
      <c r="N2" s="3826" t="s">
        <v>633</v>
      </c>
      <c r="O2" s="3826">
        <v>37769</v>
      </c>
      <c r="P2" s="3826">
        <v>38185</v>
      </c>
      <c r="Q2" s="3826">
        <v>2396109</v>
      </c>
      <c r="R2" s="3827">
        <v>45987</v>
      </c>
    </row>
    <row r="3" spans="1:18" ht="34.799999999999997" thickBot="1">
      <c r="A3" s="3823">
        <v>2</v>
      </c>
      <c r="B3" s="3823" t="s">
        <v>3473</v>
      </c>
      <c r="C3" s="3823" t="s">
        <v>3474</v>
      </c>
      <c r="D3" s="3823" t="s">
        <v>3469</v>
      </c>
      <c r="E3" s="3823" t="s">
        <v>3475</v>
      </c>
      <c r="F3" s="3823" t="s">
        <v>3471</v>
      </c>
      <c r="G3" s="3823"/>
      <c r="H3" s="3823" t="s">
        <v>3476</v>
      </c>
      <c r="I3" s="3823">
        <v>55.49</v>
      </c>
      <c r="J3" s="3823" t="s">
        <v>3402</v>
      </c>
      <c r="K3" s="3823">
        <v>12</v>
      </c>
      <c r="L3" s="3823">
        <v>7</v>
      </c>
      <c r="M3" s="3823">
        <v>1992</v>
      </c>
      <c r="N3" s="3823" t="s">
        <v>633</v>
      </c>
      <c r="O3" s="3823">
        <v>39647</v>
      </c>
      <c r="P3" s="3823">
        <v>40154</v>
      </c>
      <c r="Q3" s="3823">
        <v>2228145</v>
      </c>
      <c r="R3" s="3824">
        <v>45978</v>
      </c>
    </row>
    <row r="4" spans="1:18" ht="34.799999999999997" thickBot="1">
      <c r="A4" s="3821">
        <v>3</v>
      </c>
      <c r="B4" s="3821" t="s">
        <v>3477</v>
      </c>
      <c r="C4" s="3821" t="s">
        <v>3478</v>
      </c>
      <c r="D4" s="3821" t="s">
        <v>3469</v>
      </c>
      <c r="E4" s="3821" t="s">
        <v>3479</v>
      </c>
      <c r="F4" s="3821" t="s">
        <v>3471</v>
      </c>
      <c r="G4" s="3821" t="s">
        <v>3480</v>
      </c>
      <c r="H4" s="3821" t="s">
        <v>3476</v>
      </c>
      <c r="I4" s="3821">
        <v>55.49</v>
      </c>
      <c r="J4" s="3821" t="s">
        <v>3402</v>
      </c>
      <c r="K4" s="3821">
        <v>12</v>
      </c>
      <c r="L4" s="3821">
        <v>10</v>
      </c>
      <c r="M4" s="3821">
        <v>1992</v>
      </c>
      <c r="N4" s="3821" t="s">
        <v>633</v>
      </c>
      <c r="O4" s="3821">
        <v>41629</v>
      </c>
      <c r="P4" s="3821">
        <v>42099</v>
      </c>
      <c r="Q4" s="3821">
        <v>2336074</v>
      </c>
      <c r="R4" s="3822">
        <v>45941</v>
      </c>
    </row>
    <row r="5" spans="1:18" ht="34.799999999999997" thickBot="1">
      <c r="A5" s="3823">
        <v>4</v>
      </c>
      <c r="B5" s="3823" t="s">
        <v>3481</v>
      </c>
      <c r="C5" s="3823" t="s">
        <v>3482</v>
      </c>
      <c r="D5" s="3823" t="s">
        <v>3469</v>
      </c>
      <c r="E5" s="3823" t="s">
        <v>3483</v>
      </c>
      <c r="F5" s="3823" t="s">
        <v>3471</v>
      </c>
      <c r="G5" s="3823" t="s">
        <v>3480</v>
      </c>
      <c r="H5" s="3823" t="s">
        <v>3472</v>
      </c>
      <c r="I5" s="3823">
        <v>40.54</v>
      </c>
      <c r="J5" s="3823" t="s">
        <v>3402</v>
      </c>
      <c r="K5" s="3823">
        <v>6</v>
      </c>
      <c r="L5" s="3823">
        <v>3</v>
      </c>
      <c r="M5" s="3823" t="s">
        <v>633</v>
      </c>
      <c r="N5" s="3823">
        <v>1986</v>
      </c>
      <c r="O5" s="3823">
        <v>40824</v>
      </c>
      <c r="P5" s="3823">
        <v>40866</v>
      </c>
      <c r="Q5" s="3823">
        <v>1656708</v>
      </c>
      <c r="R5" s="3824">
        <v>45941</v>
      </c>
    </row>
    <row r="6" spans="1:18" ht="34.799999999999997" thickBot="1">
      <c r="A6" s="3826">
        <v>5</v>
      </c>
      <c r="B6" s="3826" t="s">
        <v>3484</v>
      </c>
      <c r="C6" s="3826" t="s">
        <v>3468</v>
      </c>
      <c r="D6" s="3826" t="s">
        <v>3469</v>
      </c>
      <c r="E6" s="3826" t="s">
        <v>3485</v>
      </c>
      <c r="F6" s="3826" t="s">
        <v>3471</v>
      </c>
      <c r="G6" s="3826"/>
      <c r="H6" s="3826" t="s">
        <v>3472</v>
      </c>
      <c r="I6" s="3826">
        <v>55.96</v>
      </c>
      <c r="J6" s="3826" t="s">
        <v>3402</v>
      </c>
      <c r="K6" s="3826">
        <v>6</v>
      </c>
      <c r="L6" s="3826">
        <v>4</v>
      </c>
      <c r="M6" s="3826">
        <v>1986</v>
      </c>
      <c r="N6" s="3826" t="s">
        <v>633</v>
      </c>
      <c r="O6" s="3826">
        <v>47141</v>
      </c>
      <c r="P6" s="3826">
        <v>47640</v>
      </c>
      <c r="Q6" s="3826">
        <v>2665934</v>
      </c>
      <c r="R6" s="3827">
        <v>45911</v>
      </c>
    </row>
    <row r="7" spans="1:18" ht="34.799999999999997" thickBot="1">
      <c r="A7" s="3826">
        <v>6</v>
      </c>
      <c r="B7" s="3826" t="s">
        <v>3486</v>
      </c>
      <c r="C7" s="3826" t="s">
        <v>3487</v>
      </c>
      <c r="D7" s="3826" t="s">
        <v>3469</v>
      </c>
      <c r="E7" s="3826" t="s">
        <v>3488</v>
      </c>
      <c r="F7" s="3826" t="s">
        <v>3471</v>
      </c>
      <c r="G7" s="3826" t="s">
        <v>3480</v>
      </c>
      <c r="H7" s="3826" t="s">
        <v>3476</v>
      </c>
      <c r="I7" s="3826">
        <v>58.07</v>
      </c>
      <c r="J7" s="3826" t="s">
        <v>3402</v>
      </c>
      <c r="K7" s="3826">
        <v>6</v>
      </c>
      <c r="L7" s="3826">
        <v>4</v>
      </c>
      <c r="M7" s="3826" t="s">
        <v>633</v>
      </c>
      <c r="N7" s="3826">
        <v>1987</v>
      </c>
      <c r="O7" s="3826">
        <v>42104</v>
      </c>
      <c r="P7" s="3826">
        <v>42783</v>
      </c>
      <c r="Q7" s="3826">
        <v>2484409</v>
      </c>
      <c r="R7" s="3827">
        <v>45905</v>
      </c>
    </row>
    <row r="8" spans="1:18" ht="23.4" thickBot="1">
      <c r="A8" s="3821">
        <v>7</v>
      </c>
      <c r="B8" s="3821" t="s">
        <v>3489</v>
      </c>
      <c r="C8" s="3821" t="s">
        <v>3490</v>
      </c>
      <c r="D8" s="3821" t="s">
        <v>3469</v>
      </c>
      <c r="E8" s="3821" t="s">
        <v>3491</v>
      </c>
      <c r="F8" s="3821" t="s">
        <v>3471</v>
      </c>
      <c r="G8" s="3821" t="s">
        <v>3480</v>
      </c>
      <c r="H8" s="3821" t="s">
        <v>3476</v>
      </c>
      <c r="I8" s="3821">
        <v>51.12</v>
      </c>
      <c r="J8" s="3821" t="s">
        <v>3402</v>
      </c>
      <c r="K8" s="3821">
        <v>6</v>
      </c>
      <c r="L8" s="3821">
        <v>2</v>
      </c>
      <c r="M8" s="3821">
        <v>1985</v>
      </c>
      <c r="N8" s="3821" t="s">
        <v>633</v>
      </c>
      <c r="O8" s="3821">
        <v>44601</v>
      </c>
      <c r="P8" s="3821">
        <v>44730</v>
      </c>
      <c r="Q8" s="3821">
        <v>2286598</v>
      </c>
      <c r="R8" s="3822">
        <v>45902</v>
      </c>
    </row>
    <row r="9" spans="1:18" ht="34.799999999999997" thickBot="1">
      <c r="A9" s="3823">
        <v>8</v>
      </c>
      <c r="B9" s="3823" t="s">
        <v>3492</v>
      </c>
      <c r="C9" s="3823" t="s">
        <v>3493</v>
      </c>
      <c r="D9" s="3823" t="s">
        <v>3469</v>
      </c>
      <c r="E9" s="3823" t="s">
        <v>3494</v>
      </c>
      <c r="F9" s="3823" t="s">
        <v>3471</v>
      </c>
      <c r="G9" s="3823"/>
      <c r="H9" s="3823" t="s">
        <v>3472</v>
      </c>
      <c r="I9" s="3823">
        <v>57.58</v>
      </c>
      <c r="J9" s="3823" t="s">
        <v>3402</v>
      </c>
      <c r="K9" s="3823">
        <v>6</v>
      </c>
      <c r="L9" s="3823">
        <v>3</v>
      </c>
      <c r="M9" s="3823">
        <v>1985</v>
      </c>
      <c r="N9" s="3823" t="s">
        <v>633</v>
      </c>
      <c r="O9" s="3823">
        <v>40292</v>
      </c>
      <c r="P9" s="3823">
        <v>40919</v>
      </c>
      <c r="Q9" s="3823">
        <v>2356116</v>
      </c>
      <c r="R9" s="3824">
        <v>45896</v>
      </c>
    </row>
    <row r="10" spans="1:18" ht="23.4" thickBot="1">
      <c r="A10" s="3821">
        <v>9</v>
      </c>
      <c r="B10" s="3821" t="s">
        <v>3495</v>
      </c>
      <c r="C10" s="3821" t="s">
        <v>3474</v>
      </c>
      <c r="D10" s="3821" t="s">
        <v>3469</v>
      </c>
      <c r="E10" s="3821" t="s">
        <v>3496</v>
      </c>
      <c r="F10" s="3821" t="s">
        <v>3471</v>
      </c>
      <c r="G10" s="3821"/>
      <c r="H10" s="3821" t="s">
        <v>3472</v>
      </c>
      <c r="I10" s="3821">
        <v>37.72</v>
      </c>
      <c r="J10" s="3821" t="s">
        <v>3402</v>
      </c>
      <c r="K10" s="3821">
        <v>6</v>
      </c>
      <c r="L10" s="3821">
        <v>3</v>
      </c>
      <c r="M10" s="3821">
        <v>1987</v>
      </c>
      <c r="N10" s="3821" t="s">
        <v>633</v>
      </c>
      <c r="O10" s="3821">
        <v>42418</v>
      </c>
      <c r="P10" s="3821">
        <v>42626</v>
      </c>
      <c r="Q10" s="3821">
        <v>1607853</v>
      </c>
      <c r="R10" s="3822">
        <v>45873</v>
      </c>
    </row>
    <row r="11" spans="1:18" ht="46.2" thickBot="1">
      <c r="A11" s="3823">
        <v>10</v>
      </c>
      <c r="B11" s="3823" t="s">
        <v>3497</v>
      </c>
      <c r="C11" s="3823" t="s">
        <v>3498</v>
      </c>
      <c r="D11" s="3823" t="s">
        <v>3469</v>
      </c>
      <c r="E11" s="3823" t="s">
        <v>3499</v>
      </c>
      <c r="F11" s="3823" t="s">
        <v>3471</v>
      </c>
      <c r="G11" s="3823" t="s">
        <v>3480</v>
      </c>
      <c r="H11" s="3823" t="s">
        <v>3472</v>
      </c>
      <c r="I11" s="3823">
        <v>68.94</v>
      </c>
      <c r="J11" s="3823" t="s">
        <v>3402</v>
      </c>
      <c r="K11" s="3823">
        <v>6</v>
      </c>
      <c r="L11" s="3823">
        <v>6</v>
      </c>
      <c r="M11" s="3823">
        <v>1986</v>
      </c>
      <c r="N11" s="3823" t="s">
        <v>3500</v>
      </c>
      <c r="O11" s="3823">
        <v>45402</v>
      </c>
      <c r="P11" s="3823">
        <v>45487</v>
      </c>
      <c r="Q11" s="3823">
        <v>3135874</v>
      </c>
      <c r="R11" s="3824">
        <v>45866</v>
      </c>
    </row>
    <row r="12" spans="1:18" ht="23.4" thickBot="1">
      <c r="A12" s="3821">
        <v>11</v>
      </c>
      <c r="B12" s="3821" t="s">
        <v>3501</v>
      </c>
      <c r="C12" s="3821" t="s">
        <v>3474</v>
      </c>
      <c r="D12" s="3821" t="s">
        <v>3469</v>
      </c>
      <c r="E12" s="3821" t="s">
        <v>3502</v>
      </c>
      <c r="F12" s="3821" t="s">
        <v>3471</v>
      </c>
      <c r="G12" s="3821"/>
      <c r="H12" s="3821" t="s">
        <v>3476</v>
      </c>
      <c r="I12" s="3821">
        <v>37.799999999999997</v>
      </c>
      <c r="J12" s="3821" t="s">
        <v>3402</v>
      </c>
      <c r="K12" s="3821">
        <v>6</v>
      </c>
      <c r="L12" s="3821">
        <v>4</v>
      </c>
      <c r="M12" s="3821">
        <v>1985</v>
      </c>
      <c r="N12" s="3821" t="s">
        <v>633</v>
      </c>
      <c r="O12" s="3821">
        <v>42063</v>
      </c>
      <c r="P12" s="3821">
        <v>42913</v>
      </c>
      <c r="Q12" s="3821">
        <v>1622111</v>
      </c>
      <c r="R12" s="3822">
        <v>45859</v>
      </c>
    </row>
    <row r="13" spans="1:18" ht="34.799999999999997" thickBot="1">
      <c r="A13" s="3823">
        <v>12</v>
      </c>
      <c r="B13" s="3823" t="s">
        <v>3503</v>
      </c>
      <c r="C13" s="3823" t="s">
        <v>3504</v>
      </c>
      <c r="D13" s="3823" t="s">
        <v>3469</v>
      </c>
      <c r="E13" s="3823" t="s">
        <v>3505</v>
      </c>
      <c r="F13" s="3823" t="s">
        <v>3471</v>
      </c>
      <c r="G13" s="3823" t="s">
        <v>3480</v>
      </c>
      <c r="H13" s="3823" t="s">
        <v>3476</v>
      </c>
      <c r="I13" s="3823">
        <v>49.33</v>
      </c>
      <c r="J13" s="3823" t="s">
        <v>3402</v>
      </c>
      <c r="K13" s="3823">
        <v>12</v>
      </c>
      <c r="L13" s="3823">
        <v>2</v>
      </c>
      <c r="M13" s="3823">
        <v>1992</v>
      </c>
      <c r="N13" s="3823" t="s">
        <v>633</v>
      </c>
      <c r="O13" s="3823">
        <v>49260</v>
      </c>
      <c r="P13" s="3823">
        <v>49287</v>
      </c>
      <c r="Q13" s="3823">
        <v>2431328</v>
      </c>
      <c r="R13" s="3824">
        <v>45842</v>
      </c>
    </row>
    <row r="14" spans="1:18" ht="34.799999999999997" thickBot="1">
      <c r="A14" s="3821">
        <v>13</v>
      </c>
      <c r="B14" s="3821" t="s">
        <v>3506</v>
      </c>
      <c r="C14" s="3821" t="s">
        <v>3507</v>
      </c>
      <c r="D14" s="3821" t="s">
        <v>3469</v>
      </c>
      <c r="E14" s="3821" t="s">
        <v>3508</v>
      </c>
      <c r="F14" s="3821" t="s">
        <v>3471</v>
      </c>
      <c r="G14" s="3821" t="s">
        <v>3480</v>
      </c>
      <c r="H14" s="3821" t="s">
        <v>3472</v>
      </c>
      <c r="I14" s="3821">
        <v>57.42</v>
      </c>
      <c r="J14" s="3821" t="s">
        <v>3402</v>
      </c>
      <c r="K14" s="3821">
        <v>6</v>
      </c>
      <c r="L14" s="3821">
        <v>2</v>
      </c>
      <c r="M14" s="3821">
        <v>1999</v>
      </c>
      <c r="N14" s="3821" t="s">
        <v>633</v>
      </c>
      <c r="O14" s="3821">
        <v>47370</v>
      </c>
      <c r="P14" s="3821">
        <v>47718</v>
      </c>
      <c r="Q14" s="3821">
        <v>2739968</v>
      </c>
      <c r="R14" s="3822">
        <v>45786</v>
      </c>
    </row>
    <row r="15" spans="1:18" ht="34.799999999999997" thickBot="1">
      <c r="A15" s="3823">
        <v>14</v>
      </c>
      <c r="B15" s="3823" t="s">
        <v>3509</v>
      </c>
      <c r="C15" s="3823" t="s">
        <v>3510</v>
      </c>
      <c r="D15" s="3823" t="s">
        <v>3469</v>
      </c>
      <c r="E15" s="3823" t="s">
        <v>3511</v>
      </c>
      <c r="F15" s="3823" t="s">
        <v>3471</v>
      </c>
      <c r="G15" s="3823" t="s">
        <v>3512</v>
      </c>
      <c r="H15" s="3823" t="s">
        <v>3472</v>
      </c>
      <c r="I15" s="3823">
        <v>76.97</v>
      </c>
      <c r="J15" s="3823" t="s">
        <v>3402</v>
      </c>
      <c r="K15" s="3823">
        <v>6</v>
      </c>
      <c r="L15" s="3823">
        <v>6</v>
      </c>
      <c r="M15" s="3823">
        <v>1983</v>
      </c>
      <c r="N15" s="3823" t="s">
        <v>633</v>
      </c>
      <c r="O15" s="3823">
        <v>44303</v>
      </c>
      <c r="P15" s="3823">
        <v>44392</v>
      </c>
      <c r="Q15" s="3823">
        <v>3416852</v>
      </c>
      <c r="R15" s="3824">
        <v>45787</v>
      </c>
    </row>
    <row r="16" spans="1:18" ht="34.799999999999997" thickBot="1">
      <c r="A16" s="3821">
        <v>15</v>
      </c>
      <c r="B16" s="3821" t="s">
        <v>3513</v>
      </c>
      <c r="C16" s="3821" t="s">
        <v>3514</v>
      </c>
      <c r="D16" s="3821" t="s">
        <v>3469</v>
      </c>
      <c r="E16" s="3821" t="s">
        <v>3515</v>
      </c>
      <c r="F16" s="3821" t="s">
        <v>3471</v>
      </c>
      <c r="G16" s="3821" t="s">
        <v>3480</v>
      </c>
      <c r="H16" s="3821" t="s">
        <v>3472</v>
      </c>
      <c r="I16" s="3821">
        <v>62.62</v>
      </c>
      <c r="J16" s="3821" t="s">
        <v>3402</v>
      </c>
      <c r="K16" s="3821">
        <v>12</v>
      </c>
      <c r="L16" s="3821">
        <v>4</v>
      </c>
      <c r="M16" s="3821">
        <v>1992</v>
      </c>
      <c r="N16" s="3821" t="s">
        <v>633</v>
      </c>
      <c r="O16" s="3821">
        <v>54583</v>
      </c>
      <c r="P16" s="3821">
        <v>54701</v>
      </c>
      <c r="Q16" s="3821">
        <v>3425377</v>
      </c>
      <c r="R16" s="3822">
        <v>45773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9" t="s">
        <v>2628</v>
      </c>
      <c r="C20" s="3477" t="s">
        <v>2439</v>
      </c>
      <c r="D20" s="3477"/>
      <c r="E20" s="3105">
        <v>1</v>
      </c>
      <c r="F20" s="3106" t="s">
        <v>2440</v>
      </c>
      <c r="G20" s="3106"/>
    </row>
    <row r="21" spans="1:13" ht="19.5" customHeight="1">
      <c r="A21" s="3797"/>
      <c r="B21" s="3785"/>
      <c r="C21" s="3467" t="s">
        <v>2441</v>
      </c>
      <c r="D21" s="3467"/>
      <c r="E21" s="3109">
        <v>1</v>
      </c>
      <c r="F21" s="3106" t="s">
        <v>2442</v>
      </c>
      <c r="G21" s="3106"/>
    </row>
    <row r="22" spans="1:13" ht="19.5" customHeight="1">
      <c r="A22" s="3797"/>
      <c r="B22" s="3785"/>
      <c r="C22" s="3467" t="s">
        <v>2443</v>
      </c>
      <c r="D22" s="3467"/>
      <c r="E22" s="3109">
        <v>0.9</v>
      </c>
      <c r="F22" s="3106" t="s">
        <v>2444</v>
      </c>
      <c r="G22" s="3106"/>
    </row>
    <row r="23" spans="1:13" ht="19.5" customHeight="1">
      <c r="A23" s="3797"/>
      <c r="B23" s="3785"/>
      <c r="C23" s="3467" t="s">
        <v>2445</v>
      </c>
      <c r="D23" s="3467"/>
      <c r="E23" s="3109">
        <v>0.9</v>
      </c>
      <c r="F23" s="3106" t="s">
        <v>2446</v>
      </c>
      <c r="G23" s="3106"/>
    </row>
    <row r="24" spans="1:13" ht="19.5" customHeight="1">
      <c r="A24" s="3797"/>
      <c r="B24" s="3785"/>
      <c r="C24" s="3467" t="s">
        <v>2447</v>
      </c>
      <c r="D24" s="3467"/>
      <c r="E24" s="3109">
        <v>0.8</v>
      </c>
      <c r="F24" s="3106" t="s">
        <v>2448</v>
      </c>
      <c r="G24" s="3106"/>
    </row>
    <row r="25" spans="1:13" ht="19.5" customHeight="1">
      <c r="A25" s="3797"/>
      <c r="B25" s="3785"/>
      <c r="C25" s="3467" t="s">
        <v>2449</v>
      </c>
      <c r="D25" s="3467"/>
      <c r="E25" s="3109">
        <v>0.8</v>
      </c>
      <c r="F25" s="3106"/>
      <c r="G25" s="3106"/>
    </row>
    <row r="26" spans="1:13" ht="19.5" customHeight="1">
      <c r="A26" s="3797"/>
      <c r="B26" s="3785"/>
      <c r="C26" s="3470" t="s">
        <v>3407</v>
      </c>
      <c r="D26" s="3470"/>
      <c r="E26" s="3471">
        <v>0.43</v>
      </c>
      <c r="F26" s="3106"/>
      <c r="G26" s="3106"/>
    </row>
    <row r="27" spans="1:13" ht="19.5" customHeight="1" thickBot="1">
      <c r="A27" s="3798"/>
      <c r="B27" s="3790"/>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1" t="s">
        <v>2631</v>
      </c>
      <c r="B29" s="3794" t="s">
        <v>2612</v>
      </c>
      <c r="C29" s="3103" t="s">
        <v>2452</v>
      </c>
      <c r="D29" s="3104"/>
      <c r="E29" s="3105">
        <v>1</v>
      </c>
      <c r="F29" s="3106" t="s">
        <v>2453</v>
      </c>
      <c r="G29" s="3106"/>
    </row>
    <row r="30" spans="1:13" ht="19.5" customHeight="1">
      <c r="A30" s="3792"/>
      <c r="B30" s="3788"/>
      <c r="C30" s="3107" t="s">
        <v>2454</v>
      </c>
      <c r="D30" s="3108"/>
      <c r="E30" s="3109">
        <v>1</v>
      </c>
      <c r="F30" s="3106" t="s">
        <v>2455</v>
      </c>
      <c r="G30" s="3106"/>
    </row>
    <row r="31" spans="1:13" ht="19.5" customHeight="1">
      <c r="A31" s="3792"/>
      <c r="B31" s="3788"/>
      <c r="C31" s="3107" t="s">
        <v>2456</v>
      </c>
      <c r="D31" s="3108"/>
      <c r="E31" s="3109">
        <v>0.8</v>
      </c>
      <c r="F31" s="3106" t="s">
        <v>2457</v>
      </c>
      <c r="G31" s="3106"/>
    </row>
    <row r="32" spans="1:13" ht="19.5" customHeight="1">
      <c r="A32" s="3792"/>
      <c r="B32" s="3788"/>
      <c r="C32" s="3107" t="s">
        <v>2458</v>
      </c>
      <c r="D32" s="3108"/>
      <c r="E32" s="3109">
        <v>0.8</v>
      </c>
      <c r="F32" s="3106" t="s">
        <v>2459</v>
      </c>
      <c r="G32" s="3106"/>
    </row>
    <row r="33" spans="1:7" ht="19.5" customHeight="1">
      <c r="A33" s="3792"/>
      <c r="B33" s="3788"/>
      <c r="C33" s="3107" t="s">
        <v>2460</v>
      </c>
      <c r="D33" s="3108"/>
      <c r="E33" s="3109">
        <v>0.8</v>
      </c>
      <c r="F33" s="3106" t="s">
        <v>2461</v>
      </c>
      <c r="G33" s="3106"/>
    </row>
    <row r="34" spans="1:7" ht="19.5" customHeight="1">
      <c r="A34" s="3792"/>
      <c r="B34" s="3788"/>
      <c r="C34" s="3107" t="s">
        <v>2462</v>
      </c>
      <c r="D34" s="3108"/>
      <c r="E34" s="3109">
        <v>0.7</v>
      </c>
      <c r="F34" s="3106" t="s">
        <v>2463</v>
      </c>
      <c r="G34" s="3106"/>
    </row>
    <row r="35" spans="1:7" ht="19.5" customHeight="1">
      <c r="A35" s="3792"/>
      <c r="B35" s="3788"/>
      <c r="C35" s="3107" t="s">
        <v>2464</v>
      </c>
      <c r="D35" s="3108"/>
      <c r="E35" s="3109">
        <v>0.8</v>
      </c>
      <c r="F35" s="3106" t="s">
        <v>2465</v>
      </c>
      <c r="G35" s="3106"/>
    </row>
    <row r="36" spans="1:7" ht="19.5" customHeight="1">
      <c r="A36" s="3792"/>
      <c r="B36" s="3788"/>
      <c r="C36" s="3107" t="s">
        <v>2466</v>
      </c>
      <c r="D36" s="3108"/>
      <c r="E36" s="3109">
        <v>0.6</v>
      </c>
      <c r="F36" s="3106" t="s">
        <v>2467</v>
      </c>
      <c r="G36" s="3106"/>
    </row>
    <row r="37" spans="1:7" ht="19.5" customHeight="1">
      <c r="A37" s="3792"/>
      <c r="B37" s="3788"/>
      <c r="C37" s="3107" t="s">
        <v>2468</v>
      </c>
      <c r="D37" s="3108"/>
      <c r="E37" s="3109">
        <v>0.2</v>
      </c>
      <c r="F37" s="3106" t="s">
        <v>2469</v>
      </c>
      <c r="G37" s="3106"/>
    </row>
    <row r="38" spans="1:7" ht="19.5" customHeight="1">
      <c r="A38" s="3792"/>
      <c r="B38" s="3788"/>
      <c r="C38" s="3107" t="s">
        <v>2470</v>
      </c>
      <c r="D38" s="3108"/>
      <c r="E38" s="3109">
        <v>0.2</v>
      </c>
      <c r="F38" s="3106" t="s">
        <v>2471</v>
      </c>
      <c r="G38" s="3106"/>
    </row>
    <row r="39" spans="1:7" ht="19.5" customHeight="1">
      <c r="A39" s="3792"/>
      <c r="B39" s="3786" t="s">
        <v>2632</v>
      </c>
      <c r="C39" s="3107" t="s">
        <v>2472</v>
      </c>
      <c r="D39" s="3108"/>
      <c r="E39" s="3109">
        <v>0.6</v>
      </c>
      <c r="F39" s="3106" t="s">
        <v>2473</v>
      </c>
      <c r="G39" s="3106"/>
    </row>
    <row r="40" spans="1:7" ht="19.5" customHeight="1">
      <c r="A40" s="3792"/>
      <c r="B40" s="3788"/>
      <c r="C40" s="3107" t="s">
        <v>2474</v>
      </c>
      <c r="D40" s="3108"/>
      <c r="E40" s="3109">
        <v>0.6</v>
      </c>
      <c r="F40" s="3106" t="s">
        <v>2475</v>
      </c>
      <c r="G40" s="3106"/>
    </row>
    <row r="41" spans="1:7" ht="19.5" customHeight="1" thickBot="1">
      <c r="A41" s="3793"/>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4" t="s">
        <v>2634</v>
      </c>
      <c r="C43" s="3103" t="s">
        <v>2479</v>
      </c>
      <c r="D43" s="3104"/>
      <c r="E43" s="3105">
        <v>1</v>
      </c>
      <c r="F43" s="3106" t="s">
        <v>2480</v>
      </c>
      <c r="G43" s="3106"/>
    </row>
    <row r="44" spans="1:7" ht="19.5" customHeight="1">
      <c r="A44" s="3797"/>
      <c r="B44" s="3788"/>
      <c r="C44" s="3107" t="s">
        <v>2481</v>
      </c>
      <c r="D44" s="3108"/>
      <c r="E44" s="3109">
        <v>1</v>
      </c>
      <c r="F44" s="3106" t="s">
        <v>2482</v>
      </c>
      <c r="G44" s="3106"/>
    </row>
    <row r="45" spans="1:7" ht="19.5" customHeight="1">
      <c r="A45" s="3797"/>
      <c r="B45" s="3787"/>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86" t="s">
        <v>2637</v>
      </c>
      <c r="C47" s="3107" t="s">
        <v>2486</v>
      </c>
      <c r="D47" s="3108"/>
      <c r="E47" s="3109">
        <v>1</v>
      </c>
      <c r="F47" s="3106" t="s">
        <v>2487</v>
      </c>
      <c r="G47" s="3106"/>
    </row>
    <row r="48" spans="1:7" ht="19.5" customHeight="1">
      <c r="A48" s="3797"/>
      <c r="B48" s="3788"/>
      <c r="C48" s="3107" t="s">
        <v>2488</v>
      </c>
      <c r="D48" s="3108"/>
      <c r="E48" s="3109">
        <v>1</v>
      </c>
      <c r="F48" s="3106" t="s">
        <v>2489</v>
      </c>
      <c r="G48" s="3106"/>
    </row>
    <row r="49" spans="1:7" ht="19.5" customHeight="1">
      <c r="A49" s="3797"/>
      <c r="B49" s="3788"/>
      <c r="C49" s="3107" t="s">
        <v>2490</v>
      </c>
      <c r="D49" s="3108"/>
      <c r="E49" s="3109">
        <v>1</v>
      </c>
      <c r="F49" s="3106" t="s">
        <v>2491</v>
      </c>
      <c r="G49" s="3106"/>
    </row>
    <row r="50" spans="1:7" ht="19.5" customHeight="1">
      <c r="A50" s="3797"/>
      <c r="B50" s="3788"/>
      <c r="C50" s="3107" t="s">
        <v>2492</v>
      </c>
      <c r="D50" s="3108"/>
      <c r="E50" s="3109">
        <v>1</v>
      </c>
      <c r="F50" s="3106" t="s">
        <v>2493</v>
      </c>
      <c r="G50" s="3106"/>
    </row>
    <row r="51" spans="1:7" ht="19.5" customHeight="1">
      <c r="A51" s="3797"/>
      <c r="B51" s="3788"/>
      <c r="C51" s="3107" t="s">
        <v>2494</v>
      </c>
      <c r="D51" s="3108"/>
      <c r="E51" s="3109">
        <v>1</v>
      </c>
      <c r="F51" s="3106" t="s">
        <v>2495</v>
      </c>
      <c r="G51" s="3106"/>
    </row>
    <row r="52" spans="1:7" ht="19.5" customHeight="1">
      <c r="A52" s="3797"/>
      <c r="B52" s="3788"/>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786" t="s">
        <v>2651</v>
      </c>
      <c r="C75" s="3092" t="s">
        <v>2652</v>
      </c>
      <c r="D75" s="3092" t="s">
        <v>2653</v>
      </c>
      <c r="E75" s="3118">
        <v>0.2</v>
      </c>
      <c r="F75" s="3118">
        <v>25</v>
      </c>
    </row>
    <row r="76" spans="1:7" ht="24">
      <c r="A76" s="3118">
        <v>2</v>
      </c>
      <c r="B76" s="3788"/>
      <c r="C76" s="3092" t="s">
        <v>2654</v>
      </c>
      <c r="D76" s="3092" t="s">
        <v>2655</v>
      </c>
      <c r="E76" s="3118">
        <v>0.2</v>
      </c>
      <c r="F76" s="3118">
        <v>25</v>
      </c>
    </row>
    <row r="77" spans="1:7" ht="24">
      <c r="A77" s="3118">
        <v>3</v>
      </c>
      <c r="B77" s="3788"/>
      <c r="C77" s="3092" t="s">
        <v>2656</v>
      </c>
      <c r="D77" s="3092" t="s">
        <v>2657</v>
      </c>
      <c r="E77" s="3118">
        <v>0.2</v>
      </c>
      <c r="F77" s="3118">
        <v>25</v>
      </c>
    </row>
    <row r="78" spans="1:7" ht="14.4">
      <c r="A78" s="3118">
        <v>4</v>
      </c>
      <c r="B78" s="3788"/>
      <c r="C78" s="3092" t="s">
        <v>2658</v>
      </c>
      <c r="D78" s="3092" t="s">
        <v>2659</v>
      </c>
      <c r="E78" s="3118">
        <v>0.15</v>
      </c>
      <c r="F78" s="3118">
        <v>20</v>
      </c>
    </row>
    <row r="79" spans="1:7" ht="24">
      <c r="A79" s="3118">
        <v>5</v>
      </c>
      <c r="B79" s="3788"/>
      <c r="C79" s="3092" t="s">
        <v>2660</v>
      </c>
      <c r="D79" s="3092" t="s">
        <v>2661</v>
      </c>
      <c r="E79" s="3118">
        <v>0.15</v>
      </c>
      <c r="F79" s="3118">
        <v>20</v>
      </c>
    </row>
    <row r="80" spans="1:7" ht="24">
      <c r="A80" s="3118">
        <v>6</v>
      </c>
      <c r="B80" s="3788"/>
      <c r="C80" s="3092" t="s">
        <v>2662</v>
      </c>
      <c r="D80" s="3092" t="s">
        <v>2663</v>
      </c>
      <c r="E80" s="3118">
        <v>0.15</v>
      </c>
      <c r="F80" s="3118">
        <v>20</v>
      </c>
    </row>
    <row r="81" spans="1:6" ht="24">
      <c r="A81" s="3118">
        <v>7</v>
      </c>
      <c r="B81" s="3788"/>
      <c r="C81" s="3092" t="s">
        <v>2664</v>
      </c>
      <c r="D81" s="3092" t="s">
        <v>2665</v>
      </c>
      <c r="E81" s="3118">
        <v>0.15</v>
      </c>
      <c r="F81" s="3118">
        <v>20</v>
      </c>
    </row>
    <row r="82" spans="1:6" ht="24">
      <c r="A82" s="3118">
        <v>8</v>
      </c>
      <c r="B82" s="3788"/>
      <c r="C82" s="3092" t="s">
        <v>2666</v>
      </c>
      <c r="D82" s="3092" t="s">
        <v>2667</v>
      </c>
      <c r="E82" s="3118">
        <v>0.1</v>
      </c>
      <c r="F82" s="3118">
        <v>15</v>
      </c>
    </row>
    <row r="83" spans="1:6" ht="24">
      <c r="A83" s="3118">
        <v>9</v>
      </c>
      <c r="B83" s="3788"/>
      <c r="C83" s="3092" t="s">
        <v>2668</v>
      </c>
      <c r="D83" s="3092" t="s">
        <v>2669</v>
      </c>
      <c r="E83" s="3118">
        <v>0.1</v>
      </c>
      <c r="F83" s="3118">
        <v>15</v>
      </c>
    </row>
    <row r="84" spans="1:6" ht="24">
      <c r="A84" s="3118">
        <v>10</v>
      </c>
      <c r="B84" s="3788"/>
      <c r="C84" s="3092" t="s">
        <v>2670</v>
      </c>
      <c r="D84" s="3092" t="s">
        <v>2671</v>
      </c>
      <c r="E84" s="3118">
        <v>0.1</v>
      </c>
      <c r="F84" s="3118">
        <v>15</v>
      </c>
    </row>
    <row r="85" spans="1:6" ht="24">
      <c r="A85" s="3118">
        <v>11</v>
      </c>
      <c r="B85" s="3788"/>
      <c r="C85" s="3092" t="s">
        <v>2672</v>
      </c>
      <c r="D85" s="3092" t="s">
        <v>2673</v>
      </c>
      <c r="E85" s="3118">
        <v>0.1</v>
      </c>
      <c r="F85" s="3118">
        <v>15</v>
      </c>
    </row>
    <row r="86" spans="1:6" ht="24">
      <c r="A86" s="3118">
        <v>12</v>
      </c>
      <c r="B86" s="3788"/>
      <c r="C86" s="3092" t="s">
        <v>2674</v>
      </c>
      <c r="D86" s="3092" t="s">
        <v>2675</v>
      </c>
      <c r="E86" s="3118">
        <v>0.1</v>
      </c>
      <c r="F86" s="3118">
        <v>15</v>
      </c>
    </row>
    <row r="87" spans="1:6" ht="24">
      <c r="A87" s="3118">
        <v>13</v>
      </c>
      <c r="B87" s="3788"/>
      <c r="C87" s="3092" t="s">
        <v>2676</v>
      </c>
      <c r="D87" s="3092" t="s">
        <v>2677</v>
      </c>
      <c r="E87" s="3118">
        <v>0.1</v>
      </c>
      <c r="F87" s="3118">
        <v>15</v>
      </c>
    </row>
    <row r="88" spans="1:6" ht="24">
      <c r="A88" s="3118">
        <v>14</v>
      </c>
      <c r="B88" s="3788"/>
      <c r="C88" s="3092" t="s">
        <v>2678</v>
      </c>
      <c r="D88" s="3092" t="s">
        <v>2679</v>
      </c>
      <c r="E88" s="3118">
        <v>0.1</v>
      </c>
      <c r="F88" s="3118">
        <v>15</v>
      </c>
    </row>
    <row r="89" spans="1:6" ht="24">
      <c r="A89" s="3118">
        <v>15</v>
      </c>
      <c r="B89" s="3788"/>
      <c r="C89" s="3092" t="s">
        <v>2680</v>
      </c>
      <c r="D89" s="3092" t="s">
        <v>2681</v>
      </c>
      <c r="E89" s="3118">
        <v>0.1</v>
      </c>
      <c r="F89" s="3118">
        <v>15</v>
      </c>
    </row>
    <row r="90" spans="1:6" ht="24">
      <c r="A90" s="3118">
        <v>16</v>
      </c>
      <c r="B90" s="3788"/>
      <c r="C90" s="3092" t="s">
        <v>2682</v>
      </c>
      <c r="D90" s="3092" t="s">
        <v>2683</v>
      </c>
      <c r="E90" s="3118">
        <v>0.1</v>
      </c>
      <c r="F90" s="3118">
        <v>15</v>
      </c>
    </row>
    <row r="91" spans="1:6" ht="24">
      <c r="A91" s="3118">
        <v>17</v>
      </c>
      <c r="B91" s="3787"/>
      <c r="C91" s="3092" t="s">
        <v>2684</v>
      </c>
      <c r="D91" s="3092" t="s">
        <v>2685</v>
      </c>
      <c r="E91" s="3118">
        <v>0.1</v>
      </c>
      <c r="F91" s="3118">
        <v>15</v>
      </c>
    </row>
    <row r="92" spans="1:6" ht="14.4">
      <c r="A92" s="3118">
        <v>18</v>
      </c>
      <c r="B92" s="3786" t="s">
        <v>2686</v>
      </c>
      <c r="C92" s="3092" t="s">
        <v>2687</v>
      </c>
      <c r="D92" s="3092" t="s">
        <v>2688</v>
      </c>
      <c r="E92" s="3118">
        <v>0.2</v>
      </c>
      <c r="F92" s="3118">
        <v>25</v>
      </c>
    </row>
    <row r="93" spans="1:6" ht="24">
      <c r="A93" s="3118">
        <v>19</v>
      </c>
      <c r="B93" s="3788"/>
      <c r="C93" s="3092" t="s">
        <v>2689</v>
      </c>
      <c r="D93" s="3092" t="s">
        <v>2690</v>
      </c>
      <c r="E93" s="3118">
        <v>0.2</v>
      </c>
      <c r="F93" s="3118">
        <v>25</v>
      </c>
    </row>
    <row r="94" spans="1:6" ht="14.4">
      <c r="A94" s="3118">
        <v>20</v>
      </c>
      <c r="B94" s="3788"/>
      <c r="C94" s="3092" t="s">
        <v>2691</v>
      </c>
      <c r="D94" s="3092" t="s">
        <v>2692</v>
      </c>
      <c r="E94" s="3118">
        <v>0.15</v>
      </c>
      <c r="F94" s="3118">
        <v>20</v>
      </c>
    </row>
    <row r="95" spans="1:6" ht="24">
      <c r="A95" s="3118">
        <v>21</v>
      </c>
      <c r="B95" s="3788"/>
      <c r="C95" s="3092" t="s">
        <v>2693</v>
      </c>
      <c r="D95" s="3092" t="s">
        <v>2694</v>
      </c>
      <c r="E95" s="3118">
        <v>0.15</v>
      </c>
      <c r="F95" s="3118">
        <v>20</v>
      </c>
    </row>
    <row r="96" spans="1:6" ht="24">
      <c r="A96" s="3118">
        <v>22</v>
      </c>
      <c r="B96" s="3788"/>
      <c r="C96" s="3092" t="s">
        <v>2695</v>
      </c>
      <c r="D96" s="3092" t="s">
        <v>2696</v>
      </c>
      <c r="E96" s="3118">
        <v>0.15</v>
      </c>
      <c r="F96" s="3118">
        <v>20</v>
      </c>
    </row>
    <row r="97" spans="1:6" ht="36">
      <c r="A97" s="3118">
        <v>23</v>
      </c>
      <c r="B97" s="3788"/>
      <c r="C97" s="3092" t="s">
        <v>2697</v>
      </c>
      <c r="D97" s="3092" t="s">
        <v>2698</v>
      </c>
      <c r="E97" s="3118">
        <v>0.15</v>
      </c>
      <c r="F97" s="3118">
        <v>20</v>
      </c>
    </row>
    <row r="98" spans="1:6" ht="24">
      <c r="A98" s="3118">
        <v>24</v>
      </c>
      <c r="B98" s="3788"/>
      <c r="C98" s="3092" t="s">
        <v>2699</v>
      </c>
      <c r="D98" s="3092" t="s">
        <v>2700</v>
      </c>
      <c r="E98" s="3118">
        <v>0.1</v>
      </c>
      <c r="F98" s="3118">
        <v>15</v>
      </c>
    </row>
    <row r="99" spans="1:6" ht="24">
      <c r="A99" s="3118">
        <v>25</v>
      </c>
      <c r="B99" s="3788"/>
      <c r="C99" s="3092" t="s">
        <v>2701</v>
      </c>
      <c r="D99" s="3092" t="s">
        <v>2702</v>
      </c>
      <c r="E99" s="3118">
        <v>0.1</v>
      </c>
      <c r="F99" s="3118">
        <v>15</v>
      </c>
    </row>
    <row r="100" spans="1:6" ht="24">
      <c r="A100" s="3118">
        <v>26</v>
      </c>
      <c r="B100" s="3788"/>
      <c r="C100" s="3092" t="s">
        <v>2703</v>
      </c>
      <c r="D100" s="3092" t="s">
        <v>2704</v>
      </c>
      <c r="E100" s="3118">
        <v>0.1</v>
      </c>
      <c r="F100" s="3118">
        <v>15</v>
      </c>
    </row>
    <row r="101" spans="1:6" ht="24">
      <c r="A101" s="3118">
        <v>27</v>
      </c>
      <c r="B101" s="3788"/>
      <c r="C101" s="3092" t="s">
        <v>2705</v>
      </c>
      <c r="D101" s="3092" t="s">
        <v>2706</v>
      </c>
      <c r="E101" s="3118">
        <v>0.1</v>
      </c>
      <c r="F101" s="3118">
        <v>15</v>
      </c>
    </row>
    <row r="102" spans="1:6" ht="24">
      <c r="A102" s="3118">
        <v>28</v>
      </c>
      <c r="B102" s="3788"/>
      <c r="C102" s="3092" t="s">
        <v>2707</v>
      </c>
      <c r="D102" s="3092" t="s">
        <v>2708</v>
      </c>
      <c r="E102" s="3118">
        <v>0.1</v>
      </c>
      <c r="F102" s="3118">
        <v>15</v>
      </c>
    </row>
    <row r="103" spans="1:6" ht="24">
      <c r="A103" s="3118">
        <v>29</v>
      </c>
      <c r="B103" s="3788"/>
      <c r="C103" s="3092" t="s">
        <v>2709</v>
      </c>
      <c r="D103" s="3092" t="s">
        <v>2710</v>
      </c>
      <c r="E103" s="3118">
        <v>0.1</v>
      </c>
      <c r="F103" s="3118">
        <v>15</v>
      </c>
    </row>
    <row r="104" spans="1:6" ht="24">
      <c r="A104" s="3118">
        <v>30</v>
      </c>
      <c r="B104" s="3788"/>
      <c r="C104" s="3092" t="s">
        <v>2711</v>
      </c>
      <c r="D104" s="3092" t="s">
        <v>2712</v>
      </c>
      <c r="E104" s="3118">
        <v>0.1</v>
      </c>
      <c r="F104" s="3118">
        <v>15</v>
      </c>
    </row>
    <row r="105" spans="1:6" ht="24">
      <c r="A105" s="3118">
        <v>31</v>
      </c>
      <c r="B105" s="3788"/>
      <c r="C105" s="3092" t="s">
        <v>2713</v>
      </c>
      <c r="D105" s="3092" t="s">
        <v>2714</v>
      </c>
      <c r="E105" s="3118">
        <v>0.1</v>
      </c>
      <c r="F105" s="3118">
        <v>15</v>
      </c>
    </row>
    <row r="106" spans="1:6" ht="24">
      <c r="A106" s="3118">
        <v>32</v>
      </c>
      <c r="B106" s="3788"/>
      <c r="C106" s="3092" t="s">
        <v>2715</v>
      </c>
      <c r="D106" s="3092" t="s">
        <v>2716</v>
      </c>
      <c r="E106" s="3118">
        <v>0.1</v>
      </c>
      <c r="F106" s="3118">
        <v>15</v>
      </c>
    </row>
    <row r="107" spans="1:6" ht="24">
      <c r="A107" s="3118">
        <v>33</v>
      </c>
      <c r="B107" s="3788"/>
      <c r="C107" s="3092" t="s">
        <v>2717</v>
      </c>
      <c r="D107" s="3092" t="s">
        <v>2718</v>
      </c>
      <c r="E107" s="3118">
        <v>0.1</v>
      </c>
      <c r="F107" s="3118">
        <v>15</v>
      </c>
    </row>
    <row r="108" spans="1:6" ht="24">
      <c r="A108" s="3118">
        <v>34</v>
      </c>
      <c r="B108" s="3787"/>
      <c r="C108" s="3092" t="s">
        <v>2719</v>
      </c>
      <c r="D108" s="3092" t="s">
        <v>2720</v>
      </c>
      <c r="E108" s="3118">
        <v>0.1</v>
      </c>
      <c r="F108" s="3118">
        <v>15</v>
      </c>
    </row>
    <row r="109" spans="1:6" ht="36">
      <c r="A109" s="3118">
        <v>35</v>
      </c>
      <c r="B109" s="3786" t="s">
        <v>2721</v>
      </c>
      <c r="C109" s="3118" t="s">
        <v>2722</v>
      </c>
      <c r="D109" s="3092" t="s">
        <v>2723</v>
      </c>
      <c r="E109" s="3118">
        <v>0.15</v>
      </c>
      <c r="F109" s="3118">
        <v>20</v>
      </c>
    </row>
    <row r="110" spans="1:6" ht="24">
      <c r="A110" s="3118">
        <v>36</v>
      </c>
      <c r="B110" s="3788"/>
      <c r="C110" s="3118" t="s">
        <v>2724</v>
      </c>
      <c r="D110" s="3092" t="s">
        <v>2725</v>
      </c>
      <c r="E110" s="3118">
        <v>0.15</v>
      </c>
      <c r="F110" s="3118">
        <v>20</v>
      </c>
    </row>
    <row r="111" spans="1:6" ht="24">
      <c r="A111" s="3118">
        <v>37</v>
      </c>
      <c r="B111" s="3788"/>
      <c r="C111" s="3118" t="s">
        <v>2726</v>
      </c>
      <c r="D111" s="3092" t="s">
        <v>2727</v>
      </c>
      <c r="E111" s="3118">
        <v>0.15</v>
      </c>
      <c r="F111" s="3118">
        <v>20</v>
      </c>
    </row>
    <row r="112" spans="1:6" ht="24">
      <c r="A112" s="3118">
        <v>38</v>
      </c>
      <c r="B112" s="3788"/>
      <c r="C112" s="3118" t="s">
        <v>2728</v>
      </c>
      <c r="D112" s="3092" t="s">
        <v>2729</v>
      </c>
      <c r="E112" s="3118">
        <v>0.1</v>
      </c>
      <c r="F112" s="3118">
        <v>15</v>
      </c>
    </row>
    <row r="113" spans="1:6" ht="24">
      <c r="A113" s="3118">
        <v>39</v>
      </c>
      <c r="B113" s="3788"/>
      <c r="C113" s="3118" t="s">
        <v>2730</v>
      </c>
      <c r="D113" s="3092" t="s">
        <v>2731</v>
      </c>
      <c r="E113" s="3118">
        <v>0.1</v>
      </c>
      <c r="F113" s="3118">
        <v>15</v>
      </c>
    </row>
    <row r="114" spans="1:6" ht="24">
      <c r="A114" s="3118">
        <v>40</v>
      </c>
      <c r="B114" s="3787"/>
      <c r="C114" s="3118" t="s">
        <v>2732</v>
      </c>
      <c r="D114" s="3092" t="s">
        <v>2733</v>
      </c>
      <c r="E114" s="3118">
        <v>0.1</v>
      </c>
      <c r="F114" s="3118">
        <v>15</v>
      </c>
    </row>
    <row r="115" spans="1:6" ht="24">
      <c r="A115" s="3118">
        <v>41</v>
      </c>
      <c r="B115" s="3785" t="s">
        <v>2734</v>
      </c>
      <c r="C115" s="3118" t="s">
        <v>2735</v>
      </c>
      <c r="D115" s="3092" t="s">
        <v>2736</v>
      </c>
      <c r="E115" s="3118">
        <v>0.1</v>
      </c>
      <c r="F115" s="3118">
        <v>15</v>
      </c>
    </row>
    <row r="116" spans="1:6" ht="24">
      <c r="A116" s="3118">
        <v>42</v>
      </c>
      <c r="B116" s="3785"/>
      <c r="C116" s="3118" t="s">
        <v>2737</v>
      </c>
      <c r="D116" s="3092" t="s">
        <v>2738</v>
      </c>
      <c r="E116" s="3118">
        <v>0.1</v>
      </c>
      <c r="F116" s="3118">
        <v>15</v>
      </c>
    </row>
    <row r="117" spans="1:6" ht="24">
      <c r="A117" s="3118">
        <v>43</v>
      </c>
      <c r="B117" s="3785"/>
      <c r="C117" s="3118" t="s">
        <v>2739</v>
      </c>
      <c r="D117" s="3092" t="s">
        <v>2740</v>
      </c>
      <c r="E117" s="3118">
        <v>0.1</v>
      </c>
      <c r="F117" s="3118">
        <v>15</v>
      </c>
    </row>
    <row r="118" spans="1:6" ht="24">
      <c r="A118" s="3118">
        <v>44</v>
      </c>
      <c r="B118" s="3786" t="s">
        <v>2741</v>
      </c>
      <c r="C118" s="3118" t="s">
        <v>2742</v>
      </c>
      <c r="D118" s="3092" t="s">
        <v>2743</v>
      </c>
      <c r="E118" s="3118">
        <v>0.1</v>
      </c>
      <c r="F118" s="3118">
        <v>15</v>
      </c>
    </row>
    <row r="119" spans="1:6" ht="24">
      <c r="A119" s="3118">
        <v>45</v>
      </c>
      <c r="B119" s="3787"/>
      <c r="C119" s="3092" t="s">
        <v>2744</v>
      </c>
      <c r="D119" s="3092" t="s">
        <v>2745</v>
      </c>
      <c r="E119" s="3118">
        <v>0.1</v>
      </c>
      <c r="F119" s="3118">
        <v>15</v>
      </c>
    </row>
    <row r="120" spans="1:6" ht="24">
      <c r="A120" s="3118">
        <v>46</v>
      </c>
      <c r="B120" s="3786" t="s">
        <v>2746</v>
      </c>
      <c r="C120" s="3118" t="s">
        <v>2747</v>
      </c>
      <c r="D120" s="3092" t="s">
        <v>2748</v>
      </c>
      <c r="E120" s="3118">
        <v>0.1</v>
      </c>
      <c r="F120" s="3118">
        <v>15</v>
      </c>
    </row>
    <row r="121" spans="1:6" ht="24">
      <c r="A121" s="3118">
        <v>47</v>
      </c>
      <c r="B121" s="3787"/>
      <c r="C121" s="3118" t="s">
        <v>2749</v>
      </c>
      <c r="D121" s="3092" t="s">
        <v>2750</v>
      </c>
      <c r="E121" s="3118">
        <v>0.1</v>
      </c>
      <c r="F121" s="3118">
        <v>15</v>
      </c>
    </row>
    <row r="122" spans="1:6" ht="24">
      <c r="A122" s="3118">
        <v>48</v>
      </c>
      <c r="B122" s="3786" t="s">
        <v>2751</v>
      </c>
      <c r="C122" s="3118" t="s">
        <v>2752</v>
      </c>
      <c r="D122" s="3092" t="s">
        <v>2753</v>
      </c>
      <c r="E122" s="3118">
        <v>0.1</v>
      </c>
      <c r="F122" s="3118">
        <v>15</v>
      </c>
    </row>
    <row r="123" spans="1:6" ht="24">
      <c r="A123" s="3118">
        <v>49</v>
      </c>
      <c r="B123" s="3787"/>
      <c r="C123" s="3118" t="s">
        <v>2754</v>
      </c>
      <c r="D123" s="3092" t="s">
        <v>2755</v>
      </c>
      <c r="E123" s="3118">
        <v>0.1</v>
      </c>
      <c r="F123" s="3118">
        <v>15</v>
      </c>
    </row>
    <row r="124" spans="1:6" ht="24">
      <c r="A124" s="3118">
        <v>50</v>
      </c>
      <c r="B124" s="3785" t="s">
        <v>2756</v>
      </c>
      <c r="C124" s="3118" t="s">
        <v>2757</v>
      </c>
      <c r="D124" s="3092" t="s">
        <v>2758</v>
      </c>
      <c r="E124" s="3118">
        <v>0.1</v>
      </c>
      <c r="F124" s="3118">
        <v>15</v>
      </c>
    </row>
    <row r="125" spans="1:6" ht="24">
      <c r="A125" s="3118">
        <v>51</v>
      </c>
      <c r="B125" s="3785"/>
      <c r="C125" s="3118" t="s">
        <v>2759</v>
      </c>
      <c r="D125" s="3092" t="s">
        <v>2760</v>
      </c>
      <c r="E125" s="3118">
        <v>0.1</v>
      </c>
      <c r="F125" s="3118">
        <v>15</v>
      </c>
    </row>
    <row r="126" spans="1:6" ht="24">
      <c r="A126" s="3118">
        <v>52</v>
      </c>
      <c r="B126" s="3785" t="s">
        <v>2761</v>
      </c>
      <c r="C126" s="3118" t="s">
        <v>2762</v>
      </c>
      <c r="D126" s="3092" t="s">
        <v>2763</v>
      </c>
      <c r="E126" s="3118">
        <v>0.1</v>
      </c>
      <c r="F126" s="3118">
        <v>15</v>
      </c>
    </row>
    <row r="127" spans="1:6" ht="24">
      <c r="A127" s="3118">
        <v>53</v>
      </c>
      <c r="B127" s="3785"/>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785" t="s">
        <v>2769</v>
      </c>
      <c r="C129" s="3118" t="s">
        <v>2770</v>
      </c>
      <c r="D129" s="3092" t="s">
        <v>2771</v>
      </c>
      <c r="E129" s="3118">
        <v>0.1</v>
      </c>
      <c r="F129" s="3118">
        <v>15</v>
      </c>
    </row>
    <row r="130" spans="1:6" ht="24">
      <c r="A130" s="3118">
        <v>56</v>
      </c>
      <c r="B130" s="3785"/>
      <c r="C130" s="3118" t="s">
        <v>2772</v>
      </c>
      <c r="D130" s="3092" t="s">
        <v>2773</v>
      </c>
      <c r="E130" s="3118">
        <v>0.1</v>
      </c>
      <c r="F130" s="3118">
        <v>15</v>
      </c>
    </row>
    <row r="131" spans="1:6" ht="24">
      <c r="A131" s="3118">
        <v>57</v>
      </c>
      <c r="B131" s="3785"/>
      <c r="C131" s="3118" t="s">
        <v>2774</v>
      </c>
      <c r="D131" s="3092" t="s">
        <v>2775</v>
      </c>
      <c r="E131" s="3118">
        <v>0.1</v>
      </c>
      <c r="F131" s="3118">
        <v>15</v>
      </c>
    </row>
    <row r="132" spans="1:6" ht="24">
      <c r="A132" s="3118">
        <v>58</v>
      </c>
      <c r="B132" s="3785" t="s">
        <v>2776</v>
      </c>
      <c r="C132" s="3118" t="s">
        <v>2777</v>
      </c>
      <c r="D132" s="3092" t="s">
        <v>2778</v>
      </c>
      <c r="E132" s="3118">
        <v>0.1</v>
      </c>
      <c r="F132" s="3118">
        <v>15</v>
      </c>
    </row>
    <row r="133" spans="1:6" ht="24">
      <c r="A133" s="3118">
        <v>59</v>
      </c>
      <c r="B133" s="3785"/>
      <c r="C133" s="3118" t="s">
        <v>2779</v>
      </c>
      <c r="D133" s="3092" t="s">
        <v>2780</v>
      </c>
      <c r="E133" s="3118">
        <v>0.1</v>
      </c>
      <c r="F133" s="3118">
        <v>15</v>
      </c>
    </row>
    <row r="134" spans="1:6" ht="24">
      <c r="A134" s="3118">
        <v>60</v>
      </c>
      <c r="B134" s="3786" t="s">
        <v>2781</v>
      </c>
      <c r="C134" s="3118" t="s">
        <v>2782</v>
      </c>
      <c r="D134" s="3092" t="s">
        <v>2783</v>
      </c>
      <c r="E134" s="3118">
        <v>0.1</v>
      </c>
      <c r="F134" s="3118">
        <v>15</v>
      </c>
    </row>
    <row r="135" spans="1:6" ht="24">
      <c r="A135" s="3118">
        <v>61</v>
      </c>
      <c r="B135" s="3787"/>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785" t="s">
        <v>2789</v>
      </c>
      <c r="C137" s="3118" t="s">
        <v>2790</v>
      </c>
      <c r="D137" s="3092" t="s">
        <v>2791</v>
      </c>
      <c r="E137" s="3118">
        <v>0.1</v>
      </c>
      <c r="F137" s="3118">
        <v>15</v>
      </c>
    </row>
    <row r="138" spans="1:6" ht="24">
      <c r="A138" s="3118">
        <v>64</v>
      </c>
      <c r="B138" s="3785"/>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3"/>
      <c r="C2" s="3483"/>
      <c r="D2" s="3483"/>
      <c r="E2" s="3483"/>
    </row>
    <row r="3" spans="1:5" ht="17.399999999999999">
      <c r="A3" s="3484" t="str">
        <f>IF(项目基本情况!B9="房地产市场价值","估价结果一览表（市场价值不需“结果表-1”）","估价结果一览表")</f>
        <v>估价结果一览表（市场价值不需“结果表-1”）</v>
      </c>
      <c r="B3" s="3484"/>
      <c r="C3" s="3484"/>
      <c r="D3" s="3484"/>
      <c r="E3" s="3484"/>
    </row>
    <row r="4" spans="1:5" ht="18" thickBot="1">
      <c r="A4" s="1493"/>
      <c r="B4" s="3482" t="s">
        <v>917</v>
      </c>
      <c r="C4" s="3482"/>
      <c r="D4" s="3482"/>
      <c r="E4" s="1493"/>
    </row>
    <row r="5" spans="1:5" ht="16.2" thickTop="1">
      <c r="A5" s="1491"/>
      <c r="B5" s="3480" t="s">
        <v>909</v>
      </c>
      <c r="C5" s="1494" t="s">
        <v>910</v>
      </c>
      <c r="D5" s="850" t="e">
        <f ca="1">结果表!H101</f>
        <v>#REF!</v>
      </c>
      <c r="E5" s="1491"/>
    </row>
    <row r="6" spans="1:5" ht="15.6">
      <c r="A6" s="1491"/>
      <c r="B6" s="3480"/>
      <c r="C6" s="1494" t="s">
        <v>911</v>
      </c>
      <c r="D6" s="850" t="e">
        <f ca="1">NUMBERSTRING(INT(D5*10000),2)&amp;"元整"</f>
        <v>#REF!</v>
      </c>
      <c r="E6" s="1491"/>
    </row>
    <row r="7" spans="1:5" ht="15.6">
      <c r="A7" s="1491"/>
      <c r="B7" s="3485"/>
      <c r="C7" s="1495" t="s">
        <v>912</v>
      </c>
      <c r="D7" s="851" t="e">
        <f ca="1">结果表!H102</f>
        <v>#REF!</v>
      </c>
      <c r="E7" s="1491"/>
    </row>
    <row r="8" spans="1:5" ht="15.6">
      <c r="A8" s="1491"/>
      <c r="B8" s="3486" t="str">
        <f>结果表!E103</f>
        <v>2.估价师知悉的法定优先受偿款</v>
      </c>
      <c r="C8" s="1496" t="s">
        <v>913</v>
      </c>
      <c r="D8" s="851">
        <f>结果表!H103</f>
        <v>0</v>
      </c>
      <c r="E8" s="1491"/>
    </row>
    <row r="9" spans="1:5" ht="15.6">
      <c r="A9" s="1491"/>
      <c r="B9" s="348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9" t="str">
        <f>结果表!E107</f>
        <v>3.房地产抵押价值</v>
      </c>
      <c r="C13" s="1499" t="s">
        <v>910</v>
      </c>
      <c r="D13" s="853" t="e">
        <f ca="1">结果表!H107</f>
        <v>#REF!</v>
      </c>
      <c r="E13" s="1491"/>
    </row>
    <row r="14" spans="1:5" ht="15.6">
      <c r="A14" s="1491"/>
      <c r="B14" s="3480"/>
      <c r="C14" s="1494" t="s">
        <v>911</v>
      </c>
      <c r="D14" s="850" t="e">
        <f ca="1">NUMBERSTRING(INT(D13*10000),2)&amp;"元整"</f>
        <v>#REF!</v>
      </c>
      <c r="E14" s="1491"/>
    </row>
    <row r="15" spans="1:5" ht="15.6">
      <c r="A15" s="1491"/>
      <c r="B15" s="3485"/>
      <c r="C15" s="1495" t="s">
        <v>921</v>
      </c>
      <c r="D15" s="859" t="e">
        <f ca="1">结果表!H108</f>
        <v>#REF!</v>
      </c>
      <c r="E15" s="1491"/>
    </row>
    <row r="16" spans="1:5" ht="15.6">
      <c r="A16" s="1491"/>
      <c r="B16" s="3486" t="str">
        <f>结果表!E109</f>
        <v>——</v>
      </c>
      <c r="C16" s="1499" t="s">
        <v>922</v>
      </c>
      <c r="D16" s="1500" t="str">
        <f>结果表!H109</f>
        <v>——</v>
      </c>
      <c r="E16" s="1491"/>
    </row>
    <row r="17" spans="1:5" ht="15.6">
      <c r="A17" s="1491"/>
      <c r="B17" s="3487"/>
      <c r="C17" s="1494" t="s">
        <v>923</v>
      </c>
      <c r="D17" s="850" t="e">
        <f>NUMBERSTRING(INT(D16*10000),2)&amp;"元整"</f>
        <v>#VALUE!</v>
      </c>
      <c r="E17" s="1491"/>
    </row>
    <row r="18" spans="1:5" ht="15.6">
      <c r="A18" s="1491"/>
      <c r="B18" s="3488"/>
      <c r="C18" s="1495" t="s">
        <v>912</v>
      </c>
      <c r="D18" s="859" t="str">
        <f>结果表!H110</f>
        <v>——</v>
      </c>
      <c r="E18" s="1491"/>
    </row>
    <row r="19" spans="1:5" ht="15.6">
      <c r="A19" s="1491"/>
      <c r="B19" s="3479" t="str">
        <f>结果表!E111</f>
        <v>——</v>
      </c>
      <c r="C19" s="1499" t="s">
        <v>910</v>
      </c>
      <c r="D19" s="851" t="str">
        <f>结果表!H111</f>
        <v>——</v>
      </c>
      <c r="E19" s="1491"/>
    </row>
    <row r="20" spans="1:5" ht="15.6">
      <c r="A20" s="1491"/>
      <c r="B20" s="3480"/>
      <c r="C20" s="1494" t="s">
        <v>923</v>
      </c>
      <c r="D20" s="850" t="e">
        <f>NUMBERSTRING(INT(D19*10000),2)&amp;"元整"</f>
        <v>#VALUE!</v>
      </c>
      <c r="E20" s="1491"/>
    </row>
    <row r="21" spans="1:5" ht="16.2" thickBot="1">
      <c r="A21" s="1491"/>
      <c r="B21" s="348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26957</v>
      </c>
      <c r="C2" s="2" t="s">
        <v>106</v>
      </c>
      <c r="D2" s="199"/>
      <c r="E2" s="199"/>
      <c r="F2" s="199"/>
      <c r="G2" s="199"/>
    </row>
    <row r="3" spans="1:7" s="200" customFormat="1" ht="18" customHeight="1" thickBot="1">
      <c r="A3" s="203" t="s">
        <v>58</v>
      </c>
      <c r="B3" s="204">
        <f ca="1">ROUND(B2*10000/'数据-汇总表'!E3,0)</f>
        <v>4084394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66</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621</v>
      </c>
      <c r="D22" s="235">
        <f ca="1">C26</f>
        <v>5.0000000000000001E-4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3</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3123</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26941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66</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5.0000000000000001E-4</v>
      </c>
      <c r="D44" s="238"/>
      <c r="E44" s="238"/>
      <c r="F44" s="239"/>
      <c r="G44" s="3663"/>
    </row>
    <row r="45" spans="1:7" s="214" customFormat="1" ht="13.5" customHeight="1">
      <c r="A45" s="777" t="s">
        <v>341</v>
      </c>
      <c r="B45" s="244" t="s">
        <v>85</v>
      </c>
      <c r="C45" s="245">
        <f>C46</f>
        <v>3</v>
      </c>
      <c r="D45" s="235">
        <f>C47</f>
        <v>4.4999999999999997E-3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16</v>
      </c>
      <c r="D51" s="232"/>
      <c r="E51" s="232"/>
      <c r="F51" s="264"/>
      <c r="G51" s="234" t="s">
        <v>37</v>
      </c>
    </row>
    <row r="52" spans="1:7" s="208" customFormat="1" ht="16.8" thickBot="1">
      <c r="A52" s="265" t="s">
        <v>38</v>
      </c>
      <c r="B52" s="266"/>
      <c r="C52" s="267">
        <f ca="1">C31+C51</f>
        <v>26957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9" t="s">
        <v>3181</v>
      </c>
      <c r="B1" s="3799"/>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3221">
        <f>基准地价修正!G23</f>
        <v>45993</v>
      </c>
      <c r="B1" s="3210" t="s">
        <v>3376</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3.2">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3.2">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3.2">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3.2">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3.2">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3.2">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3.2">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3.2">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3.2">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3.2">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3.2">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3.2">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3.2">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3.2">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3.2">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5" thickTop="1"/>
    <row r="26" spans="1:44" s="3009" customFormat="1">
      <c r="A26" s="3448" t="s">
        <v>3379</v>
      </c>
    </row>
    <row r="27" spans="1:44" s="3009" customFormat="1">
      <c r="I27" s="3208" t="s">
        <v>2825</v>
      </c>
    </row>
    <row r="28" spans="1:44" s="3009" customFormat="1"/>
    <row r="29" spans="1:44" s="3209" customFormat="1" ht="13.2">
      <c r="B29" s="3210" t="s">
        <v>3377</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3.2">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3.2">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3.2">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3.2">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3.2">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3.2">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3.2">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3.2">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3.2">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3.2">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3.2">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3.2">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3.2">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3.2">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3.2">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45993</v>
      </c>
      <c r="D1" s="1302" t="s">
        <v>603</v>
      </c>
      <c r="E1" s="1297">
        <f>'数据-取费表'!B22</f>
        <v>1</v>
      </c>
      <c r="F1" s="1302" t="s">
        <v>604</v>
      </c>
      <c r="G1" s="1298">
        <f ca="1">IF(OR(C1&lt;C27,E1&lt;=1),INDIRECT("d"&amp;$K$1)/100,ROUND((D5+(E1-C5)*(D7-D5)/(C7-C5))/100,4))</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6" t="str">
        <f>IF(项目基本情况!B9="房地产市场价值","估价结果一览表","结果表-2")</f>
        <v>估价结果一览表</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房地产市场价值</v>
      </c>
      <c r="I2" s="3497"/>
    </row>
    <row r="3" spans="1:9" ht="15.6">
      <c r="A3" s="3492"/>
      <c r="B3" s="3492"/>
      <c r="C3" s="3492"/>
      <c r="D3" s="854" t="s">
        <v>925</v>
      </c>
      <c r="E3" s="854" t="s">
        <v>931</v>
      </c>
      <c r="F3" s="854" t="s">
        <v>925</v>
      </c>
      <c r="G3" s="854" t="s">
        <v>926</v>
      </c>
      <c r="H3" s="854" t="s">
        <v>925</v>
      </c>
      <c r="I3" s="854" t="s">
        <v>926</v>
      </c>
    </row>
    <row r="4" spans="1:9" ht="15">
      <c r="A4" s="1505" t="str">
        <f>项目基本情况!S2</f>
        <v>房地产</v>
      </c>
      <c r="B4" s="854">
        <f>项目基本情况!C17</f>
        <v>66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2" t="s">
        <v>927</v>
      </c>
      <c r="B5" s="3492"/>
      <c r="C5" s="3492"/>
      <c r="D5" s="3492" t="e">
        <f ca="1">结果表!D119</f>
        <v>#REF!</v>
      </c>
      <c r="E5" s="3492"/>
      <c r="F5" s="3492" t="e">
        <f ca="1">结果表!F119</f>
        <v>#REF!</v>
      </c>
      <c r="G5" s="3492"/>
      <c r="H5" s="3492" t="e">
        <f ca="1">结果表!H119</f>
        <v>#REF!</v>
      </c>
      <c r="I5" s="3492"/>
    </row>
    <row r="6" spans="1:9" ht="15.6">
      <c r="A6" s="3491" t="str">
        <f>结果表!A120</f>
        <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6">
      <c r="A8" s="3491" t="str">
        <f>结果表!A122</f>
        <v/>
      </c>
      <c r="B8" s="3491"/>
      <c r="C8" s="3491"/>
      <c r="D8" s="3491" t="e">
        <f ca="1">结果表!D122</f>
        <v>#REF!</v>
      </c>
      <c r="E8" s="3491"/>
      <c r="F8" s="3491"/>
      <c r="G8" s="3491"/>
      <c r="H8" s="3491"/>
      <c r="I8" s="3491"/>
    </row>
    <row r="9" spans="1:9" ht="15">
      <c r="A9" s="3492" t="s">
        <v>927</v>
      </c>
      <c r="B9" s="3492"/>
      <c r="C9" s="3492"/>
      <c r="D9" s="3492" t="e">
        <f ca="1">结果表!D123</f>
        <v>#REF!</v>
      </c>
      <c r="E9" s="3492"/>
      <c r="F9" s="3492"/>
      <c r="G9" s="3492"/>
      <c r="H9" s="3492"/>
      <c r="I9" s="3492"/>
    </row>
    <row r="10" spans="1:9" ht="15.6">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6">
      <c r="A12" s="3491" t="str">
        <f>结果表!A126</f>
        <v/>
      </c>
      <c r="B12" s="3491"/>
      <c r="C12" s="3491"/>
      <c r="D12" s="3491" t="str">
        <f>结果表!D126</f>
        <v>——</v>
      </c>
      <c r="E12" s="3491"/>
      <c r="F12" s="3491"/>
      <c r="G12" s="3491"/>
      <c r="H12" s="3491"/>
      <c r="I12" s="3491"/>
    </row>
    <row r="13" spans="1:9" ht="15.6" thickBot="1">
      <c r="A13" s="3489" t="s">
        <v>927</v>
      </c>
      <c r="B13" s="3489"/>
      <c r="C13" s="3489"/>
      <c r="D13" s="3489" t="e">
        <f>结果表!D127</f>
        <v>#VALUE!</v>
      </c>
      <c r="E13" s="3489"/>
      <c r="F13" s="3489"/>
      <c r="G13" s="3489"/>
      <c r="H13" s="3489"/>
      <c r="I13" s="3489"/>
    </row>
    <row r="14" spans="1:9" ht="14.4" thickTop="1">
      <c r="A14" s="3490" t="s">
        <v>932</v>
      </c>
      <c r="B14" s="3490"/>
      <c r="C14" s="3490"/>
      <c r="D14" s="3490"/>
      <c r="E14" s="3490"/>
      <c r="F14" s="3490"/>
      <c r="G14" s="3490"/>
      <c r="H14" s="3490"/>
      <c r="I14" s="349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4" t="s">
        <v>949</v>
      </c>
      <c r="B1" s="3504"/>
      <c r="C1" s="3504"/>
      <c r="D1" s="3504"/>
    </row>
    <row r="2" spans="1:4" ht="17.399999999999999">
      <c r="A2" s="3505" t="s">
        <v>933</v>
      </c>
      <c r="B2" s="3505"/>
      <c r="C2" s="3505"/>
      <c r="D2" s="3505"/>
    </row>
    <row r="3" spans="1:4" ht="17.399999999999999">
      <c r="A3" s="1509" t="s">
        <v>934</v>
      </c>
      <c r="B3" s="1509" t="s">
        <v>935</v>
      </c>
      <c r="C3" s="1509" t="s">
        <v>936</v>
      </c>
      <c r="D3" s="1509" t="s">
        <v>937</v>
      </c>
    </row>
    <row r="4" spans="1:4" ht="56.25" customHeight="1">
      <c r="A4" s="1510" t="str">
        <f>项目基本情况!B4</f>
        <v>陈颖</v>
      </c>
      <c r="B4" s="1511">
        <f ca="1">项目基本情况!C4</f>
        <v>0</v>
      </c>
      <c r="C4" s="1512"/>
      <c r="D4" s="1513" t="s">
        <v>938</v>
      </c>
    </row>
    <row r="5" spans="1:4" ht="56.25" customHeight="1">
      <c r="A5" s="1510">
        <f>项目基本情况!D4</f>
        <v>0</v>
      </c>
      <c r="B5" s="1511">
        <f>项目基本情况!E4</f>
        <v>0</v>
      </c>
      <c r="C5" s="1514"/>
      <c r="D5" s="1513" t="s">
        <v>938</v>
      </c>
    </row>
    <row r="6" spans="1:4" ht="17.399999999999999">
      <c r="A6" s="3505" t="s">
        <v>939</v>
      </c>
      <c r="B6" s="3505"/>
      <c r="C6" s="3505"/>
      <c r="D6" s="350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6" t="s">
        <v>942</v>
      </c>
      <c r="B11" s="3498"/>
      <c r="C11" s="3498"/>
      <c r="D11" s="3498"/>
    </row>
    <row r="12" spans="1:4" ht="15.6">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3"/>
      <c r="C12" s="3503"/>
      <c r="D12" s="3503"/>
    </row>
    <row r="13" spans="1:4" ht="30" customHeight="1">
      <c r="A13" s="3498" t="str">
        <f>IF(项目基本情况!B8="抵押","3.抵押双方在办理抵押登记手续时，应使用本公司出具的正式《房地产评估报告》，特提醒报告使用者注意。","——")</f>
        <v>——</v>
      </c>
      <c r="B13" s="3503"/>
      <c r="C13" s="3503"/>
      <c r="D13" s="3503"/>
    </row>
    <row r="14" spans="1:4" ht="15.75" customHeight="1">
      <c r="A14" s="3498" t="str">
        <f>IF(项目基本情况!B8="抵押","4.本次评估估价师所知悉的法定优先受偿款情况说明如下：","——")</f>
        <v>——</v>
      </c>
      <c r="B14" s="3503"/>
      <c r="C14" s="3503"/>
      <c r="D14" s="3503"/>
    </row>
    <row r="15" spans="1:4" ht="42" customHeight="1">
      <c r="A15" s="3498" t="str">
        <f>IF(项目基本情况!B8="抵押","（1）"&amp;CONCATENATE(项目基本情况!L20,项目基本情况!L21,项目基本情况!L22),"——")</f>
        <v>——</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2" t="s">
        <v>956</v>
      </c>
      <c r="B15" s="3507" t="s">
        <v>109</v>
      </c>
      <c r="C15" s="3508"/>
    </row>
    <row r="16" spans="1:7" ht="14.4">
      <c r="A16" s="3513"/>
      <c r="B16" s="3507" t="s">
        <v>42</v>
      </c>
      <c r="C16" s="3508"/>
    </row>
    <row r="17" spans="1:3" ht="14.4">
      <c r="A17" s="3513"/>
      <c r="B17" s="3510" t="s">
        <v>957</v>
      </c>
      <c r="C17" s="1532" t="s">
        <v>956</v>
      </c>
    </row>
    <row r="18" spans="1:3" ht="14.4">
      <c r="A18" s="3513"/>
      <c r="B18" s="3510"/>
      <c r="C18" s="1532" t="s">
        <v>958</v>
      </c>
    </row>
    <row r="19" spans="1:3" ht="14.4">
      <c r="A19" s="3513"/>
      <c r="B19" s="3510"/>
      <c r="C19" s="1532" t="s">
        <v>959</v>
      </c>
    </row>
    <row r="20" spans="1:3" ht="14.4">
      <c r="A20" s="3514"/>
      <c r="B20" s="3509" t="s">
        <v>960</v>
      </c>
      <c r="C20" s="3508"/>
    </row>
    <row r="21" spans="1:3" ht="14.4">
      <c r="A21" s="1533" t="s">
        <v>961</v>
      </c>
      <c r="B21" s="1534"/>
      <c r="C21" s="1535"/>
    </row>
    <row r="22" spans="1:3" ht="14.4">
      <c r="A22" s="3511" t="s">
        <v>962</v>
      </c>
      <c r="B22" s="3509" t="s">
        <v>963</v>
      </c>
      <c r="C22" s="3508"/>
    </row>
    <row r="23" spans="1:3" ht="14.4">
      <c r="A23" s="3511"/>
      <c r="B23" s="3509" t="s">
        <v>964</v>
      </c>
      <c r="C23" s="3508"/>
    </row>
    <row r="24" spans="1:3" ht="14.4">
      <c r="A24" s="3511"/>
      <c r="B24" s="3509" t="s">
        <v>965</v>
      </c>
      <c r="C24" s="3508"/>
    </row>
    <row r="25" spans="1:3" ht="14.4">
      <c r="A25" s="3511"/>
      <c r="B25" s="3510" t="s">
        <v>966</v>
      </c>
      <c r="C25" s="1532" t="s">
        <v>967</v>
      </c>
    </row>
    <row r="26" spans="1:3" ht="14.4">
      <c r="A26" s="3511"/>
      <c r="B26" s="3510"/>
      <c r="C26" s="1532" t="s">
        <v>968</v>
      </c>
    </row>
    <row r="27" spans="1:3" ht="14.4">
      <c r="A27" s="3511"/>
      <c r="B27" s="3510"/>
      <c r="C27" s="1532" t="s">
        <v>969</v>
      </c>
    </row>
    <row r="28" spans="1:3" ht="14.4">
      <c r="A28" s="3511"/>
      <c r="B28" s="3510"/>
      <c r="C28" s="1532" t="s">
        <v>970</v>
      </c>
    </row>
    <row r="29" spans="1:3" ht="14.4">
      <c r="A29" s="3511"/>
      <c r="B29" s="3510"/>
      <c r="C29" s="1532" t="s">
        <v>971</v>
      </c>
    </row>
    <row r="30" spans="1:3" ht="14.4">
      <c r="A30" s="3511"/>
      <c r="B30" s="3510"/>
      <c r="C30" s="1532" t="s">
        <v>972</v>
      </c>
    </row>
    <row r="31" spans="1:3" ht="14.4">
      <c r="A31" s="3511"/>
      <c r="B31" s="3510"/>
      <c r="C31" s="1532" t="s">
        <v>973</v>
      </c>
    </row>
    <row r="32" spans="1:3" ht="14.4">
      <c r="A32" s="3511"/>
      <c r="B32" s="3510"/>
      <c r="C32" s="1532" t="s">
        <v>974</v>
      </c>
    </row>
    <row r="33" spans="1:3" ht="14.4">
      <c r="A33" s="3511"/>
      <c r="B33" s="351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45995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2025-12-04T08:26:28Z</dcterms:modified>
</cp:coreProperties>
</file>