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3套重估\2025-1-E000455郑林珠江四季悦城-吴姐询价-单价：约14000元，总价：约128万\"/>
    </mc:Choice>
  </mc:AlternateContent>
  <xr:revisionPtr revIDLastSave="0" documentId="13_ncr:1_{FA22D7E8-DFD1-48E5-8D28-F0069691CDBD}" xr6:coauthVersionLast="47" xr6:coauthVersionMax="47" xr10:uidLastSave="{00000000-0000-0000-0000-000000000000}"/>
  <bookViews>
    <workbookView xWindow="370" yWindow="100" windowWidth="12850" windowHeight="13270" tabRatio="899" firstSheet="14"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珠江四季悦城案例" sheetId="82"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悠乐汇案例" sheetId="80"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6" i="9" l="1"/>
  <c r="B59" i="1"/>
  <c r="E105" i="34"/>
  <c r="F105" i="34" s="1"/>
  <c r="D105" i="34"/>
  <c r="E67" i="34"/>
  <c r="D67" i="34" s="1"/>
  <c r="C67" i="34" s="1"/>
  <c r="F67" i="34"/>
  <c r="J49" i="67"/>
  <c r="N19" i="1"/>
  <c r="N6" i="1" s="1"/>
  <c r="B21" i="1"/>
  <c r="E27" i="45"/>
  <c r="Y6" i="1" l="1"/>
  <c r="C37" i="34"/>
  <c r="G14" i="73"/>
  <c r="F14" i="73"/>
  <c r="E14" i="73"/>
  <c r="I37" i="34" l="1"/>
  <c r="E37" i="34"/>
  <c r="G37" i="3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AA19" i="34" s="1"/>
  <c r="H17" i="34"/>
  <c r="AB17" i="34" s="1"/>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S17" i="34" s="1"/>
  <c r="J17" i="34"/>
  <c r="W17" i="34" s="1"/>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BB5" i="3"/>
  <c r="U36" i="40"/>
  <c r="F83" i="43"/>
  <c r="H85" i="43" s="1"/>
  <c r="F50" i="43"/>
  <c r="H54" i="43" s="1"/>
  <c r="F72" i="43"/>
  <c r="H75" i="43" s="1"/>
  <c r="U17" i="39"/>
  <c r="S14" i="35"/>
  <c r="U43" i="21"/>
  <c r="U35" i="21"/>
  <c r="AC35" i="2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AA29"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B36" i="34"/>
  <c r="AC14" i="34"/>
  <c r="AC29" i="34"/>
  <c r="W29" i="34"/>
  <c r="W46" i="34"/>
  <c r="AC46" i="34"/>
  <c r="U30" i="34"/>
  <c r="AB30" i="34"/>
  <c r="S37" i="34"/>
  <c r="U38" i="34"/>
  <c r="AC40" i="34"/>
  <c r="AA36" i="34"/>
  <c r="S36" i="34"/>
  <c r="S46" i="34"/>
  <c r="AA46"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F13" i="67"/>
  <c r="F6" i="73"/>
  <c r="F42" i="67"/>
  <c r="B7" i="76"/>
  <c r="F3" i="73"/>
  <c r="F7" i="67"/>
  <c r="E2" i="69"/>
  <c r="L48" i="67"/>
  <c r="F26" i="67"/>
  <c r="E8" i="76"/>
  <c r="C76" i="67"/>
  <c r="B13" i="76"/>
  <c r="F36" i="15"/>
  <c r="F37" i="67"/>
  <c r="B10" i="76"/>
  <c r="M6" i="67"/>
  <c r="E13" i="76"/>
  <c r="M29" i="15"/>
  <c r="F6" i="67"/>
  <c r="M23" i="67"/>
  <c r="F9" i="15"/>
  <c r="M8" i="67"/>
  <c r="E10" i="76"/>
  <c r="F8" i="15"/>
  <c r="B9" i="76"/>
  <c r="M8" i="15"/>
  <c r="E9" i="76"/>
  <c r="M6" i="15"/>
  <c r="M24" i="15"/>
  <c r="E11" i="76"/>
  <c r="M9" i="67"/>
  <c r="F36" i="67"/>
  <c r="F13" i="15"/>
  <c r="L48" i="15"/>
  <c r="E7" i="76"/>
  <c r="F7" i="15"/>
  <c r="J15" i="15"/>
  <c r="F26" i="15"/>
  <c r="F4" i="73"/>
  <c r="M26" i="15"/>
  <c r="AO13" i="1"/>
  <c r="F40" i="67"/>
  <c r="J15" i="67"/>
  <c r="L47" i="15"/>
  <c r="B11" i="76"/>
  <c r="E2" i="68"/>
  <c r="M26" i="67"/>
  <c r="F7" i="73"/>
  <c r="F20" i="31"/>
  <c r="F37" i="15"/>
  <c r="B8" i="76"/>
  <c r="M28" i="67"/>
  <c r="F16" i="67"/>
  <c r="L47" i="67"/>
  <c r="F43" i="15"/>
  <c r="B12" i="76"/>
  <c r="F9" i="67"/>
  <c r="F8" i="67"/>
  <c r="F5" i="73"/>
  <c r="E12" i="76"/>
  <c r="E7" i="34" l="1"/>
  <c r="I7" i="34"/>
  <c r="G7" i="34"/>
  <c r="C7" i="33"/>
  <c r="C58" i="33" s="1"/>
  <c r="D58" i="33" s="1"/>
  <c r="E58" i="33" s="1"/>
  <c r="F58" i="33" s="1"/>
  <c r="G58" i="33" s="1"/>
  <c r="H58" i="33" s="1"/>
  <c r="I58" i="33" s="1"/>
  <c r="J58" i="33" s="1"/>
  <c r="K58" i="33" s="1"/>
  <c r="L58" i="33" s="1"/>
  <c r="M58" i="33" s="1"/>
  <c r="N58" i="33" s="1"/>
  <c r="O58" i="33" s="1"/>
  <c r="J51" i="67"/>
  <c r="J1" i="73"/>
  <c r="S23" i="34"/>
  <c r="AC23" i="34"/>
  <c r="W19" i="34"/>
  <c r="S19" i="34"/>
  <c r="AC17" i="34"/>
  <c r="AA17" i="34"/>
  <c r="U17" i="34"/>
  <c r="F34" i="15"/>
  <c r="F62" i="15" s="1"/>
  <c r="M20" i="67"/>
  <c r="D33" i="43"/>
  <c r="D1" i="43" s="1"/>
  <c r="B14" i="74"/>
  <c r="C34" i="34"/>
  <c r="K6" i="1"/>
  <c r="A4" i="52"/>
  <c r="B41" i="72"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69"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L59" i="15"/>
  <c r="N59" i="15"/>
  <c r="L58" i="15"/>
  <c r="M59" i="15"/>
  <c r="F66" i="15"/>
  <c r="Q71" i="67"/>
  <c r="F64" i="15"/>
  <c r="C27" i="67"/>
  <c r="C27" i="15"/>
  <c r="F65" i="15"/>
  <c r="N59" i="67"/>
  <c r="L59" i="67"/>
  <c r="L58" i="67"/>
  <c r="M59" i="67"/>
  <c r="B13" i="70"/>
  <c r="M7" i="67"/>
  <c r="J6" i="67" s="1"/>
  <c r="F50" i="67"/>
  <c r="F68" i="67"/>
  <c r="F64" i="67"/>
  <c r="C36" i="68"/>
  <c r="D9" i="68"/>
  <c r="D6" i="73"/>
  <c r="M9" i="15"/>
  <c r="D4" i="73"/>
  <c r="M29" i="67"/>
  <c r="C36" i="69"/>
  <c r="F16" i="15"/>
  <c r="M23" i="15"/>
  <c r="M24" i="67"/>
  <c r="F6" i="15"/>
  <c r="M28" i="15"/>
  <c r="F38" i="67"/>
  <c r="C76" i="15"/>
  <c r="D9" i="69"/>
  <c r="D7" i="73"/>
  <c r="D5" i="73"/>
  <c r="D3" i="73"/>
  <c r="F40" i="15"/>
  <c r="F43" i="67"/>
  <c r="M22" i="67"/>
  <c r="F42" i="15"/>
  <c r="M22" i="15"/>
  <c r="C13" i="12" l="1"/>
  <c r="C48" i="68"/>
  <c r="F71" i="67"/>
  <c r="AP6" i="1"/>
  <c r="J34" i="34"/>
  <c r="H34" i="34"/>
  <c r="F34" i="34"/>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541" i="3"/>
  <c r="E363" i="3"/>
  <c r="E103" i="3"/>
  <c r="E381" i="3"/>
  <c r="E75" i="3"/>
  <c r="E287" i="3"/>
  <c r="E22" i="3"/>
  <c r="E360" i="3"/>
  <c r="E497" i="3"/>
  <c r="E452" i="3"/>
  <c r="E243" i="3"/>
  <c r="E78" i="3"/>
  <c r="E342" i="3"/>
  <c r="E158" i="3"/>
  <c r="E223" i="3"/>
  <c r="E105" i="3"/>
  <c r="E422" i="3"/>
  <c r="E490" i="3"/>
  <c r="E498" i="3"/>
  <c r="E202" i="3"/>
  <c r="E276" i="3"/>
  <c r="E43" i="3"/>
  <c r="E455" i="3"/>
  <c r="E234" i="3"/>
  <c r="E339" i="3"/>
  <c r="E147" i="3"/>
  <c r="E50" i="3"/>
  <c r="E62" i="3"/>
  <c r="E141" i="3"/>
  <c r="E398" i="3"/>
  <c r="E58" i="3"/>
  <c r="E24" i="3"/>
  <c r="E51" i="3"/>
  <c r="E244" i="3"/>
  <c r="E500" i="3"/>
  <c r="E520" i="3"/>
  <c r="E57" i="3"/>
  <c r="E138" i="3"/>
  <c r="E209" i="3"/>
  <c r="E48" i="3"/>
  <c r="E19" i="3"/>
  <c r="E149" i="3"/>
  <c r="E464" i="3"/>
  <c r="E297" i="3"/>
  <c r="E375" i="3"/>
  <c r="E47" i="3"/>
  <c r="E341" i="3"/>
  <c r="E373" i="3"/>
  <c r="E374" i="3"/>
  <c r="E259" i="3"/>
  <c r="E163" i="3"/>
  <c r="E66" i="3"/>
  <c r="AD6" i="3"/>
  <c r="E459" i="3"/>
  <c r="E488" i="3"/>
  <c r="E154" i="3"/>
  <c r="E167" i="3"/>
  <c r="E187" i="3"/>
  <c r="E98" i="3"/>
  <c r="E127" i="3"/>
  <c r="E82" i="3"/>
  <c r="E136" i="3"/>
  <c r="E352" i="3"/>
  <c r="E306" i="3"/>
  <c r="E313" i="3"/>
  <c r="E532" i="3"/>
  <c r="E474" i="3"/>
  <c r="E288" i="3"/>
  <c r="E537" i="3"/>
  <c r="E471" i="3"/>
  <c r="E168" i="3"/>
  <c r="E208" i="3"/>
  <c r="E257" i="3"/>
  <c r="E93" i="3"/>
  <c r="E397" i="3"/>
  <c r="E207" i="3"/>
  <c r="E379" i="3"/>
  <c r="E411" i="3"/>
  <c r="E548" i="3"/>
  <c r="E547" i="3"/>
  <c r="E403" i="3"/>
  <c r="E546" i="3"/>
  <c r="E126" i="3"/>
  <c r="E272" i="3"/>
  <c r="E317" i="3"/>
  <c r="E29" i="3"/>
  <c r="E319" i="3"/>
  <c r="E501" i="3"/>
  <c r="E328" i="3"/>
  <c r="O6" i="3"/>
  <c r="E574" i="3"/>
  <c r="E97" i="3"/>
  <c r="E390" i="3"/>
  <c r="E523" i="3"/>
  <c r="E418" i="3"/>
  <c r="E321" i="3"/>
  <c r="E298"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AE6" i="1"/>
  <c r="C16" i="67"/>
  <c r="C16" i="15"/>
  <c r="F27" i="69"/>
  <c r="F67" i="39" l="1"/>
  <c r="U34" i="34"/>
  <c r="AB34" i="34"/>
  <c r="AC34" i="34"/>
  <c r="W34" i="34"/>
  <c r="T49" i="34"/>
  <c r="G49" i="34" s="1"/>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A34" i="34"/>
  <c r="S34" i="34"/>
  <c r="C47" i="69"/>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V49" i="34"/>
  <c r="I49" i="34" s="1"/>
  <c r="AA10" i="40"/>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67"/>
  <c r="D10" i="69"/>
  <c r="C34" i="69"/>
  <c r="C17" i="15"/>
  <c r="C14" i="67"/>
  <c r="R50" i="34" l="1"/>
  <c r="C49" i="34" s="1"/>
  <c r="I53" i="34"/>
  <c r="J53" i="34" s="1"/>
  <c r="G54" i="34"/>
  <c r="H54" i="34" s="1"/>
  <c r="M19" i="9"/>
  <c r="C118" i="9" s="1"/>
  <c r="B2" i="74" s="1"/>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50" i="34"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0" i="1"/>
  <c r="AO9" i="1"/>
  <c r="AO8" i="1"/>
  <c r="AO7" i="1"/>
  <c r="AO6" i="1"/>
  <c r="AO12" i="1"/>
  <c r="AO11"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C34" i="9"/>
  <c r="D6" i="71"/>
  <c r="C5" i="71"/>
  <c r="D5" i="71" s="1"/>
  <c r="M24" i="43" s="1"/>
  <c r="C42" i="40"/>
  <c r="C43" i="40"/>
  <c r="E47" i="40"/>
  <c r="F47" i="40" s="1"/>
  <c r="E46" i="40"/>
  <c r="F46" i="40" s="1"/>
  <c r="I47" i="40"/>
  <c r="J47" i="40" s="1"/>
  <c r="C35" i="9" l="1"/>
  <c r="D35" i="9"/>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18" i="9" s="1"/>
  <c r="E118" i="9" l="1"/>
  <c r="E14" i="74"/>
  <c r="I4" i="52"/>
  <c r="D118" i="9"/>
  <c r="E4" i="52"/>
  <c r="B48" i="72" s="1"/>
  <c r="F119" i="9"/>
  <c r="F5" i="52" s="1"/>
  <c r="B53" i="72" s="1"/>
  <c r="F4" i="52"/>
  <c r="B51" i="72" s="1"/>
  <c r="H102" i="9"/>
  <c r="G4" i="52"/>
  <c r="B52" i="72" s="1"/>
  <c r="D14" i="74"/>
  <c r="G14" i="74" s="1"/>
  <c r="B6" i="74" s="1"/>
  <c r="D6"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<sst xmlns="http://schemas.openxmlformats.org/spreadsheetml/2006/main" count="7975" uniqueCount="3486">
  <si>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</si>
  <si>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</si>
  <si>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</si>
  <si>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</si>
  <si>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</si>
  <si>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</si>
  <si>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</si>
  <si>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</si>
  <si>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</si>
  <si>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</si>
  <si>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</si>
  <si>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</si>
  <si>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</si>
  <si>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</si>
  <si>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</si>
  <si>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</si>
  <si>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</si>
  <si>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</si>
  <si>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</si>
  <si>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</si>
  <si>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</si>
  <si>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</si>
  <si>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</si>
  <si>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</si>
  <si>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</si>
  <si>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</si>
  <si>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</si>
  <si>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</si>
  <si>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</si>
  <si>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</si>
  <si>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</si>
  <si>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</si>
  <si>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</si>
  <si>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</si>
  <si>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</si>
  <si>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</si>
  <si>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</si>
  <si>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</si>
  <si>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</si>
  <si>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</si>
  <si>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</si>
  <si>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</si>
  <si>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</si>
  <si>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</si>
  <si>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</si>
  <si>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</si>
  <si>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</si>
  <si>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</si>
  <si>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</si>
  <si>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</si>
  <si>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</si>
  <si>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</si>
  <si>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</si>
  <si>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</si>
  <si>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</si>
  <si>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</si>
  <si>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</si>
  <si>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</si>
  <si>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</si>
  <si>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</si>
  <si>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</si>
  <si>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</si>
  <si>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</si>
  <si>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</si>
  <si>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</si>
  <si>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</si>
  <si>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</si>
  <si>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</si>
  <si>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</si>
  <si>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</si>
  <si>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</si>
  <si>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</si>
  <si>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</si>
  <si>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</si>
  <si>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</si>
  <si>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</si>
  <si>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</si>
  <si>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</si>
  <si>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</si>
  <si>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</si>
  <si>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</si>
  <si>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</si>
  <si>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</si>
  <si>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</si>
  <si>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</si>
  <si>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</si>
  <si>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</si>
  <si>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</si>
  <si>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</si>
  <si>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</si>
  <si>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</si>
  <si>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</si>
  <si>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</si>
  <si>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</si>
  <si>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</si>
  <si>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</si>
  <si>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</si>
  <si>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</si>
  <si>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</si>
  <si>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</si>
  <si>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</si>
  <si>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</si>
  <si>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</si>
  <si>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</si>
  <si>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</si>
  <si>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</si>
  <si>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</si>
  <si>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</si>
  <si>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</si>
  <si>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</si>
  <si>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</si>
  <si>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</si>
  <si>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</si>
  <si>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</si>
  <si>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</si>
  <si>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</si>
  <si>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</si>
  <si>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</si>
  <si>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</si>
  <si>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</si>
  <si>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</si>
  <si>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</si>
  <si>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</si>
  <si>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</si>
  <si>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</si>
  <si>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</si>
  <si>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</si>
  <si>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</si>
  <si>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</si>
  <si>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</si>
  <si>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</si>
  <si>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</si>
  <si>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</si>
  <si>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</si>
  <si>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</si>
  <si>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</si>
  <si>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</si>
  <si>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</si>
  <si>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</si>
  <si>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</si>
  <si>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</si>
  <si>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</si>
  <si>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</si>
  <si>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</si>
  <si>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</si>
  <si>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</si>
  <si>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</si>
  <si>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</si>
  <si>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</si>
  <si>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</si>
  <si>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</si>
  <si>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</si>
  <si>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</si>
  <si>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</si>
  <si>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</si>
  <si>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</si>
  <si>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</si>
  <si>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</si>
  <si>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</si>
  <si>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</si>
  <si>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</si>
  <si>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</si>
  <si>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</si>
  <si>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</si>
  <si>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</si>
  <si>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</si>
  <si>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</si>
  <si>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</si>
  <si>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</si>
  <si>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</si>
  <si>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</si>
  <si>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</si>
  <si>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</si>
  <si>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</si>
  <si>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</si>
  <si>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</si>
  <si>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</si>
  <si>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</si>
  <si>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</si>
  <si>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</si>
  <si>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</si>
  <si>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</si>
  <si>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</si>
  <si>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</si>
  <si>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</si>
  <si>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</si>
  <si>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</si>
  <si>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</si>
  <si>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</si>
  <si>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</si>
  <si>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</si>
  <si>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</si>
  <si>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</si>
  <si>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</si>
  <si>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</si>
  <si>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</si>
  <si>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</si>
  <si>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</si>
  <si>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</si>
  <si>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</si>
  <si>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</si>
  <si>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</si>
  <si>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</si>
  <si>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</si>
  <si>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</si>
  <si>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</si>
  <si>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</si>
  <si>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</si>
  <si>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</si>
  <si>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</si>
  <si>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</si>
  <si>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</si>
  <si>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</si>
  <si>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</si>
  <si>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</si>
  <si>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</si>
  <si>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</si>
  <si>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</si>
  <si>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</si>
  <si>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</si>
  <si>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</si>
  <si>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</si>
  <si>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</si>
  <si>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</si>
  <si>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</si>
  <si>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</si>
  <si>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</si>
  <si>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</si>
  <si>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</si>
  <si>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</si>
  <si>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</si>
  <si>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</si>
  <si>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</si>
  <si>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</si>
  <si>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</si>
  <si>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</si>
  <si>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</si>
  <si>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</si>
  <si>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</si>
  <si>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</si>
  <si>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</si>
  <si>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</si>
  <si>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</si>
  <si>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</si>
  <si>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</si>
  <si>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</si>
  <si>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</si>
  <si>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</si>
  <si>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</si>
  <si>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</si>
  <si>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</si>
  <si>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</si>
  <si>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</si>
  <si>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</si>
  <si>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</si>
  <si>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</si>
  <si>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</si>
  <si>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</si>
  <si>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</si>
  <si>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</si>
  <si>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</si>
  <si>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</si>
  <si>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</si>
  <si>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</si>
  <si>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</si>
  <si>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</si>
  <si>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</si>
  <si>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</si>
  <si>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</si>
  <si>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</si>
  <si>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</si>
  <si>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</si>
  <si>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</si>
  <si>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</si>
  <si>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</si>
  <si>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</si>
  <si>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</si>
  <si>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</si>
  <si>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</si>
  <si>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</si>
  <si>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</si>
  <si>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</si>
  <si>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</si>
  <si>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</si>
  <si>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</si>
  <si>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</si>
  <si>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</si>
  <si>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</si>
  <si>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</si>
  <si>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</si>
  <si>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</si>
  <si>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</si>
  <si>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</si>
  <si>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</si>
  <si>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</si>
  <si>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</si>
  <si>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</si>
  <si>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</si>
  <si>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</si>
  <si>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</si>
  <si>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</si>
  <si>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</si>
  <si>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</si>
  <si>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</si>
  <si>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</si>
  <si>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</si>
  <si>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</si>
  <si>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</si>
  <si>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</si>
  <si>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</si>
  <si>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</si>
  <si>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</si>
  <si>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</si>
  <si>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</si>
  <si>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</si>
  <si>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</si>
  <si>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</si>
  <si>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</si>
  <si>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</si>
  <si>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</si>
  <si>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</si>
  <si>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</si>
  <si>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</si>
  <si>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</si>
  <si>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</si>
  <si>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</si>
  <si>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</si>
  <si>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</si>
  <si>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</si>
  <si>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</si>
  <si>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</si>
  <si>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</si>
  <si>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</si>
  <si>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</si>
  <si>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</si>
  <si>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</si>
  <si>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</si>
  <si>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</si>
  <si>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</si>
  <si>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</si>
  <si>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</si>
  <si>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</si>
  <si>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</si>
  <si>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</si>
  <si>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</si>
  <si>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</si>
  <si>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</si>
  <si>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</si>
  <si>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</si>
  <si>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</si>
  <si>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</si>
  <si>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</si>
  <si>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</si>
  <si>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</si>
  <si>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</si>
  <si>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</si>
  <si>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</si>
  <si>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</si>
  <si>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</si>
  <si>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</si>
  <si>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</si>
  <si>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</si>
  <si>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</si>
  <si>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</si>
  <si>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</si>
  <si>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</si>
  <si>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</si>
  <si>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</si>
  <si>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</si>
  <si>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</si>
  <si>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</si>
  <si>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</si>
  <si>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</si>
  <si>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</si>
  <si>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</si>
  <si>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</si>
  <si>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</si>
  <si>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</si>
  <si>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</si>
  <si>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</si>
  <si>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</si>
  <si>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</si>
  <si>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</si>
  <si>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</si>
  <si>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</si>
  <si>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</si>
  <si>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</si>
  <si>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</si>
  <si>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</si>
  <si>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</si>
  <si>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</si>
  <si>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</si>
  <si>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</si>
  <si>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</si>
  <si>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</si>
  <si>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</si>
  <si>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</si>
  <si>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</si>
  <si>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</si>
  <si>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</si>
  <si>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</si>
  <si>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</si>
  <si>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</si>
  <si>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</si>
  <si>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</si>
  <si>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</si>
  <si>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</si>
  <si>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</si>
  <si>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</si>
  <si>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</si>
  <si>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</si>
  <si>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</si>
  <si>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</si>
  <si>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</si>
  <si>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</si>
  <si>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</si>
  <si>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</si>
  <si>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</si>
  <si>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</si>
  <si>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</si>
  <si>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</si>
  <si>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</si>
  <si>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</si>
  <si>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</si>
  <si>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</si>
  <si>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</si>
  <si>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</si>
  <si>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</si>
  <si>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</si>
  <si>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</si>
  <si>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</si>
  <si>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</si>
  <si>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</si>
  <si>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</si>
  <si>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</si>
  <si>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</si>
  <si>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</si>
  <si>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</si>
  <si>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</si>
  <si>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</si>
  <si>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</si>
  <si>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</si>
  <si>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</si>
  <si>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</si>
  <si>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</si>
  <si>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</si>
  <si>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</si>
  <si>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</si>
  <si>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</si>
  <si>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</si>
  <si>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</si>
  <si>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</si>
  <si>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</si>
  <si>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</si>
  <si>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</si>
  <si>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</si>
  <si>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</si>
  <si>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</si>
  <si>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</si>
  <si>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</si>
  <si>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</si>
  <si>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</si>
  <si>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</si>
  <si>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</si>
  <si>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</si>
  <si>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</si>
  <si>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</si>
  <si>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</si>
  <si>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</si>
  <si>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</si>
  <si>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</si>
  <si>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</si>
  <si>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</si>
  <si>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</si>
  <si>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</si>
  <si>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</si>
  <si>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</si>
  <si>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</si>
  <si>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</si>
  <si>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</si>
  <si>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</si>
  <si>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</si>
  <si>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</si>
  <si>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</si>
  <si>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</si>
  <si>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</si>
  <si>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</si>
  <si>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</si>
  <si>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</si>
  <si>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</si>
  <si>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</si>
  <si>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</si>
  <si>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</si>
  <si>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</si>
  <si>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</si>
  <si>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</si>
  <si>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</si>
  <si>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</si>
  <si>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</si>
  <si>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</si>
  <si>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</si>
  <si>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</si>
  <si>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</si>
  <si>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</si>
  <si>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</si>
  <si>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</si>
  <si>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</si>
  <si>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</si>
  <si>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</si>
  <si>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</si>
  <si>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</si>
  <si>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</si>
  <si>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</si>
  <si>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</si>
  <si>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</si>
  <si>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</si>
  <si>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</si>
  <si>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</si>
  <si>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</si>
  <si>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</si>
  <si>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</si>
  <si>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</si>
  <si>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</si>
  <si>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</si>
  <si>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</si>
  <si>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</si>
  <si>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</si>
  <si>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</si>
  <si>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</si>
  <si>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</si>
  <si>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</si>
  <si>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</si>
  <si>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</si>
  <si>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</si>
  <si>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</si>
  <si>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</si>
  <si>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</si>
  <si>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</si>
  <si>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</si>
  <si>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</si>
  <si>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</si>
  <si>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</si>
  <si>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</si>
  <si>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</si>
  <si>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</si>
  <si>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</si>
  <si>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</si>
  <si>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</si>
  <si>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</si>
  <si>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</si>
  <si>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</si>
  <si>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</si>
  <si>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</si>
  <si>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</si>
  <si>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</si>
  <si>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</si>
  <si>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</si>
  <si>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</si>
  <si>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</si>
  <si>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</si>
  <si>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</si>
  <si>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</si>
  <si>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</si>
  <si>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</si>
  <si>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</si>
  <si>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</si>
  <si>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</si>
  <si>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</si>
  <si>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</si>
  <si>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</si>
  <si>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</si>
  <si>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</si>
  <si>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</si>
  <si>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</si>
  <si>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</si>
  <si>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</si>
  <si>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</si>
  <si>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</si>
  <si>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</si>
  <si>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</si>
  <si>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</si>
  <si>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</si>
  <si>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</si>
  <si>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</si>
  <si>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</si>
  <si>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</si>
  <si>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</si>
  <si>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</si>
  <si>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</si>
  <si>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</si>
  <si>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</si>
  <si>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</si>
  <si>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</si>
  <si>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</si>
  <si>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</si>
  <si>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</si>
  <si>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</si>
  <si>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</si>
  <si>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</si>
  <si>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</si>
  <si>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</si>
  <si>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</si>
  <si>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</si>
  <si>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</si>
  <si>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</si>
  <si>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</si>
  <si>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</si>
  <si>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</si>
  <si>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</si>
  <si>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</si>
  <si>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</si>
  <si>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</si>
  <si>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</si>
  <si>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</si>
  <si>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</si>
  <si>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</si>
  <si>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</si>
  <si>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</si>
  <si>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</si>
  <si>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</si>
  <si>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</si>
  <si>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</si>
  <si>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</si>
  <si>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</si>
  <si>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</si>
  <si>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</si>
  <si>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</si>
  <si>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</si>
  <si>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</si>
  <si>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</si>
  <si>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</si>
  <si>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</si>
  <si>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</si>
  <si>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</si>
  <si>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</si>
  <si>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</si>
  <si>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</si>
  <si>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</si>
  <si>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</si>
  <si>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</si>
  <si>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</si>
  <si>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</si>
  <si>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</si>
  <si>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</si>
  <si>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</si>
  <si>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</si>
  <si>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</si>
  <si>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</si>
  <si>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</si>
  <si>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</si>
  <si>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</si>
  <si>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</si>
  <si>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</si>
  <si>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</si>
  <si>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</si>
  <si>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</si>
  <si>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</si>
  <si>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</si>
  <si>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</si>
  <si>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</si>
  <si>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</si>
  <si>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</si>
  <si>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</si>
  <si>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</si>
  <si>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</si>
  <si>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</si>
  <si>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</si>
  <si>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</si>
  <si>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</si>
  <si>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</si>
  <si>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</si>
  <si>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</si>
  <si>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</si>
  <si>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</si>
  <si>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</si>
  <si>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</si>
  <si>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</si>
  <si>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</si>
  <si>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</si>
  <si>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</si>
  <si>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</si>
  <si>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</si>
  <si>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</si>
  <si>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</si>
  <si>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</si>
  <si>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</si>
  <si>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</si>
  <si>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</si>
  <si>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</si>
  <si>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</si>
  <si>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</si>
  <si>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</si>
  <si>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</si>
  <si>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</si>
  <si>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</si>
  <si>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</si>
  <si>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</si>
  <si>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</si>
  <si>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</si>
  <si>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</si>
  <si>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</si>
  <si>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</si>
  <si>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</si>
  <si>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</si>
  <si>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</si>
  <si>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</si>
  <si>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</si>
  <si>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</si>
  <si>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</si>
  <si>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</si>
  <si>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</si>
  <si>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</si>
  <si>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</si>
  <si>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</si>
  <si>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</si>
  <si>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</si>
  <si>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</si>
  <si>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</si>
  <si>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</si>
  <si>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</si>
  <si>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</si>
  <si>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</si>
  <si>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</si>
  <si>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</si>
  <si>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</si>
  <si>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</si>
  <si>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</si>
  <si>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</si>
  <si>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</si>
  <si>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</si>
  <si>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</si>
  <si>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</si>
  <si>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</si>
  <si>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</si>
  <si>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</si>
  <si>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</si>
  <si>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</si>
  <si>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</si>
  <si>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</si>
  <si>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</si>
  <si>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</si>
  <si>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</si>
  <si>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</si>
  <si>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</si>
  <si>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</si>
  <si>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</si>
  <si>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</si>
  <si>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</si>
  <si>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</si>
  <si>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</si>
  <si>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</si>
  <si>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</si>
  <si>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</si>
  <si>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</si>
  <si>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</si>
  <si>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</si>
  <si>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</si>
  <si>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</si>
  <si>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</si>
  <si>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</si>
  <si>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</si>
  <si>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</si>
  <si>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</si>
  <si>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</si>
  <si>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</si>
  <si>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</si>
  <si>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</si>
  <si>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</si>
  <si>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</si>
  <si>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</si>
  <si>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</si>
  <si>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</si>
  <si>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</si>
  <si>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</si>
  <si>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</si>
  <si>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</si>
  <si>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</si>
  <si>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</si>
  <si>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</si>
  <si>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</si>
  <si>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</si>
  <si>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</si>
  <si>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</si>
  <si>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</si>
  <si>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</si>
  <si>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</si>
  <si>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</si>
  <si>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</si>
  <si>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</si>
  <si>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</si>
  <si>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</si>
  <si>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</si>
  <si>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</si>
  <si>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</si>
  <si>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</si>
  <si>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</si>
  <si>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</si>
  <si>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</si>
  <si>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</si>
  <si>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</si>
  <si>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</si>
  <si>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</si>
  <si>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</si>
  <si>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</si>
  <si>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</si>
  <si>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</si>
  <si>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</si>
  <si>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</si>
  <si>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</si>
  <si>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</si>
  <si>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</si>
  <si>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</si>
  <si>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</si>
  <si>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</si>
  <si>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</si>
  <si>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</si>
  <si>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</si>
  <si>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</si>
  <si>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</si>
  <si>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</si>
  <si>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</si>
  <si>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</si>
  <si>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</si>
  <si>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</si>
  <si>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</si>
  <si>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</si>
  <si>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</si>
  <si>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</si>
  <si>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</si>
  <si>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</si>
  <si>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</si>
  <si>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</si>
  <si>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</si>
  <si>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</si>
  <si>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</si>
  <si>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</si>
  <si>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</si>
  <si>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</si>
  <si>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</si>
  <si>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</si>
  <si>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</si>
  <si>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</si>
  <si>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</si>
  <si>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</si>
  <si>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</si>
  <si>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</si>
  <si>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</si>
  <si>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</si>
  <si>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</si>
  <si>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</si>
  <si>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</si>
  <si>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</si>
  <si>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</si>
  <si>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</si>
  <si>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</si>
  <si>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</si>
  <si>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</si>
  <si>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</si>
  <si>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</si>
  <si>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</si>
  <si>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</si>
  <si>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</si>
  <si>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</si>
  <si>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</si>
  <si>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</si>
  <si>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</si>
  <si>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</si>
  <si>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</si>
  <si>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</si>
  <si>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</si>
  <si>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</si>
  <si>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</si>
  <si>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</si>
  <si>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</si>
  <si>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</si>
  <si>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</si>
  <si>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</si>
  <si>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</si>
  <si>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</si>
  <si>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</si>
  <si>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</si>
  <si>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</si>
  <si>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</si>
  <si>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</si>
  <si>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</si>
  <si>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</si>
  <si>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</si>
  <si>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</si>
  <si>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</si>
  <si>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</si>
  <si>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</si>
  <si>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</si>
  <si>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</si>
  <si>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</si>
  <si>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</si>
  <si>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</si>
  <si>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</si>
  <si>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</si>
  <si>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</si>
  <si>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</si>
  <si>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</si>
  <si>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</si>
  <si>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</si>
  <si>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</si>
  <si>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</si>
  <si>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</si>
  <si>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</si>
  <si>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</si>
  <si>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</si>
  <si>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</si>
  <si>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</si>
  <si>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</si>
  <si>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</si>
  <si>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</si>
  <si>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</si>
  <si>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</si>
  <si>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</si>
  <si>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</si>
  <si>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</si>
  <si>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</si>
  <si>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</si>
  <si>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</si>
  <si>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</si>
  <si>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</si>
  <si>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</si>
  <si>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</si>
  <si>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</si>
  <si>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</si>
  <si>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</si>
  <si>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</si>
  <si>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</si>
  <si>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</si>
  <si>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</si>
  <si>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</si>
  <si>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</si>
  <si>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</si>
  <si>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</si>
  <si>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</si>
  <si>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</si>
  <si>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</si>
  <si>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</si>
  <si>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</si>
  <si>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</si>
  <si>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</si>
  <si>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</si>
  <si>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</si>
  <si>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</si>
  <si>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</si>
  <si>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</si>
  <si>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</si>
  <si>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</si>
  <si>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</si>
  <si>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</si>
  <si>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</si>
  <si>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</si>
  <si>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</si>
  <si>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</si>
  <si>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</si>
  <si>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</si>
  <si>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</si>
  <si>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</si>
  <si>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</si>
  <si>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</si>
  <si>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</si>
  <si>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</si>
  <si>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</si>
  <si>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</si>
  <si>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</si>
  <si>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</si>
  <si>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</si>
  <si>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</si>
  <si>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</si>
  <si>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</si>
  <si>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</si>
  <si>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</si>
  <si>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</si>
  <si>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</si>
  <si>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</si>
  <si>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</si>
  <si>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</si>
  <si>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</si>
  <si>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</si>
  <si>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</si>
  <si>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</si>
  <si>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</si>
  <si>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</si>
  <si>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</si>
  <si>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</si>
  <si>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</si>
  <si>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</si>
  <si>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</si>
  <si>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</si>
  <si>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</si>
  <si>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</si>
  <si>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</si>
  <si>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</si>
  <si>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</si>
  <si>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</si>
  <si>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</si>
  <si>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</si>
  <si>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</si>
  <si>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</si>
  <si>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</si>
  <si>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</si>
  <si>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</si>
  <si>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</si>
  <si>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</si>
  <si>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</si>
  <si>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</si>
  <si>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</si>
  <si>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</si>
  <si>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</si>
  <si>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</si>
  <si>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</si>
  <si>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</si>
  <si>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</si>
  <si>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</si>
  <si>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</si>
  <si>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</si>
  <si>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</si>
  <si>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</si>
  <si>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</si>
  <si>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</si>
  <si>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</si>
  <si>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</si>
  <si>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</si>
  <si>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</si>
  <si>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</si>
  <si>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</si>
  <si>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</si>
  <si>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</si>
  <si>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</si>
  <si>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</si>
  <si>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</si>
  <si>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</si>
  <si>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</si>
  <si>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</si>
  <si>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</si>
  <si>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</si>
  <si>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</si>
  <si>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</si>
  <si>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</si>
  <si>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</si>
  <si>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</si>
  <si>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</si>
  <si>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</si>
  <si>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</si>
  <si>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</si>
  <si>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</si>
  <si>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</si>
  <si>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</si>
  <si>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</si>
  <si>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</si>
  <si>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</si>
  <si>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</si>
  <si>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</si>
  <si>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</si>
  <si>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</si>
  <si>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</si>
  <si>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</si>
  <si>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</si>
  <si>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</si>
  <si>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</si>
  <si>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</si>
  <si>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</si>
  <si>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</si>
  <si>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</si>
  <si>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</si>
  <si>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</si>
  <si>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</si>
  <si>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</si>
  <si>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</si>
  <si>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</si>
  <si>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</si>
  <si>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</si>
  <si>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</si>
  <si>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</si>
  <si>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</si>
  <si>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</si>
  <si>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</si>
  <si>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</si>
  <si>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</si>
  <si>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</si>
  <si>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</si>
  <si>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</si>
  <si>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</si>
  <si>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</si>
  <si>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</si>
  <si>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</si>
  <si>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</si>
  <si>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</si>
  <si>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</si>
  <si>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</si>
  <si>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</si>
  <si>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</si>
  <si>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</si>
  <si>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</si>
  <si>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</si>
  <si>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</si>
  <si>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</si>
  <si>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</si>
  <si>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</si>
  <si>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</si>
  <si>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</si>
  <si>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</si>
  <si>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</si>
  <si>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</si>
  <si>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</si>
  <si>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</si>
  <si>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</si>
  <si>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</si>
  <si>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</si>
  <si>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</si>
  <si>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</si>
  <si>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</si>
  <si>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</si>
  <si>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</si>
  <si>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</si>
  <si>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</si>
  <si>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</si>
  <si>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</si>
  <si>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</si>
  <si>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</si>
  <si>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</si>
  <si>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</si>
  <si>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</si>
  <si>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</si>
  <si>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</si>
  <si>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</si>
  <si>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</si>
  <si>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</si>
  <si>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</si>
  <si>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</si>
  <si>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</si>
  <si>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</si>
  <si>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</si>
  <si>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</si>
  <si>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</si>
  <si>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</si>
  <si>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</si>
  <si>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</si>
  <si>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</si>
  <si>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</si>
  <si>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</si>
  <si>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</si>
  <si>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</si>
  <si>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</si>
  <si>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</si>
  <si>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</si>
  <si>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</si>
  <si>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</si>
  <si>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</si>
  <si>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</si>
  <si>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</si>
  <si>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</si>
  <si>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</si>
  <si>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</si>
  <si>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</si>
  <si>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</si>
  <si>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</si>
  <si>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</si>
  <si>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</si>
  <si>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</si>
  <si>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</si>
  <si>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</si>
  <si>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</si>
  <si>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</si>
  <si>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</si>
  <si>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</si>
  <si>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</si>
  <si>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</si>
  <si>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</si>
  <si>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</si>
  <si>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</si>
  <si>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</si>
  <si>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</si>
  <si>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</si>
  <si>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</si>
  <si>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</si>
  <si>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</si>
  <si>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</si>
  <si>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</si>
  <si>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</si>
  <si>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</si>
  <si>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</si>
  <si>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</si>
  <si>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</si>
  <si>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</si>
  <si>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</si>
  <si>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</si>
  <si>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</si>
  <si>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</si>
  <si>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</si>
  <si>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</si>
  <si>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</si>
  <si>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</si>
  <si>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</si>
  <si>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</si>
  <si>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</si>
  <si>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</si>
  <si>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</si>
  <si>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</si>
  <si>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</si>
  <si>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</si>
  <si>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</si>
  <si>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</si>
  <si>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</si>
  <si>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</si>
  <si>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</si>
  <si>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</si>
  <si>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</si>
  <si>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</si>
  <si>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</si>
  <si>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</si>
  <si>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</si>
  <si>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</si>
  <si>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</si>
  <si>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</si>
  <si>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</si>
  <si>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</si>
  <si>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</si>
  <si>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</si>
  <si>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</si>
  <si>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</si>
  <si>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</si>
  <si>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</si>
  <si>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</si>
  <si>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</si>
  <si>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</si>
  <si>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</si>
  <si>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</si>
  <si>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</si>
  <si>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</si>
  <si>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</si>
  <si>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</si>
  <si>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</si>
  <si>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</si>
  <si>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</si>
  <si>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</si>
  <si>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</si>
  <si>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</si>
  <si>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</si>
  <si>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</si>
  <si>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</si>
  <si>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</si>
  <si>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</si>
  <si>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</si>
  <si>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</si>
  <si>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</si>
  <si>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</si>
  <si>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</si>
  <si>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</si>
  <si>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</si>
  <si>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</si>
  <si>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</si>
  <si>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</si>
  <si>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</si>
  <si>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</si>
  <si>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</si>
  <si>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</si>
  <si>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</si>
  <si>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</si>
  <si>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</si>
  <si>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</si>
  <si>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</si>
  <si>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</si>
  <si>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</si>
  <si>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</si>
  <si>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</si>
  <si>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</si>
  <si>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</si>
  <si>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</si>
  <si>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</si>
  <si>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</si>
  <si>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</si>
  <si>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</si>
  <si>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</si>
  <si>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</si>
  <si>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</si>
  <si>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</si>
  <si>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</si>
  <si>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</si>
  <si>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</si>
  <si>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</si>
  <si>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</si>
  <si>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</si>
  <si>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</si>
  <si>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</si>
  <si>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</si>
  <si>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</si>
  <si>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</si>
  <si>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</si>
  <si>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</si>
  <si>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</si>
  <si>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</si>
  <si>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</si>
  <si>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</si>
  <si>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</si>
  <si>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</si>
  <si>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</si>
  <si>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</si>
  <si>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</si>
  <si>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</si>
  <si>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</si>
  <si>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</si>
  <si>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</si>
  <si>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</si>
  <si>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</si>
  <si>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</si>
  <si>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</si>
  <si>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</si>
  <si>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</si>
  <si>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</si>
  <si>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</si>
  <si>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</si>
  <si>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</si>
  <si>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</si>
  <si>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</si>
  <si>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</si>
  <si>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</si>
  <si>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</si>
  <si>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</si>
  <si>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</si>
  <si>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</si>
  <si>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</si>
  <si>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</si>
  <si>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</si>
  <si>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</si>
  <si>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</si>
  <si>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</si>
  <si>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</si>
  <si>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</si>
  <si>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</si>
  <si>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</si>
  <si>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</si>
  <si>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</si>
  <si>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</si>
  <si>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</si>
  <si>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</si>
  <si>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</si>
  <si>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</si>
  <si>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</si>
  <si>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</si>
  <si>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</si>
  <si>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</si>
  <si>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</si>
  <si>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</si>
  <si>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</si>
  <si>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</si>
  <si>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</si>
  <si>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</si>
  <si>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</si>
  <si>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</si>
  <si>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</si>
  <si>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</si>
  <si>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</si>
  <si>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</si>
  <si>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</si>
  <si>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</si>
  <si>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</si>
  <si>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</si>
  <si>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</si>
  <si>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</si>
  <si>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</si>
  <si>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</si>
  <si>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</si>
  <si>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</si>
  <si>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</si>
  <si>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</si>
  <si>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</si>
  <si>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</si>
  <si>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</si>
  <si>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</si>
  <si>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</si>
  <si>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</si>
  <si>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</si>
  <si>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</si>
  <si>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</si>
  <si>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</si>
  <si>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</si>
  <si>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</si>
  <si>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</si>
  <si>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</si>
  <si>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</si>
  <si>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</si>
  <si>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</si>
  <si>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</si>
  <si>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</si>
  <si>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</si>
  <si>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</si>
  <si>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</si>
  <si>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</si>
  <si>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</si>
  <si>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</si>
  <si>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</si>
  <si>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</si>
  <si>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</si>
  <si>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</si>
  <si>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</si>
  <si>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</si>
  <si>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</si>
  <si>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</si>
  <si>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</si>
  <si>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</si>
  <si>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</si>
  <si>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</si>
  <si>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</si>
  <si>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</si>
  <si>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</si>
  <si>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</si>
  <si>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</si>
  <si>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</si>
  <si>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</si>
  <si>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</si>
  <si>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</si>
  <si>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</si>
  <si>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</si>
  <si>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</si>
  <si>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</si>
  <si>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</si>
  <si>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</si>
  <si>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</si>
  <si>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</si>
  <si>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</si>
  <si>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</si>
  <si>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</si>
  <si>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</si>
  <si>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</si>
  <si>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</si>
  <si>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</si>
  <si>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</si>
  <si>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</si>
  <si>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</si>
  <si>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</si>
  <si>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</si>
  <si>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</si>
  <si>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</si>
  <si>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</si>
  <si>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</si>
  <si>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</si>
  <si>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</si>
  <si>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</si>
  <si>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</si>
  <si>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</si>
  <si>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</si>
  <si>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</si>
  <si>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</si>
  <si>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</si>
  <si>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</si>
  <si>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</si>
  <si>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</si>
  <si>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</si>
  <si>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</si>
  <si>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</si>
  <si>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</si>
  <si>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</si>
  <si>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</si>
  <si>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</si>
  <si>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</si>
  <si>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</si>
  <si>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</si>
  <si>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</si>
  <si>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</si>
  <si>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</si>
  <si>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</si>
  <si>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</si>
  <si>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</si>
  <si>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</si>
  <si>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</si>
  <si>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</si>
  <si>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</si>
  <si>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</si>
  <si>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</si>
  <si>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</si>
  <si>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</si>
  <si>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</si>
  <si>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</si>
  <si>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</si>
  <si>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</si>
  <si>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</si>
  <si>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</si>
  <si>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</si>
  <si>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</si>
  <si>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</si>
  <si>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</si>
  <si>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</si>
  <si>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</si>
  <si>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</si>
  <si>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</si>
  <si>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</si>
  <si>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</si>
  <si>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</si>
  <si>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</si>
  <si>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</si>
  <si>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</si>
  <si>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</si>
  <si>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</si>
  <si>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</si>
  <si>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</si>
  <si>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</si>
  <si>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</si>
  <si>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</si>
  <si>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</si>
  <si>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</si>
  <si>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</si>
  <si>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</si>
  <si>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</si>
  <si>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</si>
  <si>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</si>
  <si>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</si>
  <si>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</si>
  <si>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</si>
  <si>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</si>
  <si>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</si>
  <si>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</si>
  <si>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</si>
  <si>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</si>
  <si>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</si>
  <si>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</si>
  <si>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</si>
  <si>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</si>
  <si>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</si>
  <si>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</si>
  <si>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</si>
  <si>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</si>
  <si>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</si>
  <si>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</si>
  <si>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</si>
  <si>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</si>
  <si>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</si>
  <si>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</si>
  <si>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</si>
  <si>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</si>
  <si>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</si>
  <si>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</si>
  <si>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</si>
  <si>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</si>
  <si>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</si>
  <si>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</si>
  <si>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</si>
  <si>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</si>
  <si>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</si>
  <si>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</si>
  <si>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</si>
  <si>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</si>
  <si>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</si>
  <si>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</si>
  <si>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</si>
  <si>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</si>
  <si>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</si>
  <si>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</si>
  <si>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</si>
  <si>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</si>
  <si>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</si>
  <si>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</si>
  <si>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</si>
  <si>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</si>
  <si>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</si>
  <si>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</si>
  <si>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</si>
  <si>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</si>
  <si>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</si>
  <si>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</si>
  <si>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</si>
  <si>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</si>
  <si>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</si>
  <si>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</si>
  <si>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</si>
  <si>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</si>
  <si>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</si>
  <si>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</si>
  <si>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</si>
  <si>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</si>
  <si>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</si>
  <si>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</si>
  <si>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</si>
  <si>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</si>
  <si>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</si>
  <si>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</si>
  <si>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</si>
  <si>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</si>
  <si>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</si>
  <si>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</si>
  <si>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</si>
  <si>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</si>
  <si>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</si>
  <si>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</si>
  <si>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</si>
  <si>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</si>
  <si>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</si>
  <si>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</si>
  <si>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</si>
  <si>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</si>
  <si>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</si>
  <si>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</si>
  <si>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</si>
  <si>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</si>
  <si>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</si>
  <si>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</si>
  <si>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</si>
  <si>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</si>
  <si>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</si>
  <si>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</si>
  <si>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</si>
  <si>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</si>
  <si>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</si>
  <si>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</si>
  <si>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</si>
  <si>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</si>
  <si>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</si>
  <si>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</si>
  <si>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</si>
  <si>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</si>
  <si>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</si>
  <si>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</si>
  <si>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</si>
  <si>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</si>
  <si>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</si>
  <si>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</si>
  <si>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</si>
  <si>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</si>
  <si>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</si>
  <si>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</si>
  <si>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</si>
  <si>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</si>
  <si>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</si>
  <si>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</si>
  <si>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</si>
  <si>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</si>
  <si>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</si>
  <si>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</si>
  <si>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</si>
  <si>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</si>
  <si>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</si>
  <si>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</si>
  <si>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</si>
  <si>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</si>
  <si>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</si>
  <si>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</si>
  <si>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</si>
  <si>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</si>
  <si>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</si>
  <si>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</si>
  <si>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</si>
  <si>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</si>
  <si>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</si>
  <si>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</si>
  <si>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</si>
  <si>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</si>
  <si>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</si>
  <si>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</si>
  <si>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</si>
  <si>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</si>
  <si>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</si>
  <si>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</si>
  <si>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</si>
  <si>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</si>
  <si>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</si>
  <si>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</si>
  <si>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</si>
  <si>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</si>
  <si>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</si>
  <si>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</si>
  <si>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</si>
  <si>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</si>
  <si>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</si>
  <si>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</si>
  <si>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</si>
  <si>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</si>
  <si>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</si>
  <si>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</si>
  <si>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</si>
  <si>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</si>
  <si>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</si>
  <si>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</si>
  <si>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</si>
  <si>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</si>
  <si>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</si>
  <si>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</si>
  <si>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</si>
  <si>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</si>
  <si>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</si>
  <si>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</si>
  <si>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</si>
  <si>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</si>
  <si>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</si>
  <si>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</si>
  <si>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</si>
  <si>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</si>
  <si>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</si>
  <si>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</si>
  <si>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</si>
  <si>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</si>
  <si>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</si>
  <si>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</si>
  <si>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</si>
  <si>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</si>
  <si>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</si>
  <si>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</si>
  <si>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</si>
  <si>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</si>
  <si>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</si>
  <si>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</si>
  <si>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</si>
  <si>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</si>
  <si>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</si>
  <si>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</si>
  <si>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</si>
  <si>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</si>
  <si>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</si>
  <si>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</si>
  <si>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</si>
  <si>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</si>
  <si>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</si>
  <si>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</si>
  <si>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</si>
  <si>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</si>
  <si>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</si>
  <si>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</si>
  <si>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</si>
  <si>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</si>
  <si>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</si>
  <si>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</si>
  <si>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</si>
  <si>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</si>
  <si>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</si>
  <si>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</si>
  <si>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</si>
  <si>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</si>
  <si>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</si>
  <si>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</si>
  <si>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</si>
  <si>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</si>
  <si>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</si>
  <si>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</si>
  <si>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</si>
  <si>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</si>
  <si>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</si>
  <si>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</si>
  <si>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</si>
  <si>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</si>
  <si>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</si>
  <si>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</si>
  <si>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</si>
  <si>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</si>
  <si>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</si>
  <si>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</si>
  <si>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</si>
  <si>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</si>
  <si>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</si>
  <si>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</si>
  <si>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</si>
  <si>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</si>
  <si>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</si>
  <si>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</si>
  <si>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</si>
  <si>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</si>
  <si>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</si>
  <si>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</si>
  <si>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</si>
  <si>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</si>
  <si>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</si>
  <si>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</si>
  <si>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</si>
  <si>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</si>
  <si>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</si>
  <si>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</si>
  <si>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</si>
  <si>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</si>
  <si>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</si>
  <si>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</si>
  <si>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</si>
  <si>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</si>
  <si>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</si>
  <si>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</si>
  <si>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</si>
  <si>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</si>
  <si>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</si>
  <si>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</si>
  <si>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</si>
  <si>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</si>
  <si>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</si>
  <si>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</si>
  <si>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</si>
  <si>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</si>
  <si>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</si>
  <si>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</si>
  <si>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</si>
  <si>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</si>
  <si>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</si>
  <si>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</si>
  <si>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</si>
  <si>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</si>
  <si>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</si>
  <si>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</si>
  <si>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</si>
  <si>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</si>
  <si>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</si>
  <si>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</si>
  <si>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</si>
  <si>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</si>
  <si>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</si>
  <si>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</si>
  <si>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</si>
  <si>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</si>
  <si>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</si>
  <si>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</si>
  <si>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</si>
  <si>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</si>
  <si>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</si>
  <si>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</si>
  <si>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</si>
  <si>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</si>
  <si>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</si>
  <si>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</si>
  <si>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</si>
  <si>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</si>
  <si>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</si>
  <si>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</si>
  <si>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</si>
  <si>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</si>
  <si>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</si>
  <si>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</si>
  <si>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</si>
  <si>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</si>
  <si>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</si>
  <si>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</si>
  <si>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</si>
  <si>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</si>
  <si>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</si>
  <si>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</si>
  <si>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</si>
  <si>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</si>
  <si>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</si>
  <si>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</si>
  <si>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</si>
  <si>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</si>
  <si>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</si>
  <si>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</si>
  <si>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</si>
  <si>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</si>
  <si>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</si>
  <si>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</si>
  <si>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</si>
  <si>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</si>
  <si>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</si>
  <si>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</si>
  <si>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</si>
  <si>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</si>
  <si>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</si>
  <si>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</si>
  <si>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</si>
  <si>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</si>
  <si>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</si>
  <si>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</si>
  <si>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</si>
  <si>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</si>
  <si>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</si>
  <si>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</si>
  <si>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</si>
  <si>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</si>
  <si>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</si>
  <si>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</si>
  <si>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</si>
  <si>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</si>
  <si>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</si>
  <si>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</si>
  <si>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</si>
  <si>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</si>
  <si>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</si>
  <si>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</si>
  <si>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</si>
  <si>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</si>
  <si>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</si>
  <si>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</si>
  <si>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</si>
  <si>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</si>
  <si>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</si>
  <si>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</si>
  <si>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</si>
  <si>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</si>
  <si>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</si>
  <si>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</si>
  <si>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</si>
  <si>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</si>
  <si>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</si>
  <si>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</si>
  <si>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</si>
  <si>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</si>
  <si>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</si>
  <si>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</si>
  <si>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</si>
  <si>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</si>
  <si>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</si>
  <si>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</si>
  <si>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</si>
  <si>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</si>
  <si>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</si>
  <si>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</si>
  <si>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</si>
  <si>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</si>
  <si>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</si>
  <si>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</si>
  <si>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</si>
  <si>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</si>
  <si>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</si>
  <si>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</si>
  <si>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</si>
  <si>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</si>
  <si>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</si>
  <si>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</si>
  <si>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</si>
  <si>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</si>
  <si>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</si>
  <si>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</si>
  <si>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</si>
  <si>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</si>
  <si>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</si>
  <si>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</si>
  <si>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</si>
  <si>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</si>
  <si>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</si>
  <si>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</si>
  <si>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</si>
  <si>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</si>
  <si>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</si>
  <si>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</si>
  <si>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</si>
  <si>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</si>
  <si>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</si>
  <si>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</si>
  <si>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</si>
  <si>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</si>
  <si>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</si>
  <si>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</si>
  <si>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</si>
  <si>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</si>
  <si>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</si>
  <si>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</si>
  <si>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</si>
  <si>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</si>
  <si>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</si>
  <si>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</si>
  <si>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</si>
  <si>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</si>
  <si>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</si>
  <si>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</si>
  <si>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</si>
  <si>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</si>
  <si>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</si>
  <si>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</si>
  <si>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</si>
  <si>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</si>
  <si>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</si>
  <si>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</si>
  <si>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</si>
  <si>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</si>
  <si>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</si>
  <si>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</si>
  <si>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</si>
  <si>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</si>
  <si>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</si>
  <si>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</si>
  <si>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</si>
  <si>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</si>
  <si>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</si>
  <si>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</si>
  <si>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</si>
  <si>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</si>
  <si>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</si>
  <si>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</si>
  <si>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</si>
  <si>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</si>
  <si>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</si>
  <si>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</si>
  <si>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</si>
  <si>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</si>
  <si>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</si>
  <si>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</si>
  <si>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</si>
  <si>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</si>
  <si>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</si>
  <si>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</si>
  <si>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</si>
  <si>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</si>
  <si>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</si>
  <si>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</si>
  <si>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</si>
  <si>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</si>
  <si>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</si>
  <si>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</si>
  <si>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</si>
  <si>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</si>
  <si>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</si>
  <si>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</si>
  <si>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</si>
  <si>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</si>
  <si>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</si>
  <si>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</si>
  <si>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</si>
  <si>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</si>
  <si>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</si>
  <si>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</si>
  <si>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</si>
  <si>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</si>
  <si>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</si>
  <si>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</si>
  <si>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</si>
  <si>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</si>
  <si>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</si>
  <si>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</si>
  <si>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</si>
  <si>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</si>
  <si>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</si>
  <si>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</si>
  <si>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</si>
  <si>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</si>
  <si>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</si>
  <si>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</si>
  <si>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</si>
  <si>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</si>
  <si>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</si>
  <si>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</si>
  <si>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</si>
  <si>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</si>
  <si>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</si>
  <si>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</si>
  <si>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</si>
  <si>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</si>
  <si>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</si>
  <si>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</si>
  <si>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</si>
  <si>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</si>
  <si>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</si>
  <si>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</si>
  <si>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</si>
  <si>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</si>
  <si>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</si>
  <si>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</si>
  <si>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</si>
  <si>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</si>
  <si>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</si>
  <si>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</si>
  <si>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</si>
  <si>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</si>
  <si>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</si>
  <si>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</si>
  <si>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</si>
  <si>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</si>
  <si>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</si>
  <si>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</si>
  <si>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</si>
  <si>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</si>
  <si>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</si>
  <si>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</si>
  <si>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</si>
  <si>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</si>
  <si>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</si>
  <si>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</si>
  <si>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</si>
  <si>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</si>
  <si>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</si>
  <si>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</si>
  <si>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</si>
  <si>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</si>
  <si>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</si>
  <si>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</si>
  <si>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</si>
  <si>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</si>
  <si>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</si>
  <si>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</si>
  <si>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</si>
  <si>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</si>
  <si>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</si>
  <si>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</si>
  <si>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</si>
  <si>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</si>
  <si>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</si>
  <si>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</si>
  <si>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</si>
  <si>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</si>
  <si>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</si>
  <si>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</si>
  <si>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</si>
  <si>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</si>
  <si>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</si>
  <si>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</si>
  <si>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</si>
  <si>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</si>
  <si>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</si>
  <si>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</si>
  <si>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</si>
  <si>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</si>
  <si>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</si>
  <si>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</si>
  <si>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</si>
  <si>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</si>
  <si>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</si>
  <si>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</si>
  <si>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</si>
  <si>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</si>
  <si>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</si>
  <si>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</si>
  <si>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</si>
  <si>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</si>
  <si>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</si>
  <si>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</si>
  <si>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</si>
  <si>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</si>
  <si>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</si>
  <si>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</si>
  <si>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</si>
  <si>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</si>
  <si>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</si>
  <si>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</si>
  <si>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</si>
  <si>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</si>
  <si>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</si>
  <si>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</si>
  <si>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</si>
  <si>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</si>
  <si>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</si>
  <si>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</si>
  <si>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</si>
  <si>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</si>
  <si>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</si>
  <si>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</si>
  <si>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</si>
  <si>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</si>
  <si>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</si>
  <si>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</si>
  <si>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</si>
  <si>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</si>
  <si>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</si>
  <si>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</si>
  <si>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</si>
  <si>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</si>
  <si>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</si>
  <si>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</si>
  <si>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</si>
  <si>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</si>
  <si>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</si>
  <si>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</si>
  <si>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</si>
  <si>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</si>
  <si>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</si>
  <si>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</si>
  <si>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</si>
  <si>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</si>
  <si>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</si>
  <si>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</si>
  <si>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</si>
  <si>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</si>
  <si>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</si>
  <si>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</si>
  <si>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</si>
  <si>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</si>
  <si>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</si>
  <si>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</si>
  <si>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</si>
  <si>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</si>
  <si>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</si>
  <si>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</si>
  <si>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</si>
  <si>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</si>
  <si>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</si>
  <si>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</si>
  <si>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</si>
  <si>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</si>
  <si>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</si>
  <si>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</si>
  <si>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</si>
  <si>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</si>
  <si>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</si>
  <si>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</si>
  <si>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</si>
  <si>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</si>
  <si>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</si>
  <si>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</si>
  <si>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</si>
  <si>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</si>
  <si>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</si>
  <si>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</si>
  <si>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</si>
  <si>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</si>
  <si>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</si>
  <si>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</si>
  <si>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</si>
  <si>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</si>
  <si>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</si>
  <si>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</si>
  <si>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</si>
  <si>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</si>
  <si>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</si>
  <si>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</si>
  <si>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</si>
  <si>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</si>
  <si>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</si>
  <si>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</si>
  <si>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</si>
  <si>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</si>
  <si>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</si>
  <si>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</si>
  <si>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</si>
  <si>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</si>
  <si>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</si>
  <si>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</si>
  <si>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</si>
  <si>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</si>
  <si>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</si>
  <si>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</si>
  <si>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</si>
  <si>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</si>
  <si>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</si>
  <si>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</si>
  <si>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</si>
  <si>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</si>
  <si>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</si>
  <si>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</si>
  <si>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</si>
  <si>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</si>
  <si>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</si>
  <si>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</si>
  <si>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</si>
  <si>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</si>
  <si>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</si>
  <si>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</si>
  <si>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</si>
  <si>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</si>
  <si>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</si>
  <si>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</si>
  <si>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</si>
  <si>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</si>
  <si>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</si>
  <si>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</si>
  <si>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</si>
  <si>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</si>
  <si>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</si>
  <si>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</si>
  <si>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</si>
  <si>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</si>
  <si>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</si>
  <si>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</si>
  <si>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</si>
  <si>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</si>
  <si>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</si>
  <si>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</si>
  <si>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</si>
  <si>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</si>
  <si>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</si>
  <si>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</si>
  <si>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</si>
  <si>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</si>
  <si>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</si>
  <si>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</si>
  <si>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</si>
  <si>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</si>
  <si>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</si>
  <si>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</si>
  <si>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</si>
  <si>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</si>
  <si>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</si>
  <si>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</si>
  <si>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</si>
  <si>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</si>
  <si>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</si>
  <si>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</si>
  <si>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</si>
  <si>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</si>
  <si>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</si>
  <si>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</si>
  <si>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</si>
  <si>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</si>
  <si>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</si>
  <si>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</si>
  <si>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</si>
  <si>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</si>
  <si>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</si>
  <si>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</si>
  <si>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</si>
  <si>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</si>
  <si>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</si>
  <si>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</si>
  <si>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</si>
  <si>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</si>
  <si>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</si>
  <si>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</si>
  <si>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</si>
  <si>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</si>
  <si>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</si>
  <si>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</si>
  <si>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</si>
  <si>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</si>
  <si>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</si>
  <si>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</si>
  <si>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</si>
  <si>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</si>
  <si>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</si>
  <si>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</si>
  <si>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</si>
  <si>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</si>
  <si>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</si>
  <si>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</si>
  <si>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</si>
  <si>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</si>
  <si>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</si>
  <si>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</si>
  <si>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</si>
  <si>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</si>
  <si>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</si>
  <si>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</si>
  <si>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</si>
  <si>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</si>
  <si>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</si>
  <si>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</si>
  <si>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</si>
  <si>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</si>
  <si>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</si>
  <si>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</si>
  <si>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</si>
  <si>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</si>
  <si>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</si>
  <si>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</si>
  <si>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</si>
  <si>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</si>
  <si>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</si>
  <si>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</si>
  <si>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</si>
  <si>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</si>
  <si>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</si>
  <si>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</si>
  <si>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</si>
  <si>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</si>
  <si>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</si>
  <si>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</si>
  <si>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</si>
  <si>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</si>
  <si>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</si>
  <si>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</si>
  <si>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</si>
  <si>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</si>
  <si>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</si>
  <si>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</si>
  <si>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</si>
  <si>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</si>
  <si>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</si>
  <si>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</si>
  <si>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</si>
  <si>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</si>
  <si>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</si>
  <si>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</si>
  <si>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</si>
  <si>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</si>
  <si>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</si>
  <si>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</si>
  <si>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</si>
  <si>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</si>
  <si>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</si>
  <si>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</si>
  <si>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</si>
  <si>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</si>
  <si>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</si>
  <si>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</si>
  <si>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</si>
  <si>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</si>
  <si>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</si>
  <si>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</si>
  <si>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</si>
  <si>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</si>
  <si>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</si>
  <si>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</si>
  <si>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</si>
  <si>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</si>
  <si>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</si>
  <si>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</si>
  <si>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</si>
  <si>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</si>
  <si>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</si>
  <si>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</si>
  <si>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</si>
  <si>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</si>
  <si>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</si>
  <si>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</si>
  <si>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</si>
  <si>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</si>
  <si>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</si>
  <si>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</si>
  <si>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</si>
  <si>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</si>
  <si>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</si>
  <si>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</si>
  <si>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</si>
  <si>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</si>
  <si>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</si>
  <si>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</si>
  <si>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</si>
  <si>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</si>
  <si>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</si>
  <si>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</si>
  <si>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</si>
  <si>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</si>
  <si>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</si>
  <si>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</si>
  <si>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</si>
  <si>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</si>
  <si>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</si>
  <si>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</si>
  <si>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</si>
  <si>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</si>
  <si>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</si>
  <si>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</si>
  <si>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</si>
  <si>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</si>
  <si>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</si>
  <si>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</si>
  <si>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</si>
  <si>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</si>
  <si>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</si>
  <si>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</si>
  <si>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</si>
  <si>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</si>
  <si>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</si>
  <si>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</si>
  <si>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</si>
  <si>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</si>
  <si>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</si>
  <si>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</si>
  <si>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</si>
  <si>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</si>
  <si>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</si>
  <si>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</si>
  <si>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</si>
  <si>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</si>
  <si>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</si>
  <si>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</si>
  <si>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</si>
  <si>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</si>
  <si>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</si>
  <si>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</si>
  <si>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</si>
  <si>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</si>
  <si>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</si>
  <si>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</si>
  <si>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</si>
  <si>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</si>
  <si>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</si>
  <si>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</si>
  <si>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</si>
  <si>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</si>
  <si>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</si>
  <si>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</si>
  <si>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</si>
  <si>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</si>
  <si>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</si>
  <si>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</si>
  <si>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</si>
  <si>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</si>
  <si>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</si>
  <si>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</si>
  <si>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</si>
  <si>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</si>
  <si>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</si>
  <si>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</si>
  <si>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</si>
  <si>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</si>
  <si>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</si>
  <si>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</si>
  <si>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</si>
  <si>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</si>
  <si>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</si>
  <si>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</si>
  <si>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</si>
  <si>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</si>
  <si>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</si>
  <si>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</si>
  <si>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</si>
  <si>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</si>
  <si>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</si>
  <si>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</si>
  <si>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</si>
  <si>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</si>
  <si>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</si>
  <si>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</si>
  <si>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</si>
  <si>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</si>
  <si>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</si>
  <si>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</si>
  <si>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</si>
  <si>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</si>
  <si>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</si>
  <si>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</si>
  <si>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</si>
  <si>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</si>
  <si>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</si>
  <si>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</si>
  <si>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</si>
  <si>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</si>
  <si>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</si>
  <si>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</si>
  <si>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</si>
  <si>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</si>
  <si>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</si>
  <si>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</si>
  <si>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</si>
  <si>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</si>
  <si>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</si>
  <si>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</si>
  <si>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</si>
  <si>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</si>
  <si>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</si>
  <si>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</si>
  <si>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</si>
  <si>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</si>
  <si>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</si>
  <si>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</si>
  <si>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</si>
  <si>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</si>
  <si>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</si>
  <si>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</si>
  <si>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</si>
  <si>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</si>
  <si>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</si>
  <si>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</si>
  <si>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</si>
  <si>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</si>
  <si>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</si>
  <si>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</si>
  <si>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</si>
  <si>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</si>
  <si>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</si>
  <si>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</si>
  <si>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</si>
  <si>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</si>
  <si>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</si>
  <si>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</si>
  <si>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</si>
  <si>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</si>
  <si>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</si>
  <si>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</si>
  <si>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</si>
  <si>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</si>
  <si>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</si>
  <si>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</si>
  <si>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</si>
  <si>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</si>
  <si>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</si>
  <si>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</si>
  <si>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</si>
  <si>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</si>
  <si>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</si>
  <si>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</si>
  <si>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</si>
  <si>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</si>
  <si>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</si>
  <si>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</si>
  <si>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</si>
  <si>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</si>
  <si>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</si>
  <si>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</si>
  <si>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</si>
  <si>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</si>
  <si>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</si>
  <si>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</si>
  <si>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</si>
  <si>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</si>
  <si>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</si>
  <si>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</si>
  <si>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</si>
  <si>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</si>
  <si>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</si>
  <si>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</si>
  <si>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</si>
  <si>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</si>
  <si>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</si>
  <si>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</si>
  <si>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</si>
  <si>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</si>
  <si>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</si>
  <si>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</si>
  <si>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</si>
  <si>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</si>
  <si>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</si>
  <si>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</si>
  <si>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</si>
  <si>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</si>
  <si>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</si>
  <si>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</si>
  <si>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</si>
  <si>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</si>
  <si>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</si>
  <si>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</si>
  <si>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</si>
  <si>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</si>
  <si>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</si>
  <si>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</si>
  <si>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</si>
  <si>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</si>
  <si>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</si>
  <si>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</si>
  <si>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</si>
  <si>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</si>
  <si>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</si>
  <si>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</si>
  <si>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</si>
  <si>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</si>
  <si>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</si>
  <si>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</si>
  <si>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</si>
  <si>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</si>
  <si>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</si>
  <si>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</si>
  <si>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</si>
  <si>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</si>
  <si>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</si>
  <si>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</si>
  <si>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</si>
  <si>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</si>
  <si>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</si>
  <si>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</si>
  <si>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</si>
  <si>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</si>
  <si>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</si>
  <si>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</si>
  <si>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</si>
  <si>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</si>
  <si>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</si>
  <si>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</si>
  <si>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</si>
  <si>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</si>
  <si>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</si>
  <si>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</si>
  <si>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</si>
  <si>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</si>
  <si>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</si>
  <si>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</si>
  <si>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</si>
  <si>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</si>
  <si>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</si>
  <si>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</si>
  <si>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</si>
  <si>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</si>
  <si>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</si>
  <si>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</si>
  <si>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</si>
  <si>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</si>
  <si>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</si>
  <si>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</si>
  <si>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</si>
  <si>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</si>
  <si>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</si>
  <si>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</si>
  <si>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</si>
  <si>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</si>
  <si>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</si>
  <si>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</si>
  <si>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</si>
  <si>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</si>
  <si>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</si>
  <si>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</si>
  <si>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</si>
  <si>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</si>
  <si>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</si>
  <si>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</si>
  <si>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</si>
  <si>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</si>
  <si>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</si>
  <si>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</si>
  <si>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</si>
  <si>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</si>
  <si>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</si>
  <si>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</si>
  <si>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</si>
  <si>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</si>
  <si>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</si>
  <si>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</si>
  <si>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</si>
  <si>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</si>
  <si>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</si>
  <si>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</si>
  <si>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</si>
  <si>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</si>
  <si>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</si>
  <si>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</si>
  <si>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</si>
  <si>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</si>
  <si>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</si>
  <si>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</si>
  <si>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</si>
  <si>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</si>
  <si>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</si>
  <si>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</si>
  <si>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</si>
  <si>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</si>
  <si>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</si>
  <si>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</si>
  <si>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</si>
  <si>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</si>
  <si>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</si>
  <si>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</si>
  <si>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</si>
  <si>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</si>
  <si>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</si>
  <si>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</si>
  <si>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</si>
  <si>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</si>
  <si>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</si>
  <si>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</si>
  <si>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</si>
  <si>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</si>
  <si>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</si>
  <si>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</si>
  <si>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</si>
  <si>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</si>
  <si>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</si>
  <si>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</si>
  <si>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</si>
  <si>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</si>
  <si>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</si>
  <si>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</si>
  <si>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</si>
  <si>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</si>
  <si>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</si>
  <si>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</si>
  <si>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</si>
  <si>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</si>
  <si>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</si>
  <si>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</si>
  <si>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</si>
  <si>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</si>
  <si>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</si>
  <si>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</si>
  <si>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</si>
  <si>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</si>
  <si>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</si>
  <si>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</si>
  <si>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</si>
  <si>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</si>
  <si>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</si>
  <si>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</si>
  <si>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</si>
  <si>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</si>
  <si>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</si>
  <si>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</si>
  <si>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</si>
  <si>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</si>
  <si>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</si>
  <si>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</si>
  <si>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</si>
  <si>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</si>
  <si>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</si>
  <si>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</si>
  <si>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</si>
  <si>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</si>
  <si>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</si>
  <si>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</si>
  <si>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</si>
  <si>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</si>
  <si>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</si>
  <si>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</si>
  <si>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</si>
  <si>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</si>
  <si>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</si>
  <si>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</si>
  <si>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</si>
  <si>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</si>
  <si>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</si>
  <si>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</si>
  <si>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</si>
  <si>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</si>
  <si>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</si>
  <si>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</si>
  <si>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</si>
  <si>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</si>
  <si>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</si>
  <si>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</si>
  <si>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</si>
  <si>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</si>
  <si>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</si>
  <si>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</si>
  <si>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</si>
  <si>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</si>
  <si>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</si>
  <si>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</si>
  <si>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</si>
  <si>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</si>
  <si>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</si>
  <si>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</si>
  <si>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</si>
  <si>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</si>
  <si>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</si>
  <si>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</si>
  <si>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</si>
  <si>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</si>
  <si>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</si>
  <si>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</si>
  <si>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</si>
  <si>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</si>
  <si>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</si>
  <si>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</si>
  <si>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</si>
  <si>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</si>
  <si>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</si>
  <si>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</si>
  <si>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</si>
  <si>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</si>
  <si>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</si>
  <si>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</si>
  <si>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</si>
  <si>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</si>
  <si>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</si>
  <si>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</si>
  <si>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</si>
  <si>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</si>
  <si>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</si>
  <si>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</si>
  <si>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</si>
  <si>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</si>
  <si>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</si>
  <si>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</si>
  <si>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</si>
  <si>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</si>
  <si>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</si>
  <si>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</si>
  <si>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</si>
  <si>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</si>
  <si>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</si>
  <si>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</si>
  <si>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</si>
  <si>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</si>
  <si>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</si>
  <si>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</si>
  <si>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</si>
  <si>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</si>
  <si>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</si>
  <si>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</si>
  <si>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</si>
  <si>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</si>
  <si>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</si>
  <si>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</si>
  <si>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</si>
  <si>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</si>
  <si>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</si>
  <si>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</si>
  <si>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</si>
  <si>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</si>
  <si>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</si>
  <si>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</si>
  <si>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</si>
  <si>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</si>
  <si>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</si>
  <si>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</si>
  <si>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</si>
  <si>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</si>
  <si>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</si>
  <si>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</si>
  <si>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</si>
  <si>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</si>
  <si>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</si>
  <si>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</si>
  <si>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</si>
  <si>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</si>
  <si>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</si>
  <si>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</si>
  <si>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</si>
  <si>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</si>
  <si>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</si>
  <si>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</si>
  <si>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</si>
  <si>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</si>
  <si>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</si>
  <si>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</si>
  <si>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</si>
  <si>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</si>
  <si>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</si>
  <si>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</si>
  <si>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</si>
  <si>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</si>
  <si>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</si>
  <si>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</si>
  <si>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</si>
  <si>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</si>
  <si>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</si>
  <si>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</si>
  <si>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</si>
  <si>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</si>
  <si>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</si>
  <si>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</si>
  <si>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</si>
  <si>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</si>
  <si>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</si>
  <si>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</si>
  <si>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</si>
  <si>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</si>
  <si>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</si>
  <si>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</si>
  <si>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</si>
  <si>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</si>
  <si>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</si>
  <si>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</si>
  <si>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</si>
  <si>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</si>
  <si>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</si>
  <si>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</si>
  <si>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</si>
  <si>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</si>
  <si>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</si>
  <si>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</si>
  <si>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</si>
  <si>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</si>
  <si>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</si>
  <si>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</si>
  <si>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</si>
  <si>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</si>
  <si>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</si>
  <si>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</si>
  <si>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</si>
  <si>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</si>
  <si>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</si>
  <si>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</si>
  <si>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</si>
  <si>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</si>
  <si>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</si>
  <si>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</si>
  <si>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</si>
  <si>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</si>
  <si>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</si>
  <si>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</si>
  <si>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</si>
  <si>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</si>
  <si>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</si>
  <si>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</si>
  <si>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</si>
  <si>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</si>
  <si>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</si>
  <si>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</si>
  <si>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</si>
  <si>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</si>
  <si>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</si>
  <si>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</si>
  <si>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</si>
  <si>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</si>
  <si>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</si>
  <si>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</si>
  <si>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</si>
  <si>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</si>
  <si>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</si>
  <si>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</si>
  <si>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</si>
  <si>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</si>
  <si>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</si>
  <si>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</si>
  <si>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</si>
  <si>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</si>
  <si>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</si>
  <si>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</si>
  <si>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</si>
  <si>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</si>
  <si>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</si>
  <si>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</si>
  <si>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</si>
  <si>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</si>
  <si>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</si>
  <si>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</si>
  <si>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</si>
  <si>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</si>
  <si>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</si>
  <si>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</si>
  <si>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</si>
  <si>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</si>
  <si>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</si>
  <si>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</si>
  <si>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</si>
  <si>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</si>
  <si>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</si>
  <si>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</si>
  <si>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</si>
  <si>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</si>
  <si>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</si>
  <si>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</si>
  <si>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</si>
  <si>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</si>
  <si>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</si>
  <si>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</si>
  <si>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</si>
  <si>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</si>
  <si>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</si>
  <si>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</si>
  <si>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</si>
  <si>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</si>
  <si>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</si>
  <si>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</si>
  <si>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</si>
  <si>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</si>
  <si>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</si>
  <si>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</si>
  <si>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</si>
  <si>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</si>
  <si>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</si>
  <si>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</si>
  <si>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</si>
  <si>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</si>
  <si>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</si>
  <si>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</si>
  <si>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</si>
  <si>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</si>
  <si>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</si>
  <si>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</si>
  <si>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</si>
  <si>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</si>
  <si>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</si>
  <si>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</si>
  <si>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</si>
  <si>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</si>
  <si>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</si>
  <si>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</si>
  <si>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</si>
  <si>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</si>
  <si>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</si>
  <si>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</si>
  <si>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</si>
  <si>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</si>
  <si>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</si>
  <si>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</si>
  <si>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</si>
  <si>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</si>
  <si>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</si>
  <si>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</si>
  <si>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</si>
  <si>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</si>
  <si>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</si>
  <si>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</si>
  <si>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</si>
  <si>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</si>
  <si>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</si>
  <si>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</si>
  <si>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</si>
  <si>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</si>
  <si>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</si>
  <si>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</si>
  <si>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</si>
  <si>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</si>
  <si>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</si>
  <si>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</si>
  <si>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</si>
  <si>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</si>
  <si>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</si>
  <si>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</si>
  <si>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</si>
  <si>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</si>
  <si>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</si>
  <si>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</si>
  <si>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</si>
  <si>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</si>
  <si>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</si>
  <si>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</si>
  <si>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</si>
  <si>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</si>
  <si>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</si>
  <si>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</si>
  <si>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</si>
  <si>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</si>
  <si>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</si>
  <si>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</si>
  <si>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</si>
  <si>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</si>
  <si>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</si>
  <si>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</si>
  <si>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</si>
  <si>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</si>
  <si>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</si>
  <si>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</si>
  <si>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</si>
  <si>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</si>
  <si>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</si>
  <si>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</si>
  <si>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</si>
  <si>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</si>
  <si>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</si>
  <si>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</si>
  <si>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</si>
  <si>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</si>
  <si>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</si>
  <si>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</si>
  <si>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</si>
  <si>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</si>
  <si>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</si>
  <si>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</si>
  <si>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</si>
  <si>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</si>
  <si>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</si>
  <si>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</si>
  <si>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</si>
  <si>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</si>
  <si>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</si>
  <si>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</si>
  <si>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</si>
  <si>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</si>
  <si>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</si>
  <si>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</si>
  <si>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</si>
  <si>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</si>
  <si>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</si>
  <si>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</si>
  <si>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</si>
  <si>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</si>
  <si>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</si>
  <si>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</si>
  <si>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</si>
  <si>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</si>
  <si>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</si>
  <si>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</si>
  <si>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</si>
  <si>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</si>
  <si>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</si>
  <si>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</si>
  <si>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</si>
  <si>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</si>
  <si>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</si>
  <si>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</si>
  <si>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</si>
  <si>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</si>
  <si>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</si>
  <si>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</si>
  <si>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</si>
  <si>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</si>
  <si>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</si>
  <si>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</si>
  <si>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</si>
  <si>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</si>
  <si>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</si>
  <si>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</si>
  <si>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</si>
  <si>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</si>
  <si>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</si>
  <si>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</si>
  <si>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</si>
  <si>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</si>
  <si>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</si>
  <si>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</si>
  <si>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</si>
  <si>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</si>
  <si>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</si>
  <si>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</si>
  <si>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</si>
  <si>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</si>
  <si>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</si>
  <si>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</si>
  <si>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</si>
  <si>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</si>
  <si>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</si>
  <si>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</si>
  <si>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</si>
  <si>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</si>
  <si>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</si>
  <si>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</si>
  <si>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</si>
  <si>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</si>
  <si>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</si>
  <si>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</si>
  <si>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</si>
  <si>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</si>
  <si>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</si>
  <si>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</si>
  <si>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</si>
  <si>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</si>
  <si>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</si>
  <si>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</si>
  <si>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</si>
  <si>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</si>
  <si>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</si>
  <si>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</si>
  <si>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</si>
  <si>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</si>
  <si>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</si>
  <si>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</si>
  <si>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</si>
  <si>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</si>
  <si>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</si>
  <si>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</si>
  <si>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</si>
  <si>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</si>
  <si>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</si>
  <si>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</si>
  <si>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</si>
  <si>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</si>
  <si>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</si>
  <si>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</si>
  <si>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</si>
  <si>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</si>
  <si>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</si>
  <si>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</si>
  <si>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</si>
  <si>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</si>
  <si>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</si>
  <si>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</si>
  <si>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</si>
  <si>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</si>
  <si>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</si>
  <si>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</si>
  <si>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</si>
  <si>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</si>
  <si>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</si>
  <si>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</si>
  <si>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</si>
  <si>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</si>
  <si>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</si>
  <si>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</si>
  <si>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</si>
  <si>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</si>
  <si>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</si>
  <si>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</si>
  <si>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</si>
  <si>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</si>
  <si>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</si>
  <si>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</si>
  <si>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</si>
  <si>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</si>
  <si>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</si>
  <si>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</si>
  <si>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</si>
  <si>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</si>
  <si>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</si>
  <si>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</si>
  <si>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</si>
  <si>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</si>
  <si>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</si>
  <si>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</si>
  <si>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</si>
  <si>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</si>
  <si>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</si>
  <si>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</si>
  <si>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</si>
  <si>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</si>
  <si>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</si>
  <si>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</si>
  <si>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</si>
  <si>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</si>
  <si>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</si>
  <si>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</si>
  <si>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</si>
  <si>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</si>
  <si>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</si>
  <si>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</si>
  <si>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</si>
  <si>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</si>
  <si>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</si>
  <si>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</si>
  <si>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</si>
  <si>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</si>
  <si>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</si>
  <si>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</si>
  <si>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</si>
  <si>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</si>
  <si>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</si>
  <si>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</si>
  <si>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</si>
  <si>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</si>
  <si>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</si>
  <si>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</si>
  <si>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</si>
  <si>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</si>
  <si>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</si>
  <si>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</si>
  <si>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</si>
  <si>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</si>
  <si>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</si>
  <si>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</si>
  <si>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</si>
  <si>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</si>
  <si>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</si>
  <si>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</si>
  <si>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</si>
  <si>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</si>
  <si>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</si>
  <si>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</si>
  <si>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</si>
  <si>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</si>
  <si>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</si>
  <si>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</si>
  <si>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</si>
  <si>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</si>
  <si>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</si>
  <si>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</si>
  <si>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</si>
  <si>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</si>
  <si>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</si>
  <si>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</si>
  <si>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</si>
  <si>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</si>
  <si>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</si>
  <si>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</si>
  <si>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</si>
  <si>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</si>
  <si>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</si>
  <si>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</si>
  <si>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</si>
  <si>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</si>
  <si>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</si>
  <si>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</si>
  <si>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</si>
  <si>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</si>
  <si>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</si>
  <si>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</si>
  <si>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</si>
  <si>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</si>
  <si>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</si>
  <si>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</si>
  <si>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</si>
  <si>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</si>
  <si>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</si>
  <si>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</si>
  <si>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</si>
  <si>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</si>
  <si>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</si>
  <si>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</si>
  <si>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</si>
  <si>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</si>
  <si>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</si>
  <si>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</si>
  <si>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</si>
  <si>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</si>
  <si>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</si>
  <si>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</si>
  <si>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</si>
  <si>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</si>
  <si>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</si>
  <si>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</si>
  <si>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</si>
  <si>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</si>
  <si>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</si>
  <si>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</si>
  <si>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</si>
  <si>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</si>
  <si>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</si>
  <si>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</si>
  <si>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</si>
  <si>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</si>
  <si>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</si>
  <si>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</si>
  <si>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</si>
  <si>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</si>
  <si>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</si>
  <si>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</si>
  <si>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</si>
  <si>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</si>
  <si>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</si>
  <si>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</si>
  <si>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</si>
  <si>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</si>
  <si>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</si>
  <si>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</si>
  <si>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</si>
  <si>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</si>
  <si>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</si>
  <si>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</si>
  <si>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</si>
  <si>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</si>
  <si>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</si>
  <si>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</si>
  <si>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</si>
  <si>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</si>
  <si>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</si>
  <si>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</si>
  <si>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</si>
  <si>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</si>
  <si>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</si>
  <si>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</si>
  <si>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</si>
  <si>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</si>
  <si>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</si>
  <si>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</si>
  <si>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</si>
  <si>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</si>
  <si>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</si>
  <si>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</si>
  <si>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</si>
  <si>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</si>
  <si>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</si>
  <si>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</si>
  <si>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</si>
  <si>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</si>
  <si>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</si>
  <si>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</si>
  <si>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</si>
  <si>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</si>
  <si>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</si>
  <si>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</si>
  <si>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</si>
  <si>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</si>
  <si>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</si>
  <si>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</si>
  <si>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</si>
  <si>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</si>
  <si>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</si>
  <si>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</si>
  <si>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</si>
  <si>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</si>
  <si>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</si>
  <si>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</si>
  <si>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</si>
  <si>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</si>
  <si>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</si>
  <si>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</si>
  <si>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</si>
  <si>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</si>
  <si>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</si>
  <si>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</si>
  <si>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</si>
  <si>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</si>
  <si>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</si>
  <si>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</si>
  <si>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</si>
  <si>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</si>
  <si>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</si>
  <si>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</si>
  <si>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</si>
  <si>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</si>
  <si>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</si>
  <si>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</si>
  <si>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</si>
  <si>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</si>
  <si>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</si>
  <si>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</si>
  <si>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</si>
  <si>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</si>
  <si>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</si>
  <si>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</si>
  <si>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</si>
  <si>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</si>
  <si>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</si>
  <si>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</si>
  <si>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</si>
  <si>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</si>
  <si>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</si>
  <si>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</si>
  <si>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</si>
  <si>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</si>
  <si>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</si>
  <si>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</si>
  <si>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</si>
  <si>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</si>
  <si>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</si>
  <si>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</si>
  <si>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</si>
  <si>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</si>
  <si>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</si>
  <si>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</si>
  <si>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</si>
  <si>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</si>
  <si>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</si>
  <si>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</si>
  <si>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</si>
  <si>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</si>
  <si>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</si>
  <si>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</si>
  <si>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</si>
  <si>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</si>
  <si>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</si>
  <si>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</si>
  <si>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</si>
  <si>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</si>
  <si>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</si>
  <si>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</si>
  <si>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</si>
  <si>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较好</t>
  </si>
  <si>
    <t>较差</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</si>
  <si>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</si>
  <si>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</si>
  <si>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</si>
  <si>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</si>
  <si>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</si>
  <si>
    <t>郑林</t>
    <phoneticPr fontId="6" type="noConversion"/>
  </si>
  <si>
    <t>通州区兴贸三街18号院5号楼8层812</t>
    <phoneticPr fontId="6" type="noConversion"/>
  </si>
  <si>
    <t>马驹桥 镇</t>
    <phoneticPr fontId="3" type="noConversion"/>
  </si>
  <si>
    <t>珠江四季悦城</t>
    <phoneticPr fontId="3" type="noConversion"/>
  </si>
  <si>
    <r>
      <t>30-40</t>
    </r>
    <r>
      <rPr>
        <sz val="11"/>
        <color indexed="8"/>
        <rFont val="宋体"/>
        <family val="3"/>
        <charset val="134"/>
      </rPr>
      <t>（含）</t>
    </r>
    <phoneticPr fontId="31" type="noConversion"/>
  </si>
  <si>
    <t>高楼层</t>
  </si>
  <si>
    <t>中心城区以外</t>
  </si>
  <si>
    <t>一般</t>
  </si>
  <si>
    <r>
      <rPr>
        <sz val="10"/>
        <color indexed="8"/>
        <rFont val="宋体"/>
        <family val="3"/>
        <charset val="134"/>
      </rPr>
      <t>询价报值单价</t>
    </r>
    <r>
      <rPr>
        <sz val="10"/>
        <color indexed="8"/>
        <rFont val="Arial"/>
        <family val="2"/>
      </rPr>
      <t>14000</t>
    </r>
    <r>
      <rPr>
        <sz val="10"/>
        <color indexed="8"/>
        <rFont val="宋体"/>
        <family val="3"/>
        <charset val="134"/>
      </rPr>
      <t>元，总价</t>
    </r>
    <r>
      <rPr>
        <sz val="10"/>
        <color indexed="8"/>
        <rFont val="Arial"/>
        <family val="2"/>
      </rPr>
      <t>128</t>
    </r>
    <r>
      <rPr>
        <sz val="10"/>
        <color indexed="8"/>
        <rFont val="宋体"/>
        <family val="3"/>
        <charset val="134"/>
      </rPr>
      <t>万</t>
    </r>
    <phoneticPr fontId="8" type="noConversion"/>
  </si>
  <si>
    <t>七通</t>
  </si>
  <si>
    <t>精装修</t>
    <phoneticPr fontId="31" type="noConversion"/>
  </si>
  <si>
    <t>普通装修</t>
  </si>
  <si>
    <t>普通装修</t>
    <phoneticPr fontId="31" type="noConversion"/>
  </si>
  <si>
    <t>简单装修</t>
    <phoneticPr fontId="31" type="noConversion"/>
  </si>
  <si>
    <t>毛坯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</si>
</sst>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4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374134</xdr:colOff>
      <xdr:row>19</xdr:row>
      <xdr:rowOff>88900</xdr:rowOff>
    </xdr:from>
    <xdr:to>
      <xdr:col>32</xdr:col>
      <xdr:colOff>222761</xdr:colOff>
      <xdr:row>38</xdr:row>
      <xdr:rowOff>94443</xdr:rowOff>
    </xdr:to>
    <xdr:pic>
      <xdr:nvPicPr>
        <xdr:cNvPr id="3" name="图片 2">
          <a:extLst>
            <a:ext uri="{FF2B5EF4-FFF2-40B4-BE49-F238E27FC236}">
              <a16:creationId xmlns:a16="http://schemas.microsoft.com/office/drawing/2014/main" id="{CAC0201B-738A-D4C5-BC11-A664E5EE7F58}"/>
            </a:ext>
          </a:extLst>
        </xdr:cNvPr>
        <xdr:cNvPicPr>
          <a:picLocks noChangeAspect="1"/>
        </xdr:cNvPicPr>
      </xdr:nvPicPr>
      <xdr:blipFill>
        <a:blip xmlns:r="http://schemas.openxmlformats.org/officeDocument/2006/relationships" r:embed="rId1"/>
        <a:stretch>
          <a:fillRect/>
        </a:stretch>
      </xdr:blipFill>
      <xdr:spPr>
        <a:xfrm>
          <a:off x="7111484" y="4095750"/>
          <a:ext cx="14872727" cy="4507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446164</xdr:colOff>
      <xdr:row>41</xdr:row>
      <xdr:rowOff>151128</xdr:rowOff>
    </xdr:to>
    <xdr:pic>
      <xdr:nvPicPr>
        <xdr:cNvPr id="2" name="图片 1">
          <a:extLst>
            <a:ext uri="{FF2B5EF4-FFF2-40B4-BE49-F238E27FC236}">
              <a16:creationId xmlns:a16="http://schemas.microsoft.com/office/drawing/2014/main" id="{54033A7D-78D8-8BA1-DD6C-36756AB43A82}"/>
            </a:ext>
          </a:extLst>
        </xdr:cNvPr>
        <xdr:cNvPicPr>
          <a:picLocks noChangeAspect="1"/>
        </xdr:cNvPicPr>
      </xdr:nvPicPr>
      <xdr:blipFill>
        <a:blip xmlns:r="http://schemas.openxmlformats.org/officeDocument/2006/relationships" r:embed="rId1"/>
        <a:stretch>
          <a:fillRect/>
        </a:stretch>
      </xdr:blipFill>
      <xdr:spPr>
        <a:xfrm>
          <a:off x="0" y="0"/>
          <a:ext cx="6542164" cy="7440928"/>
        </a:xfrm>
        <a:prstGeom prst="rect">
          <a:avLst/>
        </a:prstGeom>
      </xdr:spPr>
    </xdr:pic>
    <xdr:clientData/>
  </xdr:twoCellAnchor>
  <xdr:twoCellAnchor editAs="oneCell">
    <xdr:from>
      <xdr:col>0</xdr:col>
      <xdr:colOff>0</xdr:colOff>
      <xdr:row>42</xdr:row>
      <xdr:rowOff>38100</xdr:rowOff>
    </xdr:from>
    <xdr:to>
      <xdr:col>10</xdr:col>
      <xdr:colOff>479397</xdr:colOff>
      <xdr:row>84</xdr:row>
      <xdr:rowOff>46350</xdr:rowOff>
    </xdr:to>
    <xdr:pic>
      <xdr:nvPicPr>
        <xdr:cNvPr id="3" name="图片 2">
          <a:extLst>
            <a:ext uri="{FF2B5EF4-FFF2-40B4-BE49-F238E27FC236}">
              <a16:creationId xmlns:a16="http://schemas.microsoft.com/office/drawing/2014/main" id="{B2CEFB05-9EA0-799A-7438-E57CAE267389}"/>
            </a:ext>
          </a:extLst>
        </xdr:cNvPr>
        <xdr:cNvPicPr>
          <a:picLocks noChangeAspect="1"/>
        </xdr:cNvPicPr>
      </xdr:nvPicPr>
      <xdr:blipFill>
        <a:blip xmlns:r="http://schemas.openxmlformats.org/officeDocument/2006/relationships" r:embed="rId2"/>
        <a:stretch>
          <a:fillRect/>
        </a:stretch>
      </xdr:blipFill>
      <xdr:spPr>
        <a:xfrm>
          <a:off x="0" y="7505700"/>
          <a:ext cx="6575397" cy="7475850"/>
        </a:xfrm>
        <a:prstGeom prst="rect">
          <a:avLst/>
        </a:prstGeom>
      </xdr:spPr>
    </xdr:pic>
    <xdr:clientData/>
  </xdr:twoCellAnchor>
  <xdr:twoCellAnchor editAs="oneCell">
    <xdr:from>
      <xdr:col>0</xdr:col>
      <xdr:colOff>0</xdr:colOff>
      <xdr:row>83</xdr:row>
      <xdr:rowOff>170978</xdr:rowOff>
    </xdr:from>
    <xdr:to>
      <xdr:col>11</xdr:col>
      <xdr:colOff>25400</xdr:colOff>
      <xdr:row>99</xdr:row>
      <xdr:rowOff>120179</xdr:rowOff>
    </xdr:to>
    <xdr:pic>
      <xdr:nvPicPr>
        <xdr:cNvPr id="4" name="图片 3">
          <a:extLst>
            <a:ext uri="{FF2B5EF4-FFF2-40B4-BE49-F238E27FC236}">
              <a16:creationId xmlns:a16="http://schemas.microsoft.com/office/drawing/2014/main" id="{ECDA91CD-9189-5A19-392B-99C6404E57DA}"/>
            </a:ext>
          </a:extLst>
        </xdr:cNvPr>
        <xdr:cNvPicPr>
          <a:picLocks noChangeAspect="1"/>
        </xdr:cNvPicPr>
      </xdr:nvPicPr>
      <xdr:blipFill>
        <a:blip xmlns:r="http://schemas.openxmlformats.org/officeDocument/2006/relationships" r:embed="rId3"/>
        <a:stretch>
          <a:fillRect/>
        </a:stretch>
      </xdr:blipFill>
      <xdr:spPr>
        <a:xfrm>
          <a:off x="0" y="14928378"/>
          <a:ext cx="6731000" cy="2794001"/>
        </a:xfrm>
        <a:prstGeom prst="rect">
          <a:avLst/>
        </a:prstGeom>
      </xdr:spPr>
    </xdr:pic>
    <xdr:clientData/>
  </xdr:twoCellAnchor>
  <xdr:twoCellAnchor editAs="oneCell">
    <xdr:from>
      <xdr:col>12</xdr:col>
      <xdr:colOff>127038</xdr:colOff>
      <xdr:row>0</xdr:row>
      <xdr:rowOff>0</xdr:rowOff>
    </xdr:from>
    <xdr:to>
      <xdr:col>22</xdr:col>
      <xdr:colOff>567164</xdr:colOff>
      <xdr:row>37</xdr:row>
      <xdr:rowOff>78193</xdr:rowOff>
    </xdr:to>
    <xdr:pic>
      <xdr:nvPicPr>
        <xdr:cNvPr id="5" name="图片 4">
          <a:extLst>
            <a:ext uri="{FF2B5EF4-FFF2-40B4-BE49-F238E27FC236}">
              <a16:creationId xmlns:a16="http://schemas.microsoft.com/office/drawing/2014/main" id="{BF7770D5-A001-3273-AF4A-E66500AE1A52}"/>
            </a:ext>
          </a:extLst>
        </xdr:cNvPr>
        <xdr:cNvPicPr>
          <a:picLocks noChangeAspect="1"/>
        </xdr:cNvPicPr>
      </xdr:nvPicPr>
      <xdr:blipFill>
        <a:blip xmlns:r="http://schemas.openxmlformats.org/officeDocument/2006/relationships" r:embed="rId4"/>
        <a:stretch>
          <a:fillRect/>
        </a:stretch>
      </xdr:blipFill>
      <xdr:spPr>
        <a:xfrm>
          <a:off x="7442238" y="0"/>
          <a:ext cx="6536126" cy="6656793"/>
        </a:xfrm>
        <a:prstGeom prst="rect">
          <a:avLst/>
        </a:prstGeom>
      </xdr:spPr>
    </xdr:pic>
    <xdr:clientData/>
  </xdr:twoCellAnchor>
  <xdr:twoCellAnchor editAs="oneCell">
    <xdr:from>
      <xdr:col>12</xdr:col>
      <xdr:colOff>24054</xdr:colOff>
      <xdr:row>37</xdr:row>
      <xdr:rowOff>76200</xdr:rowOff>
    </xdr:from>
    <xdr:to>
      <xdr:col>23</xdr:col>
      <xdr:colOff>1207</xdr:colOff>
      <xdr:row>72</xdr:row>
      <xdr:rowOff>119521</xdr:rowOff>
    </xdr:to>
    <xdr:pic>
      <xdr:nvPicPr>
        <xdr:cNvPr id="6" name="图片 5">
          <a:extLst>
            <a:ext uri="{FF2B5EF4-FFF2-40B4-BE49-F238E27FC236}">
              <a16:creationId xmlns:a16="http://schemas.microsoft.com/office/drawing/2014/main" id="{08825A0B-BE17-84F8-3E3B-B9FD00771864}"/>
            </a:ext>
          </a:extLst>
        </xdr:cNvPr>
        <xdr:cNvPicPr>
          <a:picLocks noChangeAspect="1"/>
        </xdr:cNvPicPr>
      </xdr:nvPicPr>
      <xdr:blipFill>
        <a:blip xmlns:r="http://schemas.openxmlformats.org/officeDocument/2006/relationships" r:embed="rId5"/>
        <a:stretch>
          <a:fillRect/>
        </a:stretch>
      </xdr:blipFill>
      <xdr:spPr>
        <a:xfrm>
          <a:off x="7339254" y="6654800"/>
          <a:ext cx="6682753" cy="6266321"/>
        </a:xfrm>
        <a:prstGeom prst="rect">
          <a:avLst/>
        </a:prstGeom>
      </xdr:spPr>
    </xdr:pic>
    <xdr:clientData/>
  </xdr:twoCellAnchor>
  <xdr:twoCellAnchor editAs="oneCell">
    <xdr:from>
      <xdr:col>12</xdr:col>
      <xdr:colOff>164304</xdr:colOff>
      <xdr:row>72</xdr:row>
      <xdr:rowOff>95250</xdr:rowOff>
    </xdr:from>
    <xdr:to>
      <xdr:col>22</xdr:col>
      <xdr:colOff>548099</xdr:colOff>
      <xdr:row>109</xdr:row>
      <xdr:rowOff>68662</xdr:rowOff>
    </xdr:to>
    <xdr:pic>
      <xdr:nvPicPr>
        <xdr:cNvPr id="7" name="图片 6">
          <a:extLst>
            <a:ext uri="{FF2B5EF4-FFF2-40B4-BE49-F238E27FC236}">
              <a16:creationId xmlns:a16="http://schemas.microsoft.com/office/drawing/2014/main" id="{06B32A85-C0E5-AB97-5A77-BCD335170E0F}"/>
            </a:ext>
          </a:extLst>
        </xdr:cNvPr>
        <xdr:cNvPicPr>
          <a:picLocks noChangeAspect="1"/>
        </xdr:cNvPicPr>
      </xdr:nvPicPr>
      <xdr:blipFill>
        <a:blip xmlns:r="http://schemas.openxmlformats.org/officeDocument/2006/relationships" r:embed="rId6"/>
        <a:stretch>
          <a:fillRect/>
        </a:stretch>
      </xdr:blipFill>
      <xdr:spPr>
        <a:xfrm>
          <a:off x="7479504" y="12896850"/>
          <a:ext cx="6479795" cy="6552012"/>
        </a:xfrm>
        <a:prstGeom prst="rect">
          <a:avLst/>
        </a:prstGeom>
      </xdr:spPr>
    </xdr:pic>
    <xdr:clientData/>
  </xdr:twoCellAnchor>
  <xdr:twoCellAnchor editAs="oneCell">
    <xdr:from>
      <xdr:col>12</xdr:col>
      <xdr:colOff>39897</xdr:colOff>
      <xdr:row>108</xdr:row>
      <xdr:rowOff>146050</xdr:rowOff>
    </xdr:from>
    <xdr:to>
      <xdr:col>23</xdr:col>
      <xdr:colOff>94093</xdr:colOff>
      <xdr:row>146</xdr:row>
      <xdr:rowOff>24264</xdr:rowOff>
    </xdr:to>
    <xdr:pic>
      <xdr:nvPicPr>
        <xdr:cNvPr id="8" name="图片 7">
          <a:extLst>
            <a:ext uri="{FF2B5EF4-FFF2-40B4-BE49-F238E27FC236}">
              <a16:creationId xmlns:a16="http://schemas.microsoft.com/office/drawing/2014/main" id="{3AF459E6-6BBF-54A2-E780-0687476849F9}"/>
            </a:ext>
          </a:extLst>
        </xdr:cNvPr>
        <xdr:cNvPicPr>
          <a:picLocks noChangeAspect="1"/>
        </xdr:cNvPicPr>
      </xdr:nvPicPr>
      <xdr:blipFill>
        <a:blip xmlns:r="http://schemas.openxmlformats.org/officeDocument/2006/relationships" r:embed="rId7"/>
        <a:stretch>
          <a:fillRect/>
        </a:stretch>
      </xdr:blipFill>
      <xdr:spPr>
        <a:xfrm>
          <a:off x="7355097" y="19348450"/>
          <a:ext cx="6759796" cy="6634614"/>
        </a:xfrm>
        <a:prstGeom prst="rect">
          <a:avLst/>
        </a:prstGeom>
      </xdr:spPr>
    </xdr:pic>
    <xdr:clientData/>
  </xdr:twoCellAnchor>
  <xdr:twoCellAnchor editAs="oneCell">
    <xdr:from>
      <xdr:col>11</xdr:col>
      <xdr:colOff>372158</xdr:colOff>
      <xdr:row>147</xdr:row>
      <xdr:rowOff>6350</xdr:rowOff>
    </xdr:from>
    <xdr:to>
      <xdr:col>23</xdr:col>
      <xdr:colOff>138500</xdr:colOff>
      <xdr:row>184</xdr:row>
      <xdr:rowOff>87771</xdr:rowOff>
    </xdr:to>
    <xdr:pic>
      <xdr:nvPicPr>
        <xdr:cNvPr id="9" name="图片 8">
          <a:extLst>
            <a:ext uri="{FF2B5EF4-FFF2-40B4-BE49-F238E27FC236}">
              <a16:creationId xmlns:a16="http://schemas.microsoft.com/office/drawing/2014/main" id="{EE169B97-ED38-19B9-8717-00CDC388268B}"/>
            </a:ext>
          </a:extLst>
        </xdr:cNvPr>
        <xdr:cNvPicPr>
          <a:picLocks noChangeAspect="1"/>
        </xdr:cNvPicPr>
      </xdr:nvPicPr>
      <xdr:blipFill>
        <a:blip xmlns:r="http://schemas.openxmlformats.org/officeDocument/2006/relationships" r:embed="rId8"/>
        <a:stretch>
          <a:fillRect/>
        </a:stretch>
      </xdr:blipFill>
      <xdr:spPr>
        <a:xfrm>
          <a:off x="7077758" y="26142950"/>
          <a:ext cx="7081542" cy="6660021"/>
        </a:xfrm>
        <a:prstGeom prst="rect">
          <a:avLst/>
        </a:prstGeom>
      </xdr:spPr>
    </xdr:pic>
    <xdr:clientData/>
  </xdr:twoCellAnchor>
  <xdr:twoCellAnchor editAs="oneCell">
    <xdr:from>
      <xdr:col>12</xdr:col>
      <xdr:colOff>101213</xdr:colOff>
      <xdr:row>183</xdr:row>
      <xdr:rowOff>101600</xdr:rowOff>
    </xdr:from>
    <xdr:to>
      <xdr:col>22</xdr:col>
      <xdr:colOff>357619</xdr:colOff>
      <xdr:row>219</xdr:row>
      <xdr:rowOff>40121</xdr:rowOff>
    </xdr:to>
    <xdr:pic>
      <xdr:nvPicPr>
        <xdr:cNvPr id="10" name="图片 9">
          <a:extLst>
            <a:ext uri="{FF2B5EF4-FFF2-40B4-BE49-F238E27FC236}">
              <a16:creationId xmlns:a16="http://schemas.microsoft.com/office/drawing/2014/main" id="{638BF932-ADB6-D382-43D8-EEAB3C494406}"/>
            </a:ext>
          </a:extLst>
        </xdr:cNvPr>
        <xdr:cNvPicPr>
          <a:picLocks noChangeAspect="1"/>
        </xdr:cNvPicPr>
      </xdr:nvPicPr>
      <xdr:blipFill>
        <a:blip xmlns:r="http://schemas.openxmlformats.org/officeDocument/2006/relationships" r:embed="rId9"/>
        <a:stretch>
          <a:fillRect/>
        </a:stretch>
      </xdr:blipFill>
      <xdr:spPr>
        <a:xfrm>
          <a:off x="7416413" y="32639000"/>
          <a:ext cx="6352406" cy="6339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227886</xdr:colOff>
      <xdr:row>44</xdr:row>
      <xdr:rowOff>176800</xdr:rowOff>
    </xdr:to>
    <xdr:pic>
      <xdr:nvPicPr>
        <xdr:cNvPr id="2" name="图片 1">
          <a:extLst>
            <a:ext uri="{FF2B5EF4-FFF2-40B4-BE49-F238E27FC236}">
              <a16:creationId xmlns:a16="http://schemas.microsoft.com/office/drawing/2014/main" id="{348AA05F-D88A-E6CD-B93C-B1E36BBDFD58}"/>
            </a:ext>
          </a:extLst>
        </xdr:cNvPr>
        <xdr:cNvPicPr>
          <a:picLocks noChangeAspect="1"/>
        </xdr:cNvPicPr>
      </xdr:nvPicPr>
      <xdr:blipFill>
        <a:blip xmlns:r="http://schemas.openxmlformats.org/officeDocument/2006/relationships" r:embed="rId1"/>
        <a:stretch>
          <a:fillRect/>
        </a:stretch>
      </xdr:blipFill>
      <xdr:spPr>
        <a:xfrm>
          <a:off x="0" y="0"/>
          <a:ext cx="5714286" cy="8000000"/>
        </a:xfrm>
        <a:prstGeom prst="rect">
          <a:avLst/>
        </a:prstGeom>
      </xdr:spPr>
    </xdr:pic>
    <xdr:clientData/>
  </xdr:twoCellAnchor>
  <xdr:twoCellAnchor editAs="oneCell">
    <xdr:from>
      <xdr:col>10</xdr:col>
      <xdr:colOff>84707</xdr:colOff>
      <xdr:row>0</xdr:row>
      <xdr:rowOff>0</xdr:rowOff>
    </xdr:from>
    <xdr:to>
      <xdr:col>33</xdr:col>
      <xdr:colOff>330807</xdr:colOff>
      <xdr:row>35</xdr:row>
      <xdr:rowOff>27450</xdr:rowOff>
    </xdr:to>
    <xdr:pic>
      <xdr:nvPicPr>
        <xdr:cNvPr id="5" name="图片 4">
          <a:extLst>
            <a:ext uri="{FF2B5EF4-FFF2-40B4-BE49-F238E27FC236}">
              <a16:creationId xmlns:a16="http://schemas.microsoft.com/office/drawing/2014/main" id="{FC4D1BBA-02D2-8610-9CAF-8FB70261A9BC}"/>
            </a:ext>
          </a:extLst>
        </xdr:cNvPr>
        <xdr:cNvPicPr>
          <a:picLocks noChangeAspect="1"/>
        </xdr:cNvPicPr>
      </xdr:nvPicPr>
      <xdr:blipFill>
        <a:blip xmlns:r="http://schemas.openxmlformats.org/officeDocument/2006/relationships" r:embed="rId2"/>
        <a:stretch>
          <a:fillRect/>
        </a:stretch>
      </xdr:blipFill>
      <xdr:spPr>
        <a:xfrm>
          <a:off x="6180707" y="0"/>
          <a:ext cx="14266900" cy="6250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北京市通州区兴贸三街18号院5号楼8层812房地产抵押价值预评估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受贵公司委托，我公司对北京市通州区兴贸三街18号院5号楼8层812房地产抵押价值进行了预评估。</v>
      </c>
    </row>
    <row r="7" spans="1:2">
      <c r="A7" s="1119" t="s">
        <v>566</v>
      </c>
      <c r="B7" s="1120" t="str">
        <f>'预评函-1'!A7</f>
        <v>估价对象为北京市通州区兴贸三街18号院5号楼8层812房地产，为郑林所有。根据《国有土地使用证》[]，估价对象（分摊）出让国有建设用地使用权面积为0平方米，建筑面积为91.79平方米。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兴贸三街18号院5号楼8层812房地产,属郑林开发建设的办公项目，该项目尚在开发建设中。根据《国有土地使用证》[]，估价对象（分摊）出让国有建设用地使用权面积为0平方米，规划建筑面积为91.79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129.05000000000001</v>
      </c>
    </row>
    <row r="21" spans="1:2">
      <c r="A21" s="1119" t="s">
        <v>537</v>
      </c>
      <c r="B21" s="1120">
        <f ca="1">'预评函-2'!D7</f>
        <v>14059</v>
      </c>
    </row>
    <row r="22" spans="1:2">
      <c r="A22" s="1119" t="s">
        <v>538</v>
      </c>
      <c r="B22" s="1120" t="str">
        <f ca="1">'预评函-2'!D6</f>
        <v>壹佰贰拾玖万零伍佰元整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129.05000000000001</v>
      </c>
    </row>
    <row r="31" spans="1:2">
      <c r="A31" s="1119" t="s">
        <v>576</v>
      </c>
      <c r="B31" s="1120">
        <f ca="1">'预评函-2'!D15</f>
        <v>14059</v>
      </c>
    </row>
    <row r="32" spans="1:2">
      <c r="A32" s="1119" t="s">
        <v>543</v>
      </c>
      <c r="B32" s="1120" t="str">
        <f ca="1">'预评函-2'!D14</f>
        <v>壹佰贰拾玖万零伍佰元整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北京市通州区兴贸三街18号院5号楼8层812房地产</v>
      </c>
    </row>
    <row r="42" spans="1:2" ht="30">
      <c r="A42" s="1119" t="s">
        <v>590</v>
      </c>
      <c r="B42" s="1120" t="str">
        <f>'预评函-3'!B2</f>
        <v>建筑面积</v>
      </c>
    </row>
    <row r="43" spans="1:2">
      <c r="A43" s="1119" t="s">
        <v>591</v>
      </c>
      <c r="B43" s="1120">
        <f>'预评函-3'!B4</f>
        <v>91.79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北京市通州区兴贸三街18号院5号楼8层812房地产抵押价值预评估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北京市通州区兴贸三街18号院5号楼8层812房地产抵押价值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北京市通州区兴贸三街18号院5号楼8层812房地产</v>
      </c>
      <c r="T2" s="1618"/>
      <c r="U2" s="1618"/>
      <c r="V2" s="1618"/>
      <c r="W2" s="1618"/>
      <c r="X2" s="1618"/>
      <c r="Y2" s="1618"/>
      <c r="Z2" s="1618"/>
      <c r="AA2" s="1618"/>
      <c r="AB2" s="1618"/>
    </row>
    <row r="3" spans="1:30" ht="13">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4"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5"/>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8" t="s">
        <v>3472</v>
      </c>
      <c r="G10" s="2443"/>
      <c r="H10" s="2444"/>
      <c r="I10" s="2445"/>
      <c r="J10" s="2244"/>
      <c r="K10" s="2401"/>
      <c r="L10" s="2398"/>
      <c r="M10" s="2398"/>
      <c r="N10" s="2244"/>
      <c r="O10" s="1670"/>
      <c r="P10" s="2244"/>
      <c r="Q10" s="2244"/>
      <c r="R10" s="2244"/>
    </row>
    <row r="11" spans="1:30" ht="13">
      <c r="A11" s="2212" t="s">
        <v>2181</v>
      </c>
      <c r="B11" s="2213" t="s">
        <v>3420</v>
      </c>
      <c r="C11" s="3174" t="s">
        <v>3471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59068</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35.93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ht="13">
      <c r="A17" s="305" t="s">
        <v>2195</v>
      </c>
      <c r="B17" s="294" t="s">
        <v>2196</v>
      </c>
      <c r="C17" s="8">
        <f>'数据-汇总表'!E3</f>
        <v>91.79</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4"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5"/>
      <c r="B30" s="294" t="s">
        <v>2218</v>
      </c>
      <c r="C30" s="3246"/>
      <c r="D30" s="3247"/>
      <c r="E30" s="2441"/>
      <c r="F30" s="2441"/>
      <c r="G30" s="2441"/>
      <c r="H30" s="2441"/>
      <c r="I30" s="2441"/>
      <c r="J30" s="2244"/>
      <c r="K30" s="2401"/>
      <c r="L30" s="2398"/>
      <c r="M30" s="2398"/>
      <c r="N30" s="2244"/>
      <c r="O30" s="1670"/>
      <c r="P30" s="2244"/>
      <c r="Q30" s="2244"/>
      <c r="R30" s="2244"/>
      <c r="S30" s="2244"/>
      <c r="T30" s="2244"/>
      <c r="U30" s="2244"/>
      <c r="V30" s="2244"/>
    </row>
    <row r="31" spans="1:28">
      <c r="A31" s="3248"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304</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2960</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91.79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91.79</v>
      </c>
      <c r="H5" s="13">
        <f t="shared" ref="H5:AT5" si="0">SUM(H13:H656)</f>
        <v>91.79</v>
      </c>
      <c r="I5" s="13">
        <f t="shared" si="0"/>
        <v>91.79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91.79</v>
      </c>
      <c r="BA5" s="15">
        <f t="shared" si="1"/>
        <v>91.79</v>
      </c>
      <c r="BB5" s="15">
        <f t="shared" si="1"/>
        <v>91.79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812</v>
      </c>
      <c r="D13" s="1513" t="s">
        <v>3426</v>
      </c>
      <c r="E13" s="13">
        <f>IF($C$3="是",ROUND($A$3*G13/$B$3,2),ROUND($A$3*(G13-AT13)/$B$3,2))</f>
        <v>0</v>
      </c>
      <c r="F13" s="29"/>
      <c r="G13" s="30">
        <f>H13+AC13+AT13</f>
        <v>91.79</v>
      </c>
      <c r="H13" s="17">
        <f>SUMIF(I$12:AB$12,"总值",I13:AB13)</f>
        <v>91.79</v>
      </c>
      <c r="I13" s="1514">
        <v>91.79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812</v>
      </c>
      <c r="AY13" s="1260">
        <f>ROUND($AY$6*AZ13/$AZ$5,2)</f>
        <v>0</v>
      </c>
      <c r="AZ13" s="13">
        <f>BA13+BL13</f>
        <v>91.79</v>
      </c>
      <c r="BA13" s="13">
        <f>SUM(BB13:BK13)</f>
        <v>91.79</v>
      </c>
      <c r="BB13" s="13">
        <f>IF($D13="是",I13-J13,0)</f>
        <v>91.79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91.79</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91.79</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2.5</v>
      </c>
      <c r="J7" s="3175" t="s">
        <v>3461</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91.79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91.79</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91.79</v>
      </c>
      <c r="F19" s="2556">
        <f>'数据-基础表'!G13</f>
        <v>91.79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91.79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91.79</v>
      </c>
      <c r="F27" s="1072">
        <f>IF(SUM(F19:F26)=E8,SUM(F19:F26),"地上面积有误")</f>
        <v>91.79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91.79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91.79</v>
      </c>
      <c r="F31" s="644">
        <f>F27+F30</f>
        <v>91.79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59068</v>
      </c>
      <c r="F6" s="61">
        <f>SUMIF(项目基本情况!C$12:I$12,C6,项目基本情况!C$15:I$15)</f>
        <v>35.93</v>
      </c>
      <c r="G6" s="62">
        <f>IF(ISERROR(ROUND(POWER(1+H6,D6-F6)*(POWER(1+H6,F6)-1)/(POWER(1+H6,D6)-1),3)),0,ROUND(POWER(1+H6,D6-F6)*(POWER(1+H6,F6)-1)/(POWER(1+H6,D6)-1),3))</f>
        <v>0.90600000000000003</v>
      </c>
      <c r="H6" s="691">
        <v>0.05</v>
      </c>
      <c r="I6" s="691">
        <v>5.5E-2</v>
      </c>
      <c r="J6" s="63">
        <v>7.0000000000000007E-2</v>
      </c>
      <c r="K6" s="970">
        <f>SUMIF('数据-汇总表'!C$19:C$33,A6,'数据-汇总表'!E$19:E$33)</f>
        <v>91.79</v>
      </c>
      <c r="L6" s="692">
        <v>3500</v>
      </c>
      <c r="M6" s="64">
        <f t="shared" ref="M6:M14" si="0">ROUND(K6*L6/10000,0)</f>
        <v>32</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4500</v>
      </c>
      <c r="V6" s="67">
        <v>0.02</v>
      </c>
      <c r="W6" s="67">
        <v>0.1</v>
      </c>
      <c r="X6" s="979"/>
      <c r="Y6" s="68">
        <f>N6</f>
        <v>0.82</v>
      </c>
      <c r="Z6" s="69"/>
      <c r="AA6" s="63"/>
      <c r="AB6" s="63"/>
      <c r="AC6" s="979"/>
      <c r="AD6" s="70"/>
      <c r="AE6" s="980">
        <f ca="1">IF(AN6="",0,SUMIF(INDIRECT("'"&amp;AN6&amp;"'"&amp;"!E:E"),$AE$5,INDIRECT("'"&amp;AN6&amp;"'"&amp;"!F:F")))</f>
        <v>35.93</v>
      </c>
      <c r="AF6" s="74"/>
      <c r="AG6" s="130">
        <f>IF(AF6="",0,AE6-AF6)</f>
        <v>0</v>
      </c>
      <c r="AH6" s="71">
        <v>1</v>
      </c>
      <c r="AI6" s="73">
        <v>12</v>
      </c>
      <c r="AJ6" s="74"/>
      <c r="AK6" s="75">
        <v>0.01</v>
      </c>
      <c r="AL6" s="76">
        <v>1E-3</v>
      </c>
      <c r="AM6" s="77">
        <v>0.01</v>
      </c>
      <c r="AN6" s="1589" t="s">
        <v>3427</v>
      </c>
      <c r="AO6" s="50">
        <f ca="1">SUMIF(INDIRECT("'"&amp;AN6&amp;"'"&amp;"!A:A"),"总价",INDIRECT("'"&amp;AN6&amp;"'"&amp;"!B:B"))</f>
        <v>81.335099999999997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91.79</v>
      </c>
      <c r="L16" s="87">
        <f>ROUND(M16*10000/SUM(K6:K14),0)</f>
        <v>3486</v>
      </c>
      <c r="M16" s="87">
        <f>SUM(M6:M14)</f>
        <v>32</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2014</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168" t="s">
        <v>3473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91.79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129.05000000000001</v>
      </c>
      <c r="C5" s="2299">
        <f ca="1">IF(B5=D14,结果表!H102,ROUND(B5*10000/$B$1,0))</f>
        <v>14059</v>
      </c>
      <c r="D5" s="2299" t="e">
        <f ca="1">ROUND(B5*10000/$B$2,0)</f>
        <v>#DIV/0!</v>
      </c>
      <c r="E5" s="2460"/>
      <c r="F5" s="2461"/>
      <c r="G5" s="2461"/>
      <c r="H5" s="2461"/>
      <c r="I5" s="2461"/>
      <c r="J5" s="2461"/>
      <c r="K5" s="2461"/>
    </row>
    <row r="6" spans="1:11" ht="16.5">
      <c r="A6" s="2299" t="s">
        <v>656</v>
      </c>
      <c r="B6" s="2299">
        <f ca="1">SUM(G14:G23)</f>
        <v>129.05000000000001</v>
      </c>
      <c r="C6" s="2299">
        <f ca="1">IF(B6=G14,结果表!H108,ROUND(B6*10000/$B$1,0))</f>
        <v>14059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91.79</v>
      </c>
      <c r="C14" s="2305"/>
      <c r="D14" s="2305">
        <f ca="1">结果表!H118</f>
        <v>129.05000000000001</v>
      </c>
      <c r="E14" s="2305">
        <f ca="1">结果表!I118</f>
        <v>14059</v>
      </c>
      <c r="F14" s="2305" t="e">
        <f ca="1">ROUND(D14*10000/C14,0)</f>
        <v>#DIV/0!</v>
      </c>
      <c r="G14" s="2305">
        <f ca="1">D14</f>
        <v>129.05000000000001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23" sqref="F23"/>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34" t="str">
        <f>项目基本情况!S2</f>
        <v>北京市通州区兴贸三街18号院5号楼8层812房地产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3457</v>
      </c>
      <c r="D4" s="1626" t="s">
        <v>3427</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7</v>
      </c>
      <c r="D14" s="3328">
        <v>3</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9" t="s">
        <v>2131</v>
      </c>
      <c r="F18" s="3360"/>
      <c r="G18" s="3360"/>
      <c r="H18" s="3360"/>
      <c r="I18" s="3360"/>
      <c r="K18" s="294" t="s">
        <v>1289</v>
      </c>
      <c r="L18" s="294">
        <f>IF(C1="",'数据-汇总表'!E3,SUMIF(项目类型,C1,'数据-汇总表'!E17:E26)+SUMIF(项目类型,C1,'数据-汇总表'!I17:I26))</f>
        <v>91.79</v>
      </c>
      <c r="M18" s="294">
        <f>IF(C1="",'数据-汇总表'!E3,SUMIF(项目类型,C1,'数据-汇总表'!E17:E26))</f>
        <v>91.79</v>
      </c>
    </row>
    <row r="19" spans="1:36" ht="14">
      <c r="A19" s="1630" t="s">
        <v>1290</v>
      </c>
      <c r="B19" s="1631" t="s">
        <v>1291</v>
      </c>
      <c r="C19" s="126">
        <f ca="1">SUMIF(INDIRECT("'"&amp;C4&amp;"'"&amp;"!A:A"),结果表!B19,INDIRECT("'"&amp;C4&amp;"'"&amp;"!B:B"))</f>
        <v>149.48920000000001</v>
      </c>
      <c r="D19" s="127">
        <f ca="1">SUMIF(INDIRECT("'"&amp;D4&amp;"'"&amp;"!A:A"),结果表!B19,INDIRECT("'"&amp;D4&amp;"'"&amp;"!B:B"))</f>
        <v>81.335099999999997</v>
      </c>
      <c r="E19" s="1630" t="s">
        <v>1292</v>
      </c>
      <c r="F19" s="1631" t="s">
        <v>1291</v>
      </c>
      <c r="G19" s="128">
        <f ca="1">ROUND(C19*$C$18+D19*$D$18,0)</f>
        <v>129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16286</v>
      </c>
      <c r="D20" s="130">
        <f ca="1">SUMIF(INDIRECT("'"&amp;D4&amp;"'"&amp;"!A:A"),结果表!B20,INDIRECT("'"&amp;D4&amp;"'"&amp;"!B:B"))</f>
        <v>8861</v>
      </c>
      <c r="E20" s="1633"/>
      <c r="F20" s="43" t="s">
        <v>1295</v>
      </c>
      <c r="G20" s="131">
        <f ca="1">ROUND(C20*$C$18+D20*$D$18,0)</f>
        <v>14059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0.83794204470148825</v>
      </c>
      <c r="E22" s="121"/>
      <c r="F22" s="3176" t="s">
        <v>3479</v>
      </c>
      <c r="G22" s="121"/>
      <c r="H22" s="121"/>
      <c r="I22" s="121"/>
    </row>
    <row r="23" spans="1:36" ht="13" thickBot="1">
      <c r="A23" s="646"/>
      <c r="B23" s="646"/>
      <c r="C23" s="646"/>
      <c r="D23" s="646"/>
      <c r="E23" s="121"/>
      <c r="F23" s="121"/>
      <c r="G23" s="121"/>
      <c r="H23" s="121"/>
      <c r="I23" s="121"/>
    </row>
    <row r="24" spans="1:36" ht="14">
      <c r="A24" s="3352" t="s">
        <v>1299</v>
      </c>
      <c r="B24" s="1631" t="s">
        <v>1291</v>
      </c>
      <c r="C24" s="128">
        <f>IF(B30=0,0,D30)</f>
        <v>0</v>
      </c>
      <c r="D24" s="1637"/>
      <c r="E24" s="121"/>
      <c r="F24" s="3177" t="s">
        <v>3468</v>
      </c>
      <c r="G24" s="121"/>
      <c r="H24" s="121"/>
      <c r="I24" s="121"/>
    </row>
    <row r="25" spans="1:36" ht="14">
      <c r="A25" s="3353"/>
      <c r="B25" s="43" t="s">
        <v>1295</v>
      </c>
      <c r="C25" s="133">
        <f>IF(B30=0,0,C30)</f>
        <v>0</v>
      </c>
      <c r="D25" s="1638"/>
      <c r="E25" s="121"/>
      <c r="F25" s="3176" t="s">
        <v>3467</v>
      </c>
      <c r="G25" s="121"/>
      <c r="H25" s="121"/>
      <c r="I25" s="121"/>
    </row>
    <row r="26" spans="1:36" ht="13.5" customHeight="1">
      <c r="A26" s="1639" t="s">
        <v>1300</v>
      </c>
      <c r="B26" s="134" t="s">
        <v>1301</v>
      </c>
      <c r="C26" s="134" t="s">
        <v>1302</v>
      </c>
      <c r="D26" s="135" t="s">
        <v>1303</v>
      </c>
      <c r="E26" s="121"/>
      <c r="F26" s="3176" t="s">
        <v>3469</v>
      </c>
      <c r="G26" s="121"/>
      <c r="H26" s="121">
        <f>ROUND(1610000/'数据-汇总表'!E19,0)</f>
        <v>17540</v>
      </c>
      <c r="I26" s="121"/>
    </row>
    <row r="27" spans="1:36" ht="14">
      <c r="A27" s="1639"/>
      <c r="B27" s="134">
        <v>0</v>
      </c>
      <c r="C27" s="134">
        <v>0</v>
      </c>
      <c r="D27" s="135">
        <f>ROUND(C27*B27/10000,0)</f>
        <v>0</v>
      </c>
      <c r="E27" s="121"/>
      <c r="F27" s="3176" t="s">
        <v>3470</v>
      </c>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14059</v>
      </c>
      <c r="D32" s="1641" t="s">
        <v>3458</v>
      </c>
      <c r="E32" s="121"/>
      <c r="F32" s="121"/>
      <c r="G32" s="121"/>
      <c r="H32" s="121"/>
      <c r="I32" s="121"/>
    </row>
    <row r="33" spans="1:15" ht="14">
      <c r="A33" s="740" t="s">
        <v>1306</v>
      </c>
      <c r="B33" s="123"/>
      <c r="C33" s="1642" t="s">
        <v>3459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129</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9">
        <v>1</v>
      </c>
      <c r="K46" s="3270" t="s">
        <v>1331</v>
      </c>
      <c r="L46" s="3270"/>
      <c r="M46" s="3271"/>
      <c r="N46" s="3271"/>
      <c r="O46" s="3271"/>
    </row>
    <row r="47" spans="1:15" ht="12" customHeight="1">
      <c r="A47" s="152" t="s">
        <v>1332</v>
      </c>
      <c r="B47" s="153"/>
      <c r="C47" s="154"/>
      <c r="D47" s="1024" t="s">
        <v>1333</v>
      </c>
      <c r="E47" s="294" t="s">
        <v>1334</v>
      </c>
      <c r="F47" s="155" t="s">
        <v>1335</v>
      </c>
      <c r="G47" s="2332" t="s">
        <v>1336</v>
      </c>
      <c r="H47" s="2333"/>
      <c r="I47" s="151"/>
      <c r="J47" s="2309">
        <v>2</v>
      </c>
      <c r="K47" s="3270" t="s">
        <v>1337</v>
      </c>
      <c r="L47" s="3270"/>
      <c r="M47" s="3272">
        <f>'数据-取费表'!B2</f>
        <v>45950</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0" t="s">
        <v>1340</v>
      </c>
      <c r="L48" s="3270"/>
      <c r="M48" s="3273">
        <f ca="1">H101</f>
        <v>129.05000000000001</v>
      </c>
      <c r="N48" s="3273"/>
      <c r="O48" s="3273"/>
    </row>
    <row r="49" spans="1:35" ht="25.5" customHeight="1">
      <c r="A49" s="2152" t="s">
        <v>1341</v>
      </c>
      <c r="B49" s="3318" t="s">
        <v>1342</v>
      </c>
      <c r="C49" s="3318"/>
      <c r="D49" s="1478">
        <v>0</v>
      </c>
      <c r="E49" s="316" t="s">
        <v>1343</v>
      </c>
      <c r="F49" s="2232" t="s">
        <v>28</v>
      </c>
      <c r="G49" s="3301"/>
      <c r="H49" s="2134" t="s">
        <v>2134</v>
      </c>
      <c r="I49" s="2135"/>
      <c r="J49" s="2309">
        <v>4</v>
      </c>
      <c r="K49" s="3270" t="str">
        <f>IF(项目基本情况!E8="房地产抵押价值","房地产抵押价值","抵押担保权已注销时的房地产抵押价值")</f>
        <v>房地产抵押价值</v>
      </c>
      <c r="L49" s="3270"/>
      <c r="M49" s="3273">
        <f ca="1">IF(项目基本情况!E8="房地产抵押价值",H107,H109)</f>
        <v>129.05000000000001</v>
      </c>
      <c r="N49" s="3273"/>
      <c r="O49" s="3273"/>
    </row>
    <row r="50" spans="1:35" ht="25.5" customHeight="1">
      <c r="A50" s="2337"/>
      <c r="B50" s="3318" t="s">
        <v>1344</v>
      </c>
      <c r="C50" s="3318"/>
      <c r="D50" s="2189"/>
      <c r="E50" s="323"/>
      <c r="F50" s="2232"/>
      <c r="G50" s="3302"/>
      <c r="H50" s="2136" t="s">
        <v>2135</v>
      </c>
      <c r="I50" s="2135"/>
      <c r="J50" s="3269" t="s">
        <v>1345</v>
      </c>
      <c r="K50" s="3269"/>
      <c r="L50" s="3269"/>
      <c r="M50" s="3269"/>
      <c r="N50" s="3269"/>
      <c r="O50" s="3269"/>
    </row>
    <row r="51" spans="1:35" ht="20.5" customHeight="1">
      <c r="A51" s="2338"/>
      <c r="B51" s="3318" t="s">
        <v>1346</v>
      </c>
      <c r="C51" s="3318"/>
      <c r="D51" s="1024"/>
      <c r="E51" s="319"/>
      <c r="F51" s="2232"/>
      <c r="G51" s="3303"/>
      <c r="H51" s="2136" t="s">
        <v>2136</v>
      </c>
      <c r="I51" s="2135"/>
      <c r="J51" s="2310" t="s">
        <v>1347</v>
      </c>
      <c r="K51" s="3270" t="s">
        <v>1348</v>
      </c>
      <c r="L51" s="3270"/>
      <c r="M51" s="2310" t="s">
        <v>1349</v>
      </c>
      <c r="N51" s="2310" t="s">
        <v>1350</v>
      </c>
      <c r="O51" s="2310" t="s">
        <v>1351</v>
      </c>
    </row>
    <row r="52" spans="1:35" ht="24" customHeight="1">
      <c r="A52" s="2153" t="s">
        <v>1352</v>
      </c>
      <c r="B52" s="3318" t="s">
        <v>1353</v>
      </c>
      <c r="C52" s="3318"/>
      <c r="D52" s="1024">
        <f ca="1">ROUND(D45*'数据-取费表'!B41/(1+'数据-取费表'!C42),0)</f>
        <v>7</v>
      </c>
      <c r="E52" s="1256" t="s">
        <v>1354</v>
      </c>
      <c r="F52" s="2339">
        <f>'数据-取费表'!B41</f>
        <v>5.5000000000000007E-2</v>
      </c>
      <c r="G52" s="2340"/>
      <c r="H52" s="2330"/>
      <c r="I52" s="1669"/>
      <c r="J52" s="2309">
        <v>1</v>
      </c>
      <c r="K52" s="3295" t="s">
        <v>1355</v>
      </c>
      <c r="L52" s="3295"/>
      <c r="M52" s="2311" t="b">
        <f>D48</f>
        <v>0</v>
      </c>
      <c r="N52" s="2309" t="str">
        <f>E48</f>
        <v>销售额×税（费）率</v>
      </c>
      <c r="O52" s="2312">
        <f>F48</f>
        <v>5.5000000000000007E-2</v>
      </c>
    </row>
    <row r="53" spans="1:35" ht="12" customHeight="1">
      <c r="A53" s="2153" t="s">
        <v>1356</v>
      </c>
      <c r="B53" s="3319" t="s">
        <v>2291</v>
      </c>
      <c r="C53" s="3320"/>
      <c r="D53" s="1024">
        <f ca="1">ROUND(D45*'数据-取费表'!B41/(1+'数据-取费表'!C42),0)</f>
        <v>7</v>
      </c>
      <c r="E53" s="1256" t="s">
        <v>1354</v>
      </c>
      <c r="F53" s="2339">
        <f>'数据-取费表'!B41</f>
        <v>5.5000000000000007E-2</v>
      </c>
      <c r="G53" s="2340"/>
      <c r="H53" s="2330"/>
      <c r="I53" s="1669"/>
      <c r="J53" s="2309">
        <v>2</v>
      </c>
      <c r="K53" s="3295" t="s">
        <v>1357</v>
      </c>
      <c r="L53" s="3295"/>
      <c r="M53" s="2311">
        <f t="shared" ref="M53:O54" ca="1" si="0">D55</f>
        <v>0</v>
      </c>
      <c r="N53" s="2309" t="str">
        <f t="shared" si="0"/>
        <v>销售额×税（费）率</v>
      </c>
      <c r="O53" s="2312" t="str">
        <f t="shared" si="0"/>
        <v>免征</v>
      </c>
    </row>
    <row r="54" spans="1:35" ht="12" customHeight="1">
      <c r="A54" s="2153" t="s">
        <v>1358</v>
      </c>
      <c r="B54" s="3319" t="s">
        <v>2292</v>
      </c>
      <c r="C54" s="3320"/>
      <c r="D54" s="1024">
        <f ca="1">C68</f>
        <v>7</v>
      </c>
      <c r="E54" s="319" t="s">
        <v>1359</v>
      </c>
      <c r="F54" s="2339">
        <f>'数据-取费表'!B41</f>
        <v>5.5000000000000007E-2</v>
      </c>
      <c r="G54" s="2340"/>
      <c r="H54" s="2341"/>
      <c r="I54" s="1669"/>
      <c r="J54" s="2309">
        <v>3</v>
      </c>
      <c r="K54" s="3295" t="s">
        <v>1360</v>
      </c>
      <c r="L54" s="3295"/>
      <c r="M54" s="2311">
        <f t="shared" ca="1" si="0"/>
        <v>73</v>
      </c>
      <c r="N54" s="2309" t="str">
        <f t="shared" si="0"/>
        <v>增值额×税（费）率</v>
      </c>
      <c r="O54" s="2313" t="str">
        <f t="shared" si="0"/>
        <v>免征</v>
      </c>
    </row>
    <row r="55" spans="1:35" ht="24" customHeight="1">
      <c r="A55" s="3355" t="s">
        <v>1361</v>
      </c>
      <c r="B55" s="3333"/>
      <c r="C55" s="3333"/>
      <c r="D55" s="12">
        <f ca="1">IF(H55="个人住宅",0,ROUND(D45*I55,0))</f>
        <v>0</v>
      </c>
      <c r="E55" s="1256" t="s">
        <v>1362</v>
      </c>
      <c r="F55" s="2339" t="str">
        <f>IF(H55="正常",I55,"免征")</f>
        <v>免征</v>
      </c>
      <c r="G55" s="2340"/>
      <c r="H55" s="2336"/>
      <c r="I55" s="157">
        <f>'数据-取费表'!B49</f>
        <v>5.0000000000000001E-4</v>
      </c>
      <c r="J55" s="2309">
        <f>IF(H59="非个人房产","",4)</f>
        <v>4</v>
      </c>
      <c r="K55" s="3295" t="str">
        <f>IF(H59="非个人房产","——","个人所得税")</f>
        <v>个人所得税</v>
      </c>
      <c r="L55" s="3295"/>
      <c r="M55" s="2314">
        <f ca="1">D59</f>
        <v>1</v>
      </c>
      <c r="N55" s="1883" t="str">
        <f>E59</f>
        <v>差额计税</v>
      </c>
      <c r="O55" s="2315">
        <f>F59</f>
        <v>0.01</v>
      </c>
    </row>
    <row r="56" spans="1:35" ht="26">
      <c r="A56" s="3355" t="s">
        <v>1363</v>
      </c>
      <c r="B56" s="3333"/>
      <c r="C56" s="3333"/>
      <c r="D56" s="12">
        <f ca="1">IF(H56="个人住宅",D57,D58)</f>
        <v>73</v>
      </c>
      <c r="E56" s="1256" t="s">
        <v>1364</v>
      </c>
      <c r="F56" s="2339" t="str">
        <f>IF(H56="正常",F58,"免征")</f>
        <v>免征</v>
      </c>
      <c r="G56" s="2342" t="s">
        <v>1365</v>
      </c>
      <c r="H56" s="2343"/>
      <c r="I56" s="1670"/>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0"/>
      <c r="H57" s="2344"/>
      <c r="I57" s="1670"/>
      <c r="J57" s="3295">
        <f>IF(AND(J55="",J56=""),4,IF(项目基本情况!K6="上海银行",结果表!J56+1,结果表!J55+1))</f>
        <v>5</v>
      </c>
      <c r="K57" s="3295" t="s">
        <v>1367</v>
      </c>
      <c r="L57" s="2316" t="s">
        <v>1368</v>
      </c>
      <c r="M57" s="2317"/>
      <c r="N57" s="2318">
        <f ca="1">SUMIF(M52:M56,"&lt;9e307")</f>
        <v>74</v>
      </c>
      <c r="O57" s="2319"/>
      <c r="P57" s="2463">
        <f ca="1">N57/M49</f>
        <v>0.57342115459124365</v>
      </c>
    </row>
    <row r="58" spans="1:35" ht="26">
      <c r="A58" s="2153" t="s">
        <v>1352</v>
      </c>
      <c r="B58" s="3319" t="s">
        <v>1369</v>
      </c>
      <c r="C58" s="3318"/>
      <c r="D58" s="12">
        <f ca="1">IF(H58="转让取得",C81,C97)</f>
        <v>73</v>
      </c>
      <c r="E58" s="1256" t="s">
        <v>1364</v>
      </c>
      <c r="F58" s="294" t="s">
        <v>28</v>
      </c>
      <c r="G58" s="2340"/>
      <c r="H58" s="2343"/>
      <c r="I58" s="1670"/>
      <c r="J58" s="3295"/>
      <c r="K58" s="3295"/>
      <c r="L58" s="2316" t="s">
        <v>1370</v>
      </c>
      <c r="M58" s="2320"/>
      <c r="N58" s="2321" t="str">
        <f ca="1">NUMBERSTRING(INT(N57*10000),2)&amp;"元整"</f>
        <v>柒拾肆万元整</v>
      </c>
      <c r="O58" s="2322"/>
    </row>
    <row r="59" spans="1:35" ht="26.5" thickBot="1">
      <c r="A59" s="3299" t="s">
        <v>1371</v>
      </c>
      <c r="B59" s="3300"/>
      <c r="C59" s="3300"/>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7">
        <f>J57+1</f>
        <v>6</v>
      </c>
      <c r="K59" s="3295" t="s">
        <v>1372</v>
      </c>
      <c r="L59" s="2309" t="s">
        <v>1368</v>
      </c>
      <c r="M59" s="2323"/>
      <c r="N59" s="2324">
        <f ca="1">M49-N57</f>
        <v>55.050000000000011</v>
      </c>
      <c r="O59" s="2325"/>
    </row>
    <row r="60" spans="1:35" ht="12" customHeight="1">
      <c r="A60" s="1671"/>
      <c r="B60" s="646"/>
      <c r="C60" s="646"/>
      <c r="D60" s="646"/>
      <c r="E60" s="1466"/>
      <c r="F60" s="1670"/>
      <c r="G60" s="1670"/>
      <c r="H60" s="151"/>
      <c r="I60" s="121"/>
      <c r="J60" s="3298"/>
      <c r="K60" s="3295"/>
      <c r="L60" s="2316" t="s">
        <v>1370</v>
      </c>
      <c r="M60" s="2320"/>
      <c r="N60" s="2321" t="str">
        <f ca="1">NUMBERSTRING(INT(N59*10000),2)&amp;"元整"</f>
        <v>伍拾伍万零伍佰元整</v>
      </c>
      <c r="O60" s="2322"/>
    </row>
    <row r="61" spans="1:35" ht="13.5" thickBot="1">
      <c r="A61" s="3354" t="s">
        <v>1373</v>
      </c>
      <c r="B61" s="3354"/>
      <c r="C61" s="3354"/>
      <c r="D61" s="3354"/>
      <c r="E61" s="3354"/>
      <c r="F61" s="1670"/>
      <c r="G61" s="1670"/>
      <c r="H61" s="151"/>
      <c r="I61" s="121"/>
      <c r="J61" s="2309">
        <f>J59+1</f>
        <v>7</v>
      </c>
      <c r="K61" s="3295" t="s">
        <v>1374</v>
      </c>
      <c r="L61" s="3295"/>
      <c r="M61" s="2326"/>
      <c r="N61" s="2327">
        <f ca="1">ROUND(N59*10000/'数据-汇总表'!E3,0)</f>
        <v>5997</v>
      </c>
      <c r="O61" s="2328"/>
    </row>
    <row r="62" spans="1:35" ht="13">
      <c r="A62" s="3314" t="s">
        <v>1375</v>
      </c>
      <c r="B62" s="3315"/>
      <c r="C62" s="1865"/>
      <c r="D62" s="1865" t="s">
        <v>1376</v>
      </c>
      <c r="E62" s="158" t="s">
        <v>1377</v>
      </c>
      <c r="F62" s="1670"/>
      <c r="G62" s="1670"/>
      <c r="H62" s="151"/>
      <c r="I62" s="121"/>
    </row>
    <row r="63" spans="1:35" ht="13">
      <c r="A63" s="165" t="s">
        <v>330</v>
      </c>
      <c r="B63" s="159" t="s">
        <v>1378</v>
      </c>
      <c r="C63" s="2349">
        <f ca="1">ROUND((C64+C65)/(1+'数据-取费表'!C42),0)</f>
        <v>123</v>
      </c>
      <c r="D63" s="159"/>
      <c r="E63" s="160"/>
      <c r="F63" s="1670"/>
      <c r="G63" s="1670"/>
      <c r="H63" s="151"/>
      <c r="I63" s="121"/>
      <c r="J63" s="3278" t="s">
        <v>1379</v>
      </c>
      <c r="K63" s="1245" t="s">
        <v>1380</v>
      </c>
      <c r="L63" s="1245">
        <f ca="1">IF(M49&gt;10000,M49*0.5%,IF(AND(M49&gt;1000,M49&lt;=10000),M49*1%,IF(AND(M49&gt;100,M49&lt;=1000),M49*3%,IF(AND(M49&gt;10,M49&lt;=100),M49*5%,M49*8%))))</f>
        <v>3.8715000000000002</v>
      </c>
      <c r="M63" s="294">
        <f ca="1">ROUND(L63,1)</f>
        <v>3.9</v>
      </c>
      <c r="N63" s="2329"/>
      <c r="Z63" s="1623"/>
      <c r="AI63" s="1561"/>
    </row>
    <row r="64" spans="1:35" ht="14.25" customHeight="1">
      <c r="A64" s="161" t="s">
        <v>325</v>
      </c>
      <c r="B64" s="162" t="s">
        <v>1381</v>
      </c>
      <c r="C64" s="2350">
        <f ca="1">D45</f>
        <v>129</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1.1614500000000003</v>
      </c>
      <c r="M64" s="294">
        <f t="shared" ref="M64:M65" ca="1" si="1">ROUND(L64,1)</f>
        <v>1.2</v>
      </c>
      <c r="N64" s="2330" t="s">
        <v>1383</v>
      </c>
      <c r="Z64" s="1623"/>
      <c r="AI64" s="1561"/>
    </row>
    <row r="65" spans="1:35" ht="14.25" customHeight="1">
      <c r="A65" s="161" t="s">
        <v>326</v>
      </c>
      <c r="B65" s="162" t="s">
        <v>1384</v>
      </c>
      <c r="C65" s="2351"/>
      <c r="D65" s="162"/>
      <c r="E65" s="164"/>
      <c r="F65" s="1670"/>
      <c r="G65" s="1670"/>
      <c r="H65" s="151"/>
      <c r="I65" s="121"/>
      <c r="J65" s="3278"/>
      <c r="K65" s="1245" t="s">
        <v>1385</v>
      </c>
      <c r="L65" s="1245">
        <f ca="1">IF(M49&gt;1000,M49*0.1%,IF(AND(M49&gt;500,M49&lt;=1000),M49*0.5%,IF(AND(M49&gt;50,M49&lt;=500),M49*1%,IF(AND(M49&gt;1,M49&lt;=50),M49*1.5%))))</f>
        <v>1.2905000000000002</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78"/>
      <c r="K66" s="1245" t="s">
        <v>1387</v>
      </c>
      <c r="L66" s="1245">
        <f ca="1">M49*0.5%</f>
        <v>0.6452500000000001</v>
      </c>
      <c r="M66" s="294">
        <f ca="1">IF(L66&gt;0.5,0.5,ROUND(L66,0))</f>
        <v>0.5</v>
      </c>
      <c r="N66" s="2330" t="s">
        <v>1388</v>
      </c>
      <c r="Z66" s="1623"/>
      <c r="AI66" s="1561"/>
    </row>
    <row r="67" spans="1:35" ht="14.25" customHeight="1">
      <c r="A67" s="165" t="s">
        <v>328</v>
      </c>
      <c r="B67" s="166" t="s">
        <v>1389</v>
      </c>
      <c r="C67" s="2353">
        <f ca="1">C63-C66</f>
        <v>123</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0.57262500000000005</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278"/>
      <c r="K68" s="1245" t="s">
        <v>1392</v>
      </c>
      <c r="L68" s="1245">
        <f ca="1">IF(M49&gt;10000,M49*0.5%,IF(AND(M49&gt;5000,M49&lt;=10000),M49*1%,IF(AND(M49&gt;1000,M49&lt;=5000),M49*2%,IF(AND(M49&gt;200,M49&lt;=1000),M49*3%,M49*5%))))</f>
        <v>6.4525000000000006</v>
      </c>
      <c r="M68" s="294">
        <f ca="1">ROUND(L68,1)</f>
        <v>6.5</v>
      </c>
      <c r="N68" s="2329"/>
      <c r="Z68" s="1623"/>
      <c r="AI68" s="1561"/>
    </row>
    <row r="69" spans="1:35" ht="16.5" customHeight="1">
      <c r="A69" s="1672"/>
      <c r="B69" s="1673"/>
      <c r="C69" s="1674"/>
      <c r="D69" s="1675"/>
      <c r="E69" s="1676"/>
      <c r="F69" s="1466"/>
      <c r="G69" s="1466"/>
      <c r="H69" s="1467"/>
      <c r="I69" s="646"/>
      <c r="J69" s="3278"/>
      <c r="K69" s="1245" t="s">
        <v>1393</v>
      </c>
      <c r="L69" s="1245"/>
      <c r="M69" s="294">
        <f ca="1">ROUND(SUM(M63:M68),0)</f>
        <v>14</v>
      </c>
      <c r="N69" s="2331">
        <f ca="1">M69/M49</f>
        <v>0.1084850833010461</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123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123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0" t="s">
        <v>2129</v>
      </c>
      <c r="H90" s="328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1" t="s">
        <v>1422</v>
      </c>
      <c r="F92" s="3312"/>
      <c r="G92" s="3312"/>
      <c r="H92" s="331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t="str">
        <f>C4</f>
        <v>比较法-办公</v>
      </c>
      <c r="D101" s="2371" t="str">
        <f>D4</f>
        <v>收益法 (元)</v>
      </c>
      <c r="E101" s="3274" t="s">
        <v>1431</v>
      </c>
      <c r="F101" s="3275"/>
      <c r="G101" s="1687" t="s">
        <v>1432</v>
      </c>
      <c r="H101" s="2380">
        <f ca="1">H118</f>
        <v>129.05000000000001</v>
      </c>
      <c r="I101" s="121"/>
    </row>
    <row r="102" spans="1:35" ht="18.75" customHeight="1">
      <c r="A102" s="3306" t="s">
        <v>1433</v>
      </c>
      <c r="B102" s="2369" t="s">
        <v>1432</v>
      </c>
      <c r="C102" s="2370">
        <f ca="1">IF(D32="楼面单价",ROUND(C19,0),C19)</f>
        <v>149</v>
      </c>
      <c r="D102" s="2371">
        <f ca="1">IF(D32="楼面单价",ROUND(D19,0),D19)</f>
        <v>81</v>
      </c>
      <c r="E102" s="3274"/>
      <c r="F102" s="3275"/>
      <c r="G102" s="1687" t="s">
        <v>1434</v>
      </c>
      <c r="H102" s="2340">
        <f ca="1">I118</f>
        <v>14059</v>
      </c>
      <c r="I102" s="121"/>
    </row>
    <row r="103" spans="1:35" ht="42.75" customHeight="1">
      <c r="A103" s="3306"/>
      <c r="B103" s="2369" t="s">
        <v>1434</v>
      </c>
      <c r="C103" s="2372">
        <f ca="1">C20</f>
        <v>16286</v>
      </c>
      <c r="D103" s="2373">
        <f ca="1">D20</f>
        <v>8861</v>
      </c>
      <c r="E103" s="3267" t="s">
        <v>1435</v>
      </c>
      <c r="F103" s="3268"/>
      <c r="G103" s="1688" t="s">
        <v>1436</v>
      </c>
      <c r="H103" s="2380">
        <f>IF(D36="正常操作",H104+H105+H106,H105+H106)</f>
        <v>0</v>
      </c>
      <c r="I103" s="121"/>
    </row>
    <row r="104" spans="1:35" ht="18.75" customHeight="1">
      <c r="A104" s="3306" t="s">
        <v>1437</v>
      </c>
      <c r="B104" s="2374" t="s">
        <v>1432</v>
      </c>
      <c r="C104" s="2375">
        <f ca="1">H118</f>
        <v>129.05000000000001</v>
      </c>
      <c r="D104" s="2376"/>
      <c r="E104" s="1555" t="s">
        <v>1438</v>
      </c>
      <c r="F104" s="1548"/>
      <c r="G104" s="1688" t="s">
        <v>1436</v>
      </c>
      <c r="H104" s="2381">
        <f>IF(D36="同一抵押权人同一抵押物续贷",C36&amp;"（续贷，未扣减，详见特别提示）",C36)</f>
        <v>0</v>
      </c>
      <c r="I104" s="121"/>
    </row>
    <row r="105" spans="1:35" ht="18.75" customHeight="1" thickBot="1">
      <c r="A105" s="3316"/>
      <c r="B105" s="2377" t="s">
        <v>1434</v>
      </c>
      <c r="C105" s="2378">
        <f ca="1">I118</f>
        <v>14059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275"/>
      <c r="G107" s="1687" t="s">
        <v>1432</v>
      </c>
      <c r="H107" s="2380">
        <f ca="1">IF(E107="——","——",H101-H103)</f>
        <v>129.05000000000001</v>
      </c>
      <c r="I107" s="121"/>
    </row>
    <row r="108" spans="1:35" ht="18.75" customHeight="1">
      <c r="A108" s="121"/>
      <c r="B108" s="121"/>
      <c r="C108" s="121"/>
      <c r="D108" s="121"/>
      <c r="E108" s="3307"/>
      <c r="F108" s="3275"/>
      <c r="G108" s="1687" t="s">
        <v>1434</v>
      </c>
      <c r="H108" s="2340">
        <f ca="1">IF(H107=H101,H102,ROUND(H107*10000/'数据-汇总表'!E3,0))</f>
        <v>14059</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3" t="str">
        <f>IF(E109="——","——",H101-H105-H106)</f>
        <v>——</v>
      </c>
      <c r="I109" s="121"/>
    </row>
    <row r="110" spans="1:35" ht="18.75" customHeight="1">
      <c r="A110" s="121"/>
      <c r="B110" s="121"/>
      <c r="C110" s="121"/>
      <c r="D110" s="121"/>
      <c r="E110" s="3307"/>
      <c r="F110" s="3275"/>
      <c r="G110" s="1687"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09"/>
      <c r="F112" s="3310"/>
      <c r="G112" s="1690"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5" t="str">
        <f>项目基本情况!S2</f>
        <v>北京市通州区兴贸三街18号院5号楼8层812房地产</v>
      </c>
      <c r="B118" s="2150">
        <f>M18</f>
        <v>91.79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ROUND(IF(D32="总价",C32,I118*B118/10000),2)</f>
        <v>129.05000000000001</v>
      </c>
      <c r="I118" s="2150">
        <f ca="1">ROUND(IF(D32="楼面单价",C32,H118*10000/B118),0)</f>
        <v>14059</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壹佰贰拾玖万零伍佰元整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129.05000000000001</v>
      </c>
      <c r="E122" s="3284"/>
      <c r="F122" s="3284"/>
      <c r="G122" s="3284"/>
      <c r="H122" s="3284"/>
      <c r="I122" s="3285"/>
      <c r="AA122" s="684"/>
    </row>
    <row r="123" spans="1:27" ht="18.75" customHeight="1">
      <c r="A123" s="3282" t="s">
        <v>1452</v>
      </c>
      <c r="B123" s="3282"/>
      <c r="C123" s="3282"/>
      <c r="D123" s="3288" t="str">
        <f ca="1">NUMBERSTRING(INT(D122*10000),2)&amp;"元整"</f>
        <v>壹佰贰拾玖万零伍佰元整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4576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91.79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91.79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91.79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49</v>
      </c>
      <c r="D49" s="224"/>
      <c r="E49" s="224"/>
      <c r="F49" s="256"/>
      <c r="G49" s="226" t="s">
        <v>1554</v>
      </c>
    </row>
    <row r="50" spans="1:7" s="250" customFormat="1" ht="26">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40</v>
      </c>
      <c r="D51" s="224"/>
      <c r="E51" s="224"/>
      <c r="F51" s="256"/>
      <c r="G51" s="226" t="s">
        <v>1560</v>
      </c>
    </row>
    <row r="52" spans="1:7" s="200" customFormat="1" ht="16.5" thickBot="1">
      <c r="A52" s="257" t="s">
        <v>1561</v>
      </c>
      <c r="B52" s="258"/>
      <c r="C52" s="259">
        <f ca="1">C31+C51</f>
        <v>42</v>
      </c>
      <c r="D52" s="258"/>
      <c r="E52" s="258"/>
      <c r="F52" s="258"/>
      <c r="G52" s="260"/>
    </row>
    <row r="55" spans="1:7" ht="15.5">
      <c r="B55" s="262" t="s">
        <v>1562</v>
      </c>
      <c r="C55" s="263"/>
    </row>
    <row r="56" spans="1:7" ht="13">
      <c r="B56" s="265" t="s">
        <v>802</v>
      </c>
      <c r="C56" s="267">
        <f ca="1">1-C57</f>
        <v>4.8000000000000043E-2</v>
      </c>
    </row>
    <row r="57" spans="1:7" ht="13">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北京市通州区兴贸三街18号院5号楼8层812房地产抵押价值预评估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ACCE-A3A0-4636-B024-197C5464E5A0}">
  <sheetPr>
    <tabColor rgb="FF7030A0"/>
  </sheetPr>
  <dimension ref="A1"/>
  <sheetViews>
    <sheetView topLeftCell="A28" workbookViewId="0">
      <selection activeCell="M186" sqref="M18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workbookViewId="0">
      <selection activeCell="K6" sqref="K6"/>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91.79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91.79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zoomScale="60" zoomScaleNormal="70" workbookViewId="0">
      <selection activeCell="M44" sqref="M44"/>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149.48920000000001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16286</v>
      </c>
      <c r="C3" s="344" t="s">
        <v>1768</v>
      </c>
      <c r="D3" s="343">
        <f>IF(D1="",'数据-汇总表'!E3,SUMIF('数据-汇总表'!$C19:$C33,D1,'数据-汇总表'!$E19:$E33))</f>
        <v>91.79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4" t="s">
        <v>1771</v>
      </c>
      <c r="S4" s="3375"/>
      <c r="T4" s="3374" t="s">
        <v>1772</v>
      </c>
      <c r="U4" s="3375"/>
      <c r="V4" s="3402" t="s">
        <v>1773</v>
      </c>
      <c r="W4" s="3402"/>
      <c r="X4" s="1809"/>
      <c r="Y4" s="3374" t="s">
        <v>1775</v>
      </c>
      <c r="Z4" s="3375"/>
      <c r="AA4" s="3369" t="s">
        <v>1771</v>
      </c>
      <c r="AB4" s="3369" t="s">
        <v>1772</v>
      </c>
      <c r="AC4" s="3387" t="s">
        <v>1773</v>
      </c>
    </row>
    <row r="5" spans="1:29" ht="14" customHeight="1">
      <c r="A5" s="348"/>
      <c r="B5" s="349"/>
      <c r="C5" s="3380" t="s">
        <v>1673</v>
      </c>
      <c r="D5" s="3381"/>
      <c r="E5" s="3378" t="s">
        <v>3474</v>
      </c>
      <c r="F5" s="3379"/>
      <c r="G5" s="3378" t="s">
        <v>3474</v>
      </c>
      <c r="H5" s="3379"/>
      <c r="I5" s="3378" t="s">
        <v>3474</v>
      </c>
      <c r="J5" s="3379"/>
      <c r="K5" s="537"/>
      <c r="L5" s="2485"/>
      <c r="M5" s="2486"/>
      <c r="N5" s="2486"/>
      <c r="O5" s="2486"/>
      <c r="P5" s="3396"/>
      <c r="Q5" s="3397"/>
      <c r="R5" s="3376"/>
      <c r="S5" s="3377"/>
      <c r="T5" s="3376"/>
      <c r="U5" s="3377"/>
      <c r="V5" s="3403"/>
      <c r="W5" s="3403"/>
      <c r="X5" s="1265"/>
      <c r="Y5" s="3376"/>
      <c r="Z5" s="3377"/>
      <c r="AA5" s="3370"/>
      <c r="AB5" s="3370"/>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6"/>
      <c r="S6" s="3377"/>
      <c r="T6" s="3400"/>
      <c r="U6" s="3401"/>
      <c r="V6" s="3403"/>
      <c r="W6" s="3403"/>
      <c r="X6" s="1265"/>
      <c r="Y6" s="3400"/>
      <c r="Z6" s="3401"/>
      <c r="AA6" s="3371"/>
      <c r="AB6" s="3371"/>
      <c r="AC6" s="3389"/>
    </row>
    <row r="7" spans="1:29" s="102" customFormat="1" ht="14.5" thickBot="1">
      <c r="A7" s="352" t="s">
        <v>1679</v>
      </c>
      <c r="B7" s="353"/>
      <c r="C7" s="354">
        <f>'数据-取费表'!B2</f>
        <v>45950</v>
      </c>
      <c r="D7" s="355">
        <v>100</v>
      </c>
      <c r="E7" s="356">
        <f>C7</f>
        <v>45950</v>
      </c>
      <c r="F7" s="357">
        <f>SUMIF(59:59,YEAR(E7)&amp;"-"&amp;MONTH(E7),60:60)</f>
        <v>100</v>
      </c>
      <c r="G7" s="356">
        <f>C7</f>
        <v>45950</v>
      </c>
      <c r="H7" s="355">
        <f>SUMIF(59:59,YEAR(G7)&amp;"-"&amp;MONTH(G7),60:60)</f>
        <v>100</v>
      </c>
      <c r="I7" s="356">
        <f>C7</f>
        <v>45950</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4.5" thickBot="1">
      <c r="A8" s="352" t="s">
        <v>1681</v>
      </c>
      <c r="B8" s="353"/>
      <c r="C8" s="358" t="s">
        <v>3453</v>
      </c>
      <c r="D8" s="355">
        <v>100</v>
      </c>
      <c r="E8" s="358" t="s">
        <v>3454</v>
      </c>
      <c r="F8" s="357">
        <f>SUMIF(62:62,E8,63:63)-SUMIF(62:62,C8,63:63)+100</f>
        <v>102</v>
      </c>
      <c r="G8" s="358" t="s">
        <v>3454</v>
      </c>
      <c r="H8" s="355">
        <f>SUMIF(62:62,G8,63:63)-SUMIF(62:62,C8,63:63)+100</f>
        <v>102</v>
      </c>
      <c r="I8" s="358" t="s">
        <v>3454</v>
      </c>
      <c r="J8" s="355">
        <f>SUMIF(62:62,I8,63:63)-SUMIF(62:62,C8,63:63)+100</f>
        <v>102</v>
      </c>
      <c r="K8" s="38"/>
      <c r="L8" s="2487"/>
      <c r="M8" s="2439"/>
      <c r="N8" s="2439"/>
      <c r="O8" s="2439"/>
      <c r="P8" s="3404"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1" t="s">
        <v>3475</v>
      </c>
      <c r="D10" s="119">
        <v>100</v>
      </c>
      <c r="E10" s="3131" t="s">
        <v>3475</v>
      </c>
      <c r="F10" s="119">
        <f>SUMIF(66:66,E10,67:67)-SUMIF(66:66,C10,67:67)+100</f>
        <v>100</v>
      </c>
      <c r="G10" s="3131" t="s">
        <v>3475</v>
      </c>
      <c r="H10" s="119">
        <f>SUMIF(66:66,G10,67:67)-SUMIF(66:66,C10,67:67)+100</f>
        <v>100</v>
      </c>
      <c r="I10" s="3131" t="s">
        <v>3475</v>
      </c>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5">
      <c r="A16" s="367"/>
      <c r="B16" s="555"/>
      <c r="C16" s="1758" t="s">
        <v>3464</v>
      </c>
      <c r="D16" s="387"/>
      <c r="E16" s="1758" t="s">
        <v>3464</v>
      </c>
      <c r="F16" s="387"/>
      <c r="G16" s="1758" t="s">
        <v>3464</v>
      </c>
      <c r="H16" s="389"/>
      <c r="I16" s="1758" t="s">
        <v>3464</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5">
      <c r="A18" s="367"/>
      <c r="B18" s="401"/>
      <c r="C18" s="1758" t="s">
        <v>3478</v>
      </c>
      <c r="D18" s="389"/>
      <c r="E18" s="1758" t="s">
        <v>3478</v>
      </c>
      <c r="F18" s="389"/>
      <c r="G18" s="1758" t="s">
        <v>3478</v>
      </c>
      <c r="H18" s="387"/>
      <c r="I18" s="1758" t="s">
        <v>3478</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5">
      <c r="A20" s="367"/>
      <c r="B20" s="401"/>
      <c r="C20" s="1758" t="s">
        <v>3478</v>
      </c>
      <c r="D20" s="387"/>
      <c r="E20" s="1758" t="s">
        <v>3478</v>
      </c>
      <c r="F20" s="387"/>
      <c r="G20" s="1758" t="s">
        <v>3478</v>
      </c>
      <c r="H20" s="387"/>
      <c r="I20" s="1758" t="s">
        <v>3478</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5">
      <c r="A24" s="367"/>
      <c r="B24" s="557"/>
      <c r="C24" s="1758" t="s">
        <v>3478</v>
      </c>
      <c r="D24" s="387"/>
      <c r="E24" s="1758" t="s">
        <v>3478</v>
      </c>
      <c r="F24" s="387"/>
      <c r="G24" s="1758" t="s">
        <v>3478</v>
      </c>
      <c r="H24" s="387"/>
      <c r="I24" s="1758" t="s">
        <v>3478</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5">
      <c r="A27" s="367"/>
      <c r="B27" s="401" t="s">
        <v>1783</v>
      </c>
      <c r="C27" s="558" t="s">
        <v>3444</v>
      </c>
      <c r="D27" s="374">
        <v>100</v>
      </c>
      <c r="E27" s="542" t="s">
        <v>3476</v>
      </c>
      <c r="F27" s="374">
        <f>SUMIF(89:89,E27,90:90)-SUMIF(89:89,C27,90:90)+100</f>
        <v>102</v>
      </c>
      <c r="G27" s="558" t="s">
        <v>3446</v>
      </c>
      <c r="H27" s="374">
        <f>SUMIF(89:89,G27,90:90)-SUMIF(89:89,C27,90:90)+100</f>
        <v>98</v>
      </c>
      <c r="I27" s="542" t="s">
        <v>3444</v>
      </c>
      <c r="J27" s="374">
        <f>SUMIF(89:89,I27,90:90)-SUMIF(89:89,C27,90:90)+100</f>
        <v>100</v>
      </c>
      <c r="K27" s="538">
        <v>2</v>
      </c>
      <c r="L27" s="2491"/>
      <c r="M27" s="2486"/>
      <c r="N27" s="2486"/>
      <c r="O27" s="2486"/>
      <c r="P27" s="3407"/>
      <c r="Q27" s="1263" t="str">
        <f t="shared" ref="Q27:Q47" si="11">B27</f>
        <v>楼层</v>
      </c>
      <c r="R27" s="667" t="s">
        <v>14</v>
      </c>
      <c r="S27" s="668">
        <f>F27</f>
        <v>102</v>
      </c>
      <c r="T27" s="667" t="s">
        <v>14</v>
      </c>
      <c r="U27" s="668">
        <f>H27</f>
        <v>98</v>
      </c>
      <c r="V27" s="667" t="s">
        <v>14</v>
      </c>
      <c r="W27" s="668">
        <f>J27</f>
        <v>100</v>
      </c>
      <c r="X27" s="1265"/>
      <c r="Y27" s="3409"/>
      <c r="Z27" s="1264" t="str">
        <f>Q27</f>
        <v>楼层</v>
      </c>
      <c r="AA27" s="1264">
        <f t="shared" si="3"/>
        <v>0.98039215686274506</v>
      </c>
      <c r="AB27" s="1264">
        <f t="shared" si="4"/>
        <v>1.0204081632653061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91.79</v>
      </c>
      <c r="D34" s="119">
        <v>100</v>
      </c>
      <c r="E34" s="369">
        <v>91.79</v>
      </c>
      <c r="F34" s="364">
        <f>LOOKUP(E34,104:104,105:105)-LOOKUP(C34,104:104,105:105)+100</f>
        <v>100</v>
      </c>
      <c r="G34" s="368">
        <v>90.65</v>
      </c>
      <c r="H34" s="119">
        <f>LOOKUP(G34,104:104,105:105)-LOOKUP(C34,104:104,105:105)+100</f>
        <v>100</v>
      </c>
      <c r="I34" s="368">
        <v>91.79</v>
      </c>
      <c r="J34" s="119">
        <f>LOOKUP(I34,104:104,105:105)-LOOKUP(C34,104:104,105:105)+100</f>
        <v>100</v>
      </c>
      <c r="K34" s="539"/>
      <c r="L34" s="2490"/>
      <c r="M34" s="2492"/>
      <c r="N34" s="2492"/>
      <c r="O34" s="2492"/>
      <c r="P34" s="3411"/>
      <c r="Q34" s="531" t="str">
        <f t="shared" si="11"/>
        <v>项目建筑规模</v>
      </c>
      <c r="R34" s="669" t="s">
        <v>14</v>
      </c>
      <c r="S34" s="670">
        <f t="shared" si="12"/>
        <v>100</v>
      </c>
      <c r="T34" s="669" t="s">
        <v>14</v>
      </c>
      <c r="U34" s="670">
        <f t="shared" si="13"/>
        <v>100</v>
      </c>
      <c r="V34" s="669" t="s">
        <v>14</v>
      </c>
      <c r="W34" s="670">
        <f t="shared" si="14"/>
        <v>100</v>
      </c>
      <c r="X34" s="671"/>
      <c r="Y34" s="3413"/>
      <c r="Z34" s="672" t="str">
        <f t="shared" si="15"/>
        <v>项目建筑规模</v>
      </c>
      <c r="AA34" s="1264">
        <f t="shared" si="3"/>
        <v>1</v>
      </c>
      <c r="AB34" s="1264">
        <f t="shared" si="4"/>
        <v>1</v>
      </c>
      <c r="AC34" s="1812">
        <f t="shared" si="5"/>
        <v>1</v>
      </c>
    </row>
    <row r="35" spans="1:29" ht="15.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5">
      <c r="A43" s="409"/>
      <c r="B43" s="364" t="s">
        <v>1792</v>
      </c>
      <c r="C43" s="399" t="s">
        <v>3482</v>
      </c>
      <c r="D43" s="374">
        <v>100</v>
      </c>
      <c r="E43" s="399" t="s">
        <v>3482</v>
      </c>
      <c r="F43" s="400">
        <f>SUMIF(123:123,E43,124:124)-SUMIF(123:123,C43,124:124)+100</f>
        <v>100</v>
      </c>
      <c r="G43" s="399" t="s">
        <v>3482</v>
      </c>
      <c r="H43" s="374">
        <f>SUMIF(123:123,G43,124:124)-SUMIF(123:123,C43,124:124)+100</f>
        <v>100</v>
      </c>
      <c r="I43" s="399" t="s">
        <v>3482</v>
      </c>
      <c r="J43" s="374">
        <f>SUMIF(123:123,I43,124:124)-SUMIF(123:123,C43,124:124)+100</f>
        <v>100</v>
      </c>
      <c r="K43" s="538">
        <v>1</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c r="A48" s="416" t="s">
        <v>1708</v>
      </c>
      <c r="B48" s="417"/>
      <c r="C48" s="1081" t="s">
        <v>0</v>
      </c>
      <c r="D48" s="418"/>
      <c r="E48" s="419">
        <v>18521</v>
      </c>
      <c r="F48" s="420"/>
      <c r="G48" s="421">
        <v>15775</v>
      </c>
      <c r="H48" s="422"/>
      <c r="I48" s="419">
        <v>15580</v>
      </c>
      <c r="J48" s="422"/>
      <c r="K48" s="674"/>
      <c r="L48" s="2493"/>
      <c r="M48" s="2486"/>
      <c r="N48" s="2486"/>
      <c r="O48" s="2486"/>
      <c r="P48" s="3386" t="str">
        <f>A48</f>
        <v>成交单价（元/平方米）</v>
      </c>
      <c r="Q48" s="3415"/>
      <c r="R48" s="3403">
        <f>E48</f>
        <v>18521</v>
      </c>
      <c r="S48" s="3403"/>
      <c r="T48" s="3403">
        <f>G48</f>
        <v>15775</v>
      </c>
      <c r="U48" s="3403"/>
      <c r="V48" s="3403">
        <f>I48</f>
        <v>15580</v>
      </c>
      <c r="W48" s="3403"/>
      <c r="X48" s="385"/>
      <c r="Y48" s="673"/>
      <c r="Z48" s="385"/>
      <c r="AA48" s="385"/>
      <c r="AB48" s="385"/>
      <c r="AC48" s="555"/>
    </row>
    <row r="49" spans="1:29" ht="14.5" thickBot="1">
      <c r="A49" s="423" t="s">
        <v>1793</v>
      </c>
      <c r="B49" s="424"/>
      <c r="C49" s="1082">
        <f>R50</f>
        <v>16286</v>
      </c>
      <c r="D49" s="2141" t="s">
        <v>2138</v>
      </c>
      <c r="E49" s="1083">
        <f>R49</f>
        <v>17802</v>
      </c>
      <c r="F49" s="2142"/>
      <c r="G49" s="1082">
        <f>T49</f>
        <v>15781</v>
      </c>
      <c r="H49" s="2142"/>
      <c r="I49" s="1083">
        <f>V49</f>
        <v>15275</v>
      </c>
      <c r="J49" s="2142"/>
      <c r="K49" s="2144">
        <f>F49+H49+J49</f>
        <v>0</v>
      </c>
      <c r="L49" s="2493"/>
      <c r="M49" s="2486"/>
      <c r="N49" s="2486"/>
      <c r="O49" s="2486"/>
      <c r="P49" s="3386" t="str">
        <f>A49</f>
        <v>比较价值（元/平方米）</v>
      </c>
      <c r="Q49" s="3415"/>
      <c r="R49" s="3403">
        <f>IF(F1="售价",ROUND(PRODUCT(R48,AA7:AA47),0),ROUND(PRODUCT(R48,AA7:AA47),1))</f>
        <v>17802</v>
      </c>
      <c r="S49" s="3403"/>
      <c r="T49" s="3403">
        <f>IF(F1="售价",ROUND(PRODUCT(T48,AB7:AB47),0),ROUND(PRODUCT(T48,AB7:AB47),1))</f>
        <v>15781</v>
      </c>
      <c r="U49" s="3403"/>
      <c r="V49" s="3403">
        <f>IF(F1="售价",ROUND(PRODUCT(V48,AC7:AC47),0),ROUND(PRODUCT(V48,AC7:AC47),1))</f>
        <v>15275</v>
      </c>
      <c r="W49" s="3403"/>
      <c r="X49" s="385"/>
      <c r="Y49" s="385"/>
      <c r="Z49" s="385"/>
      <c r="AA49" s="385"/>
      <c r="AB49" s="385"/>
      <c r="AC49" s="555"/>
    </row>
    <row r="50" spans="1:29" ht="14.5" thickBot="1">
      <c r="A50" s="427" t="s">
        <v>1794</v>
      </c>
      <c r="B50" s="428"/>
      <c r="C50" s="351">
        <f>R50</f>
        <v>16286</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16286</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4.0388720368497832E-2</v>
      </c>
      <c r="F53" s="435" t="str">
        <f>IF(OR(E53&gt;=0.3,E53&lt;=-0.3),"超过30%","")</f>
        <v/>
      </c>
      <c r="G53" s="434">
        <f>IF(G48&lt;G49,G49/G48-1,G48/G49-1)</f>
        <v>3.8034865293190556E-4</v>
      </c>
      <c r="H53" s="435" t="str">
        <f>IF(OR(G53&gt;=0.3,G53&lt;=-0.3),"超过30%","")</f>
        <v/>
      </c>
      <c r="I53" s="434">
        <f>IF(I48&lt;I49,I49/I48-1,I48/I49-1)</f>
        <v>1.9967266775777315E-2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0.12806539509536785</v>
      </c>
      <c r="F54" s="435" t="str">
        <f>IF(OR(E54&gt;=0.2,E54&lt;=-0.2),"超过20%","")</f>
        <v/>
      </c>
      <c r="G54" s="434">
        <f>IF(G49&lt;I49,I49/G49-1,G49/I49-1)</f>
        <v>3.3126022913257058E-2</v>
      </c>
      <c r="H54" s="435" t="str">
        <f>IF(OR(G54&gt;=0.2,G54&lt;=-0.2),"超过20%","")</f>
        <v/>
      </c>
      <c r="I54" s="434">
        <f>IF(I49&lt;E49,E49/I49-1,I49/E49-1)</f>
        <v>0.1654337152209493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0.17407290015847865</v>
      </c>
      <c r="F55" s="435" t="str">
        <f>IF(OR(E55&gt;=0.3,E55&lt;=-0.3),"超过30%","")</f>
        <v/>
      </c>
      <c r="G55" s="434">
        <f>IF(G48&lt;I48,I48/G48-1,G48/I48-1)</f>
        <v>1.2516046213093768E-2</v>
      </c>
      <c r="H55" s="435" t="str">
        <f>IF(OR(G55&gt;=0.3,G55&lt;=-0.3),"超过30%","")</f>
        <v/>
      </c>
      <c r="I55" s="434">
        <f>IF(I48&lt;E48,E48/I48-1,I48/E48-1)</f>
        <v>0.18876765083440317</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3449</v>
      </c>
      <c r="D87" s="3170" t="s">
        <v>3450</v>
      </c>
      <c r="E87" s="3170" t="s">
        <v>3451</v>
      </c>
      <c r="F87" s="3170" t="s">
        <v>3452</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3445</v>
      </c>
      <c r="E89" s="3170" t="s">
        <v>3447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0" t="s">
        <v>3481</v>
      </c>
      <c r="D123" s="3170" t="s">
        <v>3483</v>
      </c>
      <c r="E123" s="3170" t="s">
        <v>3484</v>
      </c>
      <c r="F123" s="3518" t="s">
        <v>3485</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35.93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81.335099999999997</v>
      </c>
      <c r="C2" s="1289" t="s">
        <v>879</v>
      </c>
      <c r="D2" s="1375">
        <f ca="1">C40+J29+L46</f>
        <v>813351</v>
      </c>
      <c r="E2" s="1295" t="s">
        <v>880</v>
      </c>
      <c r="F2" s="1296"/>
      <c r="G2" s="2477"/>
      <c r="H2" s="2467"/>
      <c r="I2" s="2467"/>
      <c r="J2" s="2467"/>
      <c r="K2" s="2468"/>
      <c r="L2" s="2467"/>
      <c r="M2" s="2467"/>
    </row>
    <row r="3" spans="1:37" ht="18" customHeight="1" thickBot="1">
      <c r="A3" s="1297" t="s">
        <v>881</v>
      </c>
      <c r="B3" s="1298">
        <f ca="1">IF(ISERROR(D2/F43),0,ROUND(D2/F43,0))</f>
        <v>8861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48600</v>
      </c>
      <c r="D6" s="147" t="s">
        <v>2106</v>
      </c>
      <c r="E6" s="294" t="s">
        <v>696</v>
      </c>
      <c r="F6" s="295">
        <f ca="1">INDIRECT("'数据-取费表'!u"&amp;$G$1)</f>
        <v>4500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387208</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321265</v>
      </c>
      <c r="D14" s="1257" t="s">
        <v>708</v>
      </c>
      <c r="E14" s="1255"/>
      <c r="F14" s="311"/>
      <c r="G14" s="1292"/>
      <c r="H14" s="928" t="s">
        <v>398</v>
      </c>
      <c r="I14" s="294" t="s">
        <v>709</v>
      </c>
      <c r="J14" s="21">
        <f ca="1">C29</f>
        <v>472205</v>
      </c>
      <c r="K14" s="12"/>
      <c r="L14" s="759"/>
      <c r="M14" s="760"/>
    </row>
    <row r="15" spans="1:37" s="1304" customFormat="1" ht="18" customHeight="1" thickBot="1">
      <c r="A15" s="928" t="s">
        <v>399</v>
      </c>
      <c r="B15" s="294" t="s">
        <v>710</v>
      </c>
      <c r="C15" s="21">
        <f ca="1">ROUND(C14*F15,0)</f>
        <v>16063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4722</v>
      </c>
      <c r="K16" s="1024" t="s">
        <v>715</v>
      </c>
      <c r="L16" s="1025"/>
      <c r="M16" s="1009"/>
    </row>
    <row r="17" spans="1:37" s="1304" customFormat="1" ht="18" customHeight="1">
      <c r="A17" s="928" t="s">
        <v>681</v>
      </c>
      <c r="B17" s="294" t="s">
        <v>716</v>
      </c>
      <c r="C17" s="21">
        <f ca="1">ROUND(F17*(F43+INDIRECT("'数据-取费表'!S"&amp;$G$1)),0)</f>
        <v>18358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6425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362111</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7242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4722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11561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-4722</v>
      </c>
      <c r="K25" s="1032" t="s">
        <v>753</v>
      </c>
      <c r="L25" s="1033"/>
      <c r="M25" s="1034"/>
    </row>
    <row r="26" spans="1:37" ht="18" customHeight="1">
      <c r="A26" s="928" t="s">
        <v>397</v>
      </c>
      <c r="B26" s="294" t="s">
        <v>754</v>
      </c>
      <c r="C26" s="21">
        <f ca="1">ROUND((C19+C20)*F26,0)</f>
        <v>55403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472205</v>
      </c>
      <c r="D29" s="1029"/>
      <c r="E29" s="1027"/>
      <c r="F29" s="1030"/>
      <c r="G29" s="1303"/>
      <c r="H29" s="325" t="s">
        <v>396</v>
      </c>
      <c r="I29" s="326" t="s">
        <v>768</v>
      </c>
      <c r="J29" s="327">
        <f ca="1">ROUND(J26/(1+F40)^F41,0)</f>
        <v>0</v>
      </c>
      <c r="K29" s="328" t="s">
        <v>769</v>
      </c>
      <c r="L29" s="329"/>
      <c r="M29" s="330">
        <f ca="1">INDIRECT("'数据-取费表'!k"&amp;$G$1)</f>
        <v>91.79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8836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3240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4722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387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487</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39825</v>
      </c>
      <c r="D39" s="1032" t="s">
        <v>773</v>
      </c>
      <c r="E39" s="1033"/>
      <c r="F39" s="1034"/>
      <c r="G39" s="1292"/>
      <c r="H39" s="2472"/>
      <c r="I39" s="1305"/>
      <c r="J39" s="1306"/>
      <c r="K39" s="2470"/>
      <c r="L39" s="2472"/>
      <c r="M39" s="2472"/>
    </row>
    <row r="40" spans="1:18" ht="18" customHeight="1">
      <c r="A40" s="291" t="s">
        <v>395</v>
      </c>
      <c r="B40" s="292" t="s">
        <v>774</v>
      </c>
      <c r="C40" s="293">
        <f ca="1">ROUND(C39*(1-((1+F42)/(1+F40))^F41)/(F40-F42),0)</f>
        <v>799301</v>
      </c>
      <c r="D40" s="316" t="s">
        <v>758</v>
      </c>
      <c r="E40" s="294" t="s">
        <v>759</v>
      </c>
      <c r="F40" s="304">
        <f ca="1">INDIRECT("'数据-取费表'!I"&amp;$G$1)</f>
        <v>5.5E-2</v>
      </c>
      <c r="G40" s="1292"/>
      <c r="H40" s="1366">
        <f ca="1">C39/C5</f>
        <v>0.81841721296315328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35.93</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8708</v>
      </c>
      <c r="D43" s="328" t="s">
        <v>777</v>
      </c>
      <c r="E43" s="329" t="s">
        <v>778</v>
      </c>
      <c r="F43" s="330">
        <f ca="1">INDIRECT("'数据-取费表'!k"&amp;$G$1)</f>
        <v>91.79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-87.862399999999994</v>
      </c>
      <c r="D45" s="3129" t="s">
        <v>3351</v>
      </c>
      <c r="E45" s="1307"/>
      <c r="F45" s="1307"/>
      <c r="O45" s="1310" t="s">
        <v>808</v>
      </c>
      <c r="P45" s="1366"/>
      <c r="Q45" s="1366"/>
      <c r="R45" s="1366"/>
    </row>
    <row r="46" spans="1:18" s="1292" customFormat="1" ht="14" thickBot="1">
      <c r="A46" s="1311" t="s">
        <v>809</v>
      </c>
      <c r="C46" s="1312">
        <f ca="1">ROUND(C45,0)</f>
        <v>-88</v>
      </c>
      <c r="D46" s="1313" t="str">
        <f>C2</f>
        <v>万元</v>
      </c>
      <c r="I46" s="1314" t="s">
        <v>810</v>
      </c>
      <c r="J46" s="1315"/>
      <c r="K46" s="1316"/>
      <c r="L46" s="1317">
        <f ca="1">IF(M47="住宅",0,IF(L48&gt;J51,L60,J60))</f>
        <v>14050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799301</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35.93</v>
      </c>
      <c r="O48" s="1325" t="s">
        <v>404</v>
      </c>
      <c r="P48" s="1326" t="s">
        <v>821</v>
      </c>
      <c r="Q48" s="1327">
        <f ca="1">J60</f>
        <v>14050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472205</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231114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35.93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35.93</v>
      </c>
      <c r="K53" s="3364" t="s">
        <v>837</v>
      </c>
      <c r="L53" s="3365"/>
      <c r="O53" s="1325" t="s">
        <v>409</v>
      </c>
      <c r="P53" s="1326" t="s">
        <v>838</v>
      </c>
      <c r="Q53" s="1327">
        <f ca="1">Q47+Q48</f>
        <v>813351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387208</v>
      </c>
      <c r="D56" s="1352"/>
      <c r="E56" s="1353"/>
      <c r="F56" s="1345"/>
      <c r="I56" s="1354" t="s">
        <v>842</v>
      </c>
      <c r="J56" s="1355" t="s">
        <v>3433</v>
      </c>
      <c r="K56" s="1328" t="s">
        <v>843</v>
      </c>
      <c r="L56" s="1331" t="str">
        <f ca="1">IF(L48&lt;J51,"——",L48-J51)</f>
        <v>——</v>
      </c>
      <c r="O56" s="1325" t="s">
        <v>403</v>
      </c>
      <c r="P56" s="1326" t="s">
        <v>817</v>
      </c>
      <c r="Q56" s="1327">
        <f ca="1">C40+J29</f>
        <v>799301</v>
      </c>
      <c r="R56" s="1327" t="s">
        <v>818</v>
      </c>
    </row>
    <row r="57" spans="1:18" s="1292" customFormat="1" ht="26.5" thickBot="1">
      <c r="A57" s="1356"/>
      <c r="B57" s="896" t="s">
        <v>767</v>
      </c>
      <c r="C57" s="230">
        <f ca="1">C29</f>
        <v>472205</v>
      </c>
      <c r="D57" s="1357"/>
      <c r="E57" s="1358"/>
      <c r="F57" s="1359"/>
      <c r="I57" s="1360" t="s">
        <v>844</v>
      </c>
      <c r="J57" s="1361">
        <f ca="1">IF(OR(M47="住宅",J51&lt;L48,J56="是"),"——",J51-L48)</f>
        <v>13.07</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5109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188882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14050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799301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4722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387</v>
      </c>
      <c r="D65" s="910" t="s">
        <v>743</v>
      </c>
      <c r="E65" s="896" t="s">
        <v>744</v>
      </c>
      <c r="F65" s="321">
        <f t="shared" ca="1" si="0"/>
        <v>1E-3</v>
      </c>
      <c r="I65" s="1367" t="s">
        <v>867</v>
      </c>
      <c r="J65" s="610">
        <v>40</v>
      </c>
      <c r="K65" s="610">
        <v>30</v>
      </c>
      <c r="L65" s="610">
        <v>50</v>
      </c>
      <c r="M65" s="1369">
        <v>0.02</v>
      </c>
      <c r="O65" s="1325" t="s">
        <v>403</v>
      </c>
      <c r="P65" s="1326" t="s">
        <v>868</v>
      </c>
      <c r="Q65" s="1327">
        <f ca="1">C40+J29</f>
        <v>799301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-5109</v>
      </c>
      <c r="D67" s="909" t="s">
        <v>753</v>
      </c>
      <c r="E67" s="914"/>
      <c r="F67" s="915"/>
      <c r="O67" s="1334" t="s">
        <v>405</v>
      </c>
      <c r="P67" s="1326" t="s">
        <v>850</v>
      </c>
      <c r="Q67" s="1370">
        <f ca="1">L51</f>
        <v>231114</v>
      </c>
      <c r="R67" s="1327" t="s">
        <v>870</v>
      </c>
    </row>
    <row r="68" spans="1:18" s="1292" customFormat="1" ht="16" thickBot="1">
      <c r="A68" s="893" t="s">
        <v>395</v>
      </c>
      <c r="B68" s="894" t="s">
        <v>774</v>
      </c>
      <c r="C68" s="293">
        <f ca="1">ROUND(C67*(1-((1+F70)/(1+F68))^F69)/(F68-F70),0)</f>
        <v>-79323</v>
      </c>
      <c r="D68" s="911" t="s">
        <v>758</v>
      </c>
      <c r="E68" s="896" t="s">
        <v>759</v>
      </c>
      <c r="F68" s="304">
        <f ca="1">F40</f>
        <v>5.5E-2</v>
      </c>
      <c r="O68" s="1334" t="s">
        <v>406</v>
      </c>
      <c r="P68" s="1371" t="s">
        <v>871</v>
      </c>
      <c r="Q68" s="1327">
        <f ca="1">ROUND(Q69-Q70*Q71,0)</f>
        <v>12720</v>
      </c>
      <c r="R68" s="1327" t="s">
        <v>414</v>
      </c>
    </row>
    <row r="69" spans="1:18" s="1292" customFormat="1" ht="13.5" thickBot="1">
      <c r="A69" s="897"/>
      <c r="B69" s="898"/>
      <c r="C69" s="298"/>
      <c r="D69" s="916" t="s">
        <v>762</v>
      </c>
      <c r="E69" s="896" t="s">
        <v>763</v>
      </c>
      <c r="F69" s="324">
        <f ca="1">F41</f>
        <v>35.93</v>
      </c>
      <c r="O69" s="1334" t="s">
        <v>411</v>
      </c>
      <c r="P69" s="1371" t="s">
        <v>872</v>
      </c>
      <c r="Q69" s="1327">
        <f ca="1">C39</f>
        <v>39825</v>
      </c>
      <c r="R69" s="1327" t="s">
        <v>818</v>
      </c>
    </row>
    <row r="70" spans="1:18" s="1292" customFormat="1" ht="13.5" thickBot="1">
      <c r="A70" s="900"/>
      <c r="B70" s="901"/>
      <c r="C70" s="302"/>
      <c r="D70" s="912"/>
      <c r="E70" s="896" t="s">
        <v>766</v>
      </c>
      <c r="F70" s="991"/>
      <c r="O70" s="1334" t="s">
        <v>412</v>
      </c>
      <c r="P70" s="1371" t="s">
        <v>873</v>
      </c>
      <c r="Q70" s="1327">
        <f ca="1">C13</f>
        <v>387208</v>
      </c>
      <c r="R70" s="1327" t="s">
        <v>818</v>
      </c>
    </row>
    <row r="71" spans="1:18" s="1292" customFormat="1" ht="13.5" thickBot="1">
      <c r="A71" s="917" t="s">
        <v>396</v>
      </c>
      <c r="B71" s="918" t="s">
        <v>776</v>
      </c>
      <c r="C71" s="327">
        <f ca="1">ROUND(C68/F71,0)</f>
        <v>-864</v>
      </c>
      <c r="D71" s="919" t="s">
        <v>777</v>
      </c>
      <c r="E71" s="920" t="s">
        <v>778</v>
      </c>
      <c r="F71" s="330">
        <f ca="1">F43</f>
        <v>91.79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27105</v>
      </c>
      <c r="D75" s="1292"/>
      <c r="E75" s="1292"/>
      <c r="F75" s="1292"/>
      <c r="K75" s="1309"/>
      <c r="L75" s="1292"/>
      <c r="O75" s="1325" t="s">
        <v>409</v>
      </c>
      <c r="P75" s="1326" t="s">
        <v>838</v>
      </c>
      <c r="Q75" s="1327">
        <f ca="1">Q65+Q66</f>
        <v>799301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0.31899999999999995</v>
      </c>
    </row>
    <row r="80" spans="1:18" ht="13">
      <c r="B80" s="331" t="s">
        <v>800</v>
      </c>
      <c r="C80" s="266">
        <f ca="1">ROUND(C75/C39,3)</f>
        <v>0.68100000000000005</v>
      </c>
    </row>
    <row r="81" spans="2:3" ht="13.5">
      <c r="B81" s="262" t="s">
        <v>801</v>
      </c>
      <c r="C81" s="230"/>
    </row>
    <row r="82" spans="2:3" ht="13">
      <c r="B82" s="265" t="s">
        <v>802</v>
      </c>
      <c r="C82" s="267">
        <f ca="1">1-C83</f>
        <v>0.51600000000000001</v>
      </c>
    </row>
    <row r="83" spans="2:3" ht="13">
      <c r="B83" s="265" t="s">
        <v>803</v>
      </c>
      <c r="C83" s="266">
        <f ca="1">ROUND(C13/C40,3)</f>
        <v>0.48399999999999999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9" t="s">
        <v>2317</v>
      </c>
      <c r="K2" s="3420"/>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1" t="s">
        <v>2327</v>
      </c>
      <c r="K3" s="3422"/>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1" t="s">
        <v>2329</v>
      </c>
      <c r="K4" s="3422"/>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3" t="s">
        <v>2333</v>
      </c>
      <c r="B6" s="3424"/>
      <c r="C6" s="3425"/>
      <c r="D6" s="2620"/>
      <c r="E6" s="2621"/>
      <c r="F6" s="2622"/>
      <c r="G6" s="2623"/>
      <c r="H6" s="2598"/>
      <c r="I6" s="2599"/>
      <c r="J6" s="3426">
        <v>1</v>
      </c>
      <c r="K6" s="342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6"/>
      <c r="K7" s="342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0" t="s">
        <v>2347</v>
      </c>
      <c r="C8" s="3431"/>
      <c r="D8" s="2639" t="s">
        <v>2348</v>
      </c>
      <c r="E8" s="2640" t="s">
        <v>2349</v>
      </c>
      <c r="F8" s="2641" t="s">
        <v>2350</v>
      </c>
      <c r="G8" s="2642"/>
      <c r="H8" s="2598"/>
      <c r="I8" s="2599"/>
      <c r="J8" s="3426"/>
      <c r="K8" s="342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0" t="s">
        <v>2353</v>
      </c>
      <c r="C9" s="3431"/>
      <c r="D9" s="2639">
        <f>ROUND(D6*E9,0)</f>
        <v>0</v>
      </c>
      <c r="E9" s="2643"/>
      <c r="F9" s="2644" t="s">
        <v>2354</v>
      </c>
      <c r="G9" s="2623"/>
      <c r="H9" s="2598"/>
      <c r="I9" s="2599"/>
      <c r="J9" s="3426"/>
      <c r="K9" s="3428"/>
      <c r="L9" s="2633" t="s">
        <v>2355</v>
      </c>
      <c r="M9" s="2634"/>
      <c r="N9" s="2610"/>
      <c r="O9" s="2635"/>
      <c r="P9" s="2635"/>
      <c r="Q9" s="2636">
        <v>365</v>
      </c>
      <c r="R9" s="2637">
        <f t="shared" si="0"/>
        <v>0</v>
      </c>
      <c r="S9" s="2591"/>
      <c r="T9" s="2591"/>
      <c r="U9" s="2591"/>
      <c r="V9" s="2599"/>
    </row>
    <row r="10" spans="1:22" s="2603" customFormat="1" ht="13.15" customHeight="1">
      <c r="A10" s="2638">
        <v>2</v>
      </c>
      <c r="B10" s="3430" t="s">
        <v>2356</v>
      </c>
      <c r="C10" s="3431"/>
      <c r="D10" s="2639">
        <f>ROUND(D6*E10,0)</f>
        <v>0</v>
      </c>
      <c r="E10" s="2643"/>
      <c r="F10" s="2644" t="s">
        <v>2357</v>
      </c>
      <c r="G10" s="2623"/>
      <c r="H10" s="2598"/>
      <c r="I10" s="2599"/>
      <c r="J10" s="3426"/>
      <c r="K10" s="3428"/>
      <c r="L10" s="2633" t="s">
        <v>2358</v>
      </c>
      <c r="M10" s="2634"/>
      <c r="N10" s="2610"/>
      <c r="O10" s="2635"/>
      <c r="P10" s="2635"/>
      <c r="Q10" s="2636">
        <v>365</v>
      </c>
      <c r="R10" s="2637">
        <f t="shared" si="0"/>
        <v>0</v>
      </c>
      <c r="S10" s="2591"/>
      <c r="T10" s="2591"/>
      <c r="U10" s="2591"/>
      <c r="V10" s="2599"/>
    </row>
    <row r="11" spans="1:22" s="2603" customFormat="1" ht="13.15" customHeight="1">
      <c r="A11" s="2638">
        <v>3</v>
      </c>
      <c r="B11" s="3430" t="s">
        <v>2359</v>
      </c>
      <c r="C11" s="3431"/>
      <c r="D11" s="2639">
        <f>D12+D14+D15+D16</f>
        <v>0</v>
      </c>
      <c r="E11" s="2645" t="e">
        <f>D11/D6</f>
        <v>#DIV/0!</v>
      </c>
      <c r="F11" s="2641"/>
      <c r="G11" s="2642"/>
      <c r="H11" s="2598"/>
      <c r="I11" s="2599"/>
      <c r="J11" s="3426"/>
      <c r="K11" s="342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2" t="s">
        <v>2362</v>
      </c>
      <c r="C12" s="3433"/>
      <c r="D12" s="2647">
        <f>ROUND(D13*1.2%*(1-30%),0)</f>
        <v>0</v>
      </c>
      <c r="E12" s="2648">
        <v>1.2E-2</v>
      </c>
      <c r="F12" s="2641" t="s">
        <v>2363</v>
      </c>
      <c r="G12" s="2642"/>
      <c r="H12" s="2598"/>
      <c r="I12" s="2599"/>
      <c r="J12" s="3426"/>
      <c r="K12" s="342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6"/>
      <c r="K13" s="342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2" t="s">
        <v>2368</v>
      </c>
      <c r="C14" s="3433"/>
      <c r="D14" s="2647">
        <f>ROUND(E14*B5/10000,0)</f>
        <v>0</v>
      </c>
      <c r="E14" s="2636"/>
      <c r="F14" s="2641" t="s">
        <v>2369</v>
      </c>
      <c r="G14" s="2642"/>
      <c r="H14" s="2598"/>
      <c r="I14" s="2599"/>
      <c r="J14" s="3426"/>
      <c r="K14" s="342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2" t="s">
        <v>2372</v>
      </c>
      <c r="C15" s="3433"/>
      <c r="D15" s="2647">
        <f>ROUND(D6*E15,0)</f>
        <v>0</v>
      </c>
      <c r="E15" s="2648">
        <v>5.5E-2</v>
      </c>
      <c r="F15" s="2641" t="s">
        <v>2373</v>
      </c>
      <c r="G15" s="2623"/>
      <c r="H15" s="2598"/>
      <c r="I15" s="2599"/>
      <c r="J15" s="3426">
        <v>2</v>
      </c>
      <c r="K15" s="342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2" t="s">
        <v>2381</v>
      </c>
      <c r="C16" s="3433"/>
      <c r="D16" s="2658">
        <f>D6*E16</f>
        <v>0</v>
      </c>
      <c r="E16" s="2659"/>
      <c r="F16" s="2644" t="s">
        <v>2382</v>
      </c>
      <c r="G16" s="2623"/>
      <c r="H16" s="2598"/>
      <c r="I16" s="2599"/>
      <c r="J16" s="3426"/>
      <c r="K16" s="342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4" t="s">
        <v>2384</v>
      </c>
      <c r="C17" s="3435"/>
      <c r="D17" s="2661">
        <f>ROUND(D6*E17,0)</f>
        <v>0</v>
      </c>
      <c r="E17" s="2662"/>
      <c r="F17" s="2663" t="s">
        <v>2385</v>
      </c>
      <c r="G17" s="2623"/>
      <c r="H17" s="2598"/>
      <c r="I17" s="2599"/>
      <c r="J17" s="3426"/>
      <c r="K17" s="342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6"/>
      <c r="K18" s="342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6"/>
      <c r="K19" s="342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6">
        <v>3</v>
      </c>
      <c r="K20" s="342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6"/>
      <c r="K21" s="342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6"/>
      <c r="K22" s="342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6"/>
      <c r="K23" s="342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6"/>
      <c r="K24" s="342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9" t="s">
        <v>2317</v>
      </c>
      <c r="K32" s="3420"/>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1" t="s">
        <v>2327</v>
      </c>
      <c r="K33" s="3422"/>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1" t="s">
        <v>2329</v>
      </c>
      <c r="K34" s="342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6">
        <v>1</v>
      </c>
      <c r="K36" s="342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6"/>
      <c r="K40" s="342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81.335099999999997</v>
      </c>
      <c r="C2" s="1729" t="s">
        <v>1651</v>
      </c>
      <c r="D2" s="1730" t="s">
        <v>1652</v>
      </c>
      <c r="E2" s="2392">
        <f>SUM(E6:E13)</f>
        <v>91.79</v>
      </c>
      <c r="F2" s="2478"/>
      <c r="G2" s="459"/>
      <c r="H2" s="459"/>
      <c r="I2" s="459"/>
      <c r="J2" s="459"/>
      <c r="K2" s="459"/>
      <c r="L2" s="459"/>
      <c r="M2" s="459"/>
      <c r="N2" s="459"/>
      <c r="O2" s="459"/>
      <c r="P2" s="459"/>
      <c r="Q2" s="459"/>
      <c r="R2" s="459"/>
      <c r="S2" s="459"/>
    </row>
    <row r="3" spans="1:22" ht="15.5">
      <c r="A3" s="1728" t="s">
        <v>686</v>
      </c>
      <c r="B3" s="2386">
        <f ca="1">ROUND(B2*10000/E2,0)</f>
        <v>8861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81.335099999999997</v>
      </c>
      <c r="C6" s="1729" t="s">
        <v>1651</v>
      </c>
      <c r="D6" s="2478"/>
      <c r="E6" s="2391">
        <f>IF(OR(A6=0,F6="否"),0,'数据-取费表'!K6+'数据-取费表'!S6)</f>
        <v>91.79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91.79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380" t="s">
        <v>1673</v>
      </c>
      <c r="D5" s="3381"/>
      <c r="E5" s="3443" t="s">
        <v>1674</v>
      </c>
      <c r="F5" s="3444"/>
      <c r="G5" s="3380" t="s">
        <v>1675</v>
      </c>
      <c r="H5" s="3381"/>
      <c r="I5" s="3380" t="s">
        <v>1676</v>
      </c>
      <c r="J5" s="3381"/>
      <c r="K5" s="1745"/>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405"/>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91.79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403"/>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403"/>
      <c r="AC6" s="3371"/>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受贵公司委托，我公司对北京市通州区兴贸三街18号院5号楼8层812房地产抵押价值进行了预评估。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估价对象为北京市通州区兴贸三街18号院5号楼8层812房地产，为郑林所有。根据《国有土地使用证》[]，估价对象（分摊）出让国有建设用地使用权面积为0平方米，建筑面积为91.79平方米。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18号院5号楼8层812房地产,属郑林开发建设的办公项目，该项目尚在开发建设中。根据《国有土地使用证》[]，估价对象（分摊）出让国有建设用地使用权面积为0平方米，规划建筑面积为91.79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兴贸三街18号院5号楼8层812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860"/>
      <c r="M5" s="861"/>
      <c r="N5" s="861"/>
      <c r="O5" s="861"/>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860"/>
      <c r="M6" s="861"/>
      <c r="N6" s="861"/>
      <c r="O6" s="861"/>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415"/>
      <c r="Q10" s="530" t="str">
        <f t="shared" si="6"/>
        <v>土地使用年限（年）</v>
      </c>
      <c r="R10" s="664" t="s">
        <v>14</v>
      </c>
      <c r="S10" s="665">
        <f t="shared" si="0"/>
        <v>110</v>
      </c>
      <c r="T10" s="664" t="s">
        <v>14</v>
      </c>
      <c r="U10" s="665">
        <f t="shared" si="1"/>
        <v>110</v>
      </c>
      <c r="V10" s="664" t="s">
        <v>14</v>
      </c>
      <c r="W10" s="665">
        <f t="shared" si="2"/>
        <v>110</v>
      </c>
      <c r="X10" s="666"/>
      <c r="Y10" s="3337"/>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91.79</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91.79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415"/>
      <c r="Q10" s="530" t="str">
        <f t="shared" si="6"/>
        <v>土地使用年限（年）</v>
      </c>
      <c r="R10" s="664" t="s">
        <v>14</v>
      </c>
      <c r="S10" s="665">
        <f t="shared" si="0"/>
        <v>110</v>
      </c>
      <c r="T10" s="664" t="s">
        <v>14</v>
      </c>
      <c r="U10" s="665">
        <f t="shared" si="1"/>
        <v>110</v>
      </c>
      <c r="V10" s="664" t="s">
        <v>14</v>
      </c>
      <c r="W10" s="665">
        <f t="shared" si="2"/>
        <v>110</v>
      </c>
      <c r="X10" s="666"/>
      <c r="Y10" s="3337"/>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91.79</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69</v>
      </c>
      <c r="C2" s="1984" t="s">
        <v>2074</v>
      </c>
      <c r="D2" s="1984" t="s">
        <v>2075</v>
      </c>
      <c r="E2" s="2397">
        <f ca="1">SUMIF(E6:E13,"&lt;&gt;#ref!",E6:E13)</f>
        <v>91.79</v>
      </c>
      <c r="F2" s="2543"/>
      <c r="G2" s="2543"/>
      <c r="H2" s="2543"/>
      <c r="I2" s="2543"/>
      <c r="J2" s="2543"/>
      <c r="K2" s="2543"/>
      <c r="L2" s="2543"/>
      <c r="M2" s="2543"/>
      <c r="N2" s="2543"/>
      <c r="O2" s="2543"/>
      <c r="P2" s="2543"/>
    </row>
    <row r="3" spans="1:16" ht="15.5">
      <c r="A3" s="1984" t="s">
        <v>2076</v>
      </c>
      <c r="B3" s="2387">
        <f ca="1">ROUND(B2*10000/E2,0)</f>
        <v>7517</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69</v>
      </c>
      <c r="C6" s="1984" t="s">
        <v>2074</v>
      </c>
      <c r="D6" s="2543"/>
      <c r="E6" s="2397">
        <f ca="1">SUMIF(INDIRECT("'"&amp;A6&amp;"'"&amp;"!C:C"),"建筑面积",INDIRECT("'"&amp;A6&amp;"'"&amp;"!D:D"))</f>
        <v>91.79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136.95349999999999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14920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733645</v>
      </c>
      <c r="D5" s="203" t="s">
        <v>1469</v>
      </c>
      <c r="E5" s="204" t="s">
        <v>1470</v>
      </c>
      <c r="F5" s="204" t="s">
        <v>1471</v>
      </c>
      <c r="G5" s="205"/>
    </row>
    <row r="6" spans="1:8" s="206" customFormat="1" ht="13.5" customHeight="1">
      <c r="A6" s="732" t="s">
        <v>1472</v>
      </c>
      <c r="B6" s="207" t="s">
        <v>1473</v>
      </c>
      <c r="C6" s="208">
        <f>ROUND(基准地价修正!C33*基准地价修正!D33,0)</f>
        <v>694116</v>
      </c>
      <c r="D6" s="209"/>
      <c r="E6" s="210"/>
      <c r="F6" s="210"/>
      <c r="G6" s="211"/>
    </row>
    <row r="7" spans="1:8" s="206" customFormat="1" ht="13.5" customHeight="1">
      <c r="A7" s="732" t="s">
        <v>1474</v>
      </c>
      <c r="B7" s="207" t="s">
        <v>1475</v>
      </c>
      <c r="C7" s="212">
        <f>ROUND(C6*F7,0)</f>
        <v>21171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18358</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18358</v>
      </c>
      <c r="D10" s="795">
        <f ca="1">IF(B1="",'数据-汇总表'!E6,IF(INDIRECT("'数据-取费表'!c"&amp;$G$1)="住宅",INDIRECT("'数据-取费表'!s"&amp;$G$1),INDIRECT("'数据-取费表'!k"&amp;$G$1)+INDIRECT("'数据-取费表'!s"&amp;$G$1)))</f>
        <v>91.79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91.79</v>
      </c>
      <c r="E19" s="203">
        <f>'数据-取费表'!B31</f>
        <v>200</v>
      </c>
      <c r="F19" s="223"/>
      <c r="G19" s="1714" t="s">
        <v>3435</v>
      </c>
    </row>
    <row r="20" spans="1:7" s="206" customFormat="1" ht="13.5" customHeight="1">
      <c r="A20" s="247" t="s">
        <v>1574</v>
      </c>
      <c r="B20" s="202" t="s">
        <v>1575</v>
      </c>
      <c r="C20" s="224">
        <f ca="1">ROUND((C5+C19)*F20,0)</f>
        <v>14673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47104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46645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459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112248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112248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982327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362111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321265</v>
      </c>
      <c r="D34" s="209"/>
      <c r="E34" s="212"/>
      <c r="F34" s="249"/>
      <c r="G34" s="211"/>
    </row>
    <row r="35" spans="1:7" ht="13.5" customHeight="1">
      <c r="A35" s="734" t="s">
        <v>351</v>
      </c>
      <c r="B35" s="207" t="s">
        <v>1527</v>
      </c>
      <c r="C35" s="212">
        <f ca="1">ROUND(C34*F35,0)</f>
        <v>16063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18358</v>
      </c>
      <c r="D37" s="209">
        <f ca="1">D19</f>
        <v>91.79</v>
      </c>
      <c r="E37" s="241">
        <f>'数据-取费表'!B35</f>
        <v>200</v>
      </c>
      <c r="F37" s="251"/>
      <c r="G37" s="253"/>
    </row>
    <row r="38" spans="1:7" ht="13.5" customHeight="1">
      <c r="A38" s="734" t="s">
        <v>354</v>
      </c>
      <c r="B38" s="207" t="s">
        <v>1533</v>
      </c>
      <c r="C38" s="212">
        <f ca="1">ROUND(C34*F38,0)</f>
        <v>6425</v>
      </c>
      <c r="D38" s="212"/>
      <c r="E38" s="212"/>
      <c r="F38" s="251">
        <f>'数据-取费表'!B36</f>
        <v>0.02</v>
      </c>
      <c r="G38" s="211" t="s">
        <v>1528</v>
      </c>
    </row>
    <row r="39" spans="1:7" s="206" customFormat="1" ht="13.5" customHeight="1">
      <c r="A39" s="247" t="s">
        <v>1534</v>
      </c>
      <c r="B39" s="202" t="s">
        <v>1535</v>
      </c>
      <c r="C39" s="224">
        <f ca="1">ROUND(C33*F20,0)</f>
        <v>7242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11561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11334</v>
      </c>
      <c r="D42" s="230"/>
      <c r="E42" s="230"/>
      <c r="F42" s="231"/>
      <c r="G42" s="3361" t="s">
        <v>1591</v>
      </c>
    </row>
    <row r="43" spans="1:7" ht="13.5" customHeight="1">
      <c r="A43" s="734" t="s">
        <v>347</v>
      </c>
      <c r="B43" s="207" t="s">
        <v>1545</v>
      </c>
      <c r="C43" s="230">
        <f ca="1">ROUND(IF('数据-取费表'!B22&lt;=1,C39*F22*'数据-取费表'!B20/2,C39*(POWER((1+F22),'数据-取费表'!B20/2)-1)),0)</f>
        <v>227</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55403</v>
      </c>
      <c r="D45" s="227">
        <f ca="1">C47</f>
        <v>3.0000000000000001E-3</v>
      </c>
      <c r="E45" s="228" t="s">
        <v>1539</v>
      </c>
      <c r="F45" s="238">
        <f ca="1">F27</f>
        <v>0.15</v>
      </c>
      <c r="G45" s="239" t="s">
        <v>1548</v>
      </c>
    </row>
    <row r="46" spans="1:7" s="206" customFormat="1" ht="13.5" customHeight="1">
      <c r="A46" s="734" t="s">
        <v>346</v>
      </c>
      <c r="B46" s="240" t="s">
        <v>1549</v>
      </c>
      <c r="C46" s="241">
        <f ca="1">ROUND((C33+C39)*F27,0)</f>
        <v>55403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472205</v>
      </c>
      <c r="D49" s="224"/>
      <c r="E49" s="224"/>
      <c r="F49" s="256"/>
      <c r="G49" s="226" t="s">
        <v>1554</v>
      </c>
    </row>
    <row r="50" spans="1:7" s="250" customFormat="1" ht="13.5">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387208</v>
      </c>
      <c r="D51" s="224"/>
      <c r="E51" s="224"/>
      <c r="F51" s="256"/>
      <c r="G51" s="226" t="s">
        <v>1560</v>
      </c>
    </row>
    <row r="52" spans="1:7" s="200" customFormat="1" ht="16.5" thickBot="1">
      <c r="A52" s="257" t="s">
        <v>1561</v>
      </c>
      <c r="B52" s="258"/>
      <c r="C52" s="259">
        <f ca="1">C31+C51</f>
        <v>1369535</v>
      </c>
      <c r="D52" s="258"/>
      <c r="E52" s="258"/>
      <c r="F52" s="258"/>
      <c r="G52" s="260"/>
    </row>
    <row r="55" spans="1:7" ht="15.5">
      <c r="B55" s="262" t="s">
        <v>1562</v>
      </c>
      <c r="C55" s="263"/>
    </row>
    <row r="56" spans="1:7" ht="13">
      <c r="B56" s="265" t="s">
        <v>802</v>
      </c>
      <c r="C56" s="267">
        <f ca="1">1-C57</f>
        <v>0.71700000000000008</v>
      </c>
    </row>
    <row r="57" spans="1:7" ht="13">
      <c r="B57" s="265" t="s">
        <v>803</v>
      </c>
      <c r="C57" s="266">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5" zoomScaleNormal="80" zoomScaleSheetLayoutView="100" workbookViewId="0">
      <selection activeCell="C69" sqref="C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91.79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69</v>
      </c>
      <c r="C2" s="1846"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11357</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7517</v>
      </c>
      <c r="C3" s="1846" t="s">
        <v>1941</v>
      </c>
      <c r="D3" s="162" t="s">
        <v>1942</v>
      </c>
      <c r="E3" s="3117" t="s">
        <v>3409</v>
      </c>
      <c r="F3" s="1848" t="s">
        <v>3460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8951</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7565</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8150</v>
      </c>
      <c r="D5" s="1252">
        <f>ROUND(C6*C17+C20,0)</f>
        <v>8150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6672</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6412</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8150</v>
      </c>
      <c r="N7" s="813">
        <f>SUMPRODUCT((因素修正幅度!B190:B233=I2)*(因素修正幅度!C3:G3=E2)*(因素修正幅度!C190:G233))</f>
        <v>0.129</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45950</v>
      </c>
      <c r="H23" s="3047" t="s">
        <v>3463</v>
      </c>
      <c r="I23" s="3048" t="str">
        <f>IF(H23="季度增幅（自定义）",SUMIF(N25:N28,E2,O25:O28),"")</f>
        <v/>
      </c>
      <c r="J23" s="3140" t="s">
        <v>3477</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0.91700000000000004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35.93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69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7562</v>
      </c>
      <c r="D33" s="1940">
        <f>'数据-汇总表'!E19</f>
        <v>91.79</v>
      </c>
      <c r="E33" s="727">
        <f>ROUND(C33*D33/10000,0)</f>
        <v>69</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1891</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4537</v>
      </c>
      <c r="D37" s="1940"/>
      <c r="E37" s="163">
        <f>ROUND(C37*D37/10000,0)</f>
        <v>0</v>
      </c>
      <c r="F37" s="163">
        <f>SUMIF(修正!A59:A70,G2,修正!B59:B70)</f>
        <v>0.6</v>
      </c>
      <c r="G37" s="163">
        <f>ROUND(IF(E2="工业",C37*$M$42,C37*$M$41),0)</f>
        <v>1134</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2268</v>
      </c>
      <c r="D38" s="1940"/>
      <c r="E38" s="163">
        <f t="shared" ref="E38:E42" si="4">ROUND(C38*D38/10000,0)</f>
        <v>0</v>
      </c>
      <c r="F38" s="163">
        <f>SUMIF(修正!A59:A70,G2,修正!C59:C70)</f>
        <v>0.3</v>
      </c>
      <c r="G38" s="163">
        <f>ROUND(IF(E2="工业",C38*$M$42,C38*$M$41),0)</f>
        <v>567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1890</v>
      </c>
      <c r="D39" s="1940"/>
      <c r="E39" s="163">
        <f t="shared" si="4"/>
        <v>0</v>
      </c>
      <c r="F39" s="163">
        <f>SUMIF(修正!A59:A70,G2,修正!D59:D70)</f>
        <v>0.25</v>
      </c>
      <c r="G39" s="163">
        <f>ROUND(IF(E2="工业",C39*$M$42,C39*$M$41),0)</f>
        <v>473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1890</v>
      </c>
      <c r="D40" s="1940"/>
      <c r="E40" s="163">
        <f t="shared" si="4"/>
        <v>0</v>
      </c>
      <c r="F40" s="167">
        <f>SUMIF(修正!A59:A70,G2,修正!E59:E70)</f>
        <v>0.25</v>
      </c>
      <c r="G40" s="163">
        <f>ROUND(IF(E2="工业",C40*$M$42,C40*$M$41),0)</f>
        <v>473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3464</v>
      </c>
      <c r="D61" s="1002">
        <f t="shared" ref="D61:D69" si="12">SUMIF($J$60:$N$60,C61,J61:N61)</f>
        <v>1.2500000000000001E-2</v>
      </c>
      <c r="E61" s="702">
        <f>ROUND(SUM(D61:D69),4)</f>
        <v>0.03</v>
      </c>
      <c r="F61" s="1675">
        <f>IF(E2="办公",SUMIF(L1:L12,G2,N1:N12),"——")</f>
        <v>0.129</v>
      </c>
      <c r="G61" s="1000">
        <v>1.2500000000000001E-2</v>
      </c>
      <c r="H61" s="1003">
        <f t="shared" ref="H61:H69" si="13">IFERROR(ROUNDDOWN($F$61*I61/2,4),"——")</f>
        <v>1.61E-2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3478</v>
      </c>
      <c r="D62" s="1002">
        <f t="shared" si="12"/>
        <v>0</v>
      </c>
      <c r="E62" s="703"/>
      <c r="F62" s="1675"/>
      <c r="G62" s="1000">
        <v>1.2999999999999999E-2</v>
      </c>
      <c r="H62" s="1003">
        <f t="shared" si="13"/>
        <v>1.67E-2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3464</v>
      </c>
      <c r="D63" s="1002">
        <f t="shared" si="12"/>
        <v>5.4999999999999997E-3</v>
      </c>
      <c r="E63" s="703"/>
      <c r="F63" s="1675"/>
      <c r="G63" s="1000">
        <v>5.4999999999999997E-3</v>
      </c>
      <c r="H63" s="1003">
        <f t="shared" si="13"/>
        <v>7.0000000000000001E-3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3464</v>
      </c>
      <c r="D64" s="1002">
        <f t="shared" si="12"/>
        <v>2.5000000000000001E-3</v>
      </c>
      <c r="E64" s="703"/>
      <c r="F64" s="1675"/>
      <c r="G64" s="1000">
        <v>2.5000000000000001E-3</v>
      </c>
      <c r="H64" s="1003">
        <f t="shared" si="13"/>
        <v>3.2000000000000002E-3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3465</v>
      </c>
      <c r="D65" s="1002">
        <f t="shared" si="12"/>
        <v>-2.5000000000000001E-3</v>
      </c>
      <c r="E65" s="703"/>
      <c r="F65" s="1675"/>
      <c r="G65" s="1000">
        <v>2.5000000000000001E-3</v>
      </c>
      <c r="H65" s="1003">
        <f t="shared" si="13"/>
        <v>3.2000000000000002E-3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3464</v>
      </c>
      <c r="D66" s="1002">
        <f t="shared" si="12"/>
        <v>3.0000000000000001E-3</v>
      </c>
      <c r="E66" s="703"/>
      <c r="F66" s="1675"/>
      <c r="G66" s="1000">
        <v>3.0000000000000001E-3</v>
      </c>
      <c r="H66" s="1003">
        <f t="shared" si="13"/>
        <v>3.8E-3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3478</v>
      </c>
      <c r="D67" s="1002">
        <f t="shared" si="12"/>
        <v>0</v>
      </c>
      <c r="E67" s="703"/>
      <c r="F67" s="1675"/>
      <c r="G67" s="1000">
        <v>3.0000000000000001E-3</v>
      </c>
      <c r="H67" s="1003">
        <f t="shared" si="13"/>
        <v>3.8E-3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3466</v>
      </c>
      <c r="D68" s="1002">
        <f t="shared" si="12"/>
        <v>8.9999999999999993E-3</v>
      </c>
      <c r="E68" s="703"/>
      <c r="F68" s="1675"/>
      <c r="G68" s="1000">
        <v>4.4999999999999997E-3</v>
      </c>
      <c r="H68" s="1003">
        <f t="shared" si="13"/>
        <v>5.7999999999999996E-3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3478</v>
      </c>
      <c r="D69" s="1002">
        <f t="shared" si="12"/>
        <v>0</v>
      </c>
      <c r="E69" s="704"/>
      <c r="F69" s="1675"/>
      <c r="G69" s="1000">
        <v>3.5000000000000001E-3</v>
      </c>
      <c r="H69" s="1003">
        <f t="shared" si="13"/>
        <v>4.4999999999999997E-3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2.5</v>
      </c>
      <c r="C116" s="3098" t="s">
        <v>3311</v>
      </c>
      <c r="D116" s="3099">
        <f>SUMPRODUCT((A118:A122=F116)*(B117:M117=H116)*B118:M122)</f>
        <v>0.90600000000000003</v>
      </c>
      <c r="E116" s="162" t="s">
        <v>3312</v>
      </c>
      <c r="F116" s="3100" t="str">
        <f>E2</f>
        <v>办公</v>
      </c>
      <c r="G116" s="162" t="s">
        <v>3313</v>
      </c>
      <c r="H116" s="3100" t="str">
        <f>G2</f>
        <v>七级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ht="13">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ht="13">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ht="13">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6" t="s">
        <v>2607</v>
      </c>
      <c r="B20" s="3486" t="s">
        <v>2628</v>
      </c>
      <c r="C20" s="3167" t="s">
        <v>2439</v>
      </c>
      <c r="D20" s="3167"/>
      <c r="E20" s="2843">
        <v>1</v>
      </c>
      <c r="F20" s="2844" t="s">
        <v>2440</v>
      </c>
      <c r="G20" s="2844"/>
    </row>
    <row r="21" spans="1:13" ht="19.5" customHeight="1">
      <c r="A21" s="3497"/>
      <c r="B21" s="3487"/>
      <c r="C21" s="2856" t="s">
        <v>2441</v>
      </c>
      <c r="D21" s="2856"/>
      <c r="E21" s="2847">
        <v>1</v>
      </c>
      <c r="F21" s="2844" t="s">
        <v>2442</v>
      </c>
      <c r="G21" s="2844"/>
    </row>
    <row r="22" spans="1:13" ht="19.5" customHeight="1">
      <c r="A22" s="3497"/>
      <c r="B22" s="3487"/>
      <c r="C22" s="2856" t="s">
        <v>2443</v>
      </c>
      <c r="D22" s="2856"/>
      <c r="E22" s="2847">
        <v>0.9</v>
      </c>
      <c r="F22" s="2844" t="s">
        <v>2444</v>
      </c>
      <c r="G22" s="2844"/>
    </row>
    <row r="23" spans="1:13" ht="19.5" customHeight="1">
      <c r="A23" s="3497"/>
      <c r="B23" s="3487"/>
      <c r="C23" s="2856" t="s">
        <v>2445</v>
      </c>
      <c r="D23" s="2856"/>
      <c r="E23" s="2847">
        <v>0.9</v>
      </c>
      <c r="F23" s="2844" t="s">
        <v>2446</v>
      </c>
      <c r="G23" s="2844"/>
    </row>
    <row r="24" spans="1:13" ht="19.5" customHeight="1">
      <c r="A24" s="3497"/>
      <c r="B24" s="3487"/>
      <c r="C24" s="2856" t="s">
        <v>2447</v>
      </c>
      <c r="D24" s="2856"/>
      <c r="E24" s="2847">
        <v>0.8</v>
      </c>
      <c r="F24" s="2844" t="s">
        <v>2448</v>
      </c>
      <c r="G24" s="2844"/>
    </row>
    <row r="25" spans="1:13" ht="19.5" customHeight="1">
      <c r="A25" s="3497"/>
      <c r="B25" s="3487"/>
      <c r="C25" s="2856" t="s">
        <v>2449</v>
      </c>
      <c r="D25" s="2856"/>
      <c r="E25" s="2847">
        <v>0.8</v>
      </c>
      <c r="F25" s="2844"/>
      <c r="G25" s="2844"/>
    </row>
    <row r="26" spans="1:13" ht="19.5" customHeight="1">
      <c r="A26" s="3497"/>
      <c r="B26" s="3487"/>
      <c r="C26" s="2856" t="s">
        <v>3407</v>
      </c>
      <c r="D26" s="2856"/>
      <c r="E26" s="2847">
        <v>0.43</v>
      </c>
      <c r="F26" s="2844"/>
      <c r="G26" s="2844"/>
    </row>
    <row r="27" spans="1:13" ht="19.5" customHeight="1" thickBot="1">
      <c r="A27" s="3498"/>
      <c r="B27" s="348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9" t="s">
        <v>2631</v>
      </c>
      <c r="B29" s="3492" t="s">
        <v>2612</v>
      </c>
      <c r="C29" s="2841" t="s">
        <v>2452</v>
      </c>
      <c r="D29" s="2842"/>
      <c r="E29" s="2843">
        <v>1</v>
      </c>
      <c r="F29" s="2844" t="s">
        <v>2453</v>
      </c>
      <c r="G29" s="2844"/>
    </row>
    <row r="30" spans="1:13" ht="19.5" customHeight="1">
      <c r="A30" s="3490"/>
      <c r="B30" s="3493"/>
      <c r="C30" s="2845" t="s">
        <v>2454</v>
      </c>
      <c r="D30" s="2846"/>
      <c r="E30" s="2847">
        <v>1</v>
      </c>
      <c r="F30" s="2844" t="s">
        <v>2455</v>
      </c>
      <c r="G30" s="2844"/>
    </row>
    <row r="31" spans="1:13" ht="19.5" customHeight="1">
      <c r="A31" s="3490"/>
      <c r="B31" s="3493"/>
      <c r="C31" s="2845" t="s">
        <v>2456</v>
      </c>
      <c r="D31" s="2846"/>
      <c r="E31" s="2847">
        <v>0.8</v>
      </c>
      <c r="F31" s="2844" t="s">
        <v>2457</v>
      </c>
      <c r="G31" s="2844"/>
    </row>
    <row r="32" spans="1:13" ht="19.5" customHeight="1">
      <c r="A32" s="3490"/>
      <c r="B32" s="3493"/>
      <c r="C32" s="2845" t="s">
        <v>2458</v>
      </c>
      <c r="D32" s="2846"/>
      <c r="E32" s="2847">
        <v>0.8</v>
      </c>
      <c r="F32" s="2844" t="s">
        <v>2459</v>
      </c>
      <c r="G32" s="2844"/>
    </row>
    <row r="33" spans="1:7" ht="19.5" customHeight="1">
      <c r="A33" s="3490"/>
      <c r="B33" s="3493"/>
      <c r="C33" s="2845" t="s">
        <v>2460</v>
      </c>
      <c r="D33" s="2846"/>
      <c r="E33" s="2847">
        <v>0.8</v>
      </c>
      <c r="F33" s="2844" t="s">
        <v>2461</v>
      </c>
      <c r="G33" s="2844"/>
    </row>
    <row r="34" spans="1:7" ht="19.5" customHeight="1">
      <c r="A34" s="3490"/>
      <c r="B34" s="3493"/>
      <c r="C34" s="2845" t="s">
        <v>2462</v>
      </c>
      <c r="D34" s="2846"/>
      <c r="E34" s="2847">
        <v>0.7</v>
      </c>
      <c r="F34" s="2844" t="s">
        <v>2463</v>
      </c>
      <c r="G34" s="2844"/>
    </row>
    <row r="35" spans="1:7" ht="19.5" customHeight="1">
      <c r="A35" s="3490"/>
      <c r="B35" s="3493"/>
      <c r="C35" s="2845" t="s">
        <v>2464</v>
      </c>
      <c r="D35" s="2846"/>
      <c r="E35" s="2847">
        <v>0.8</v>
      </c>
      <c r="F35" s="2844" t="s">
        <v>2465</v>
      </c>
      <c r="G35" s="2844"/>
    </row>
    <row r="36" spans="1:7" ht="19.5" customHeight="1">
      <c r="A36" s="3490"/>
      <c r="B36" s="3493"/>
      <c r="C36" s="2845" t="s">
        <v>2466</v>
      </c>
      <c r="D36" s="2846"/>
      <c r="E36" s="2847">
        <v>0.6</v>
      </c>
      <c r="F36" s="2844" t="s">
        <v>2467</v>
      </c>
      <c r="G36" s="2844"/>
    </row>
    <row r="37" spans="1:7" ht="19.5" customHeight="1">
      <c r="A37" s="3490"/>
      <c r="B37" s="3493"/>
      <c r="C37" s="2845" t="s">
        <v>2468</v>
      </c>
      <c r="D37" s="2846"/>
      <c r="E37" s="2847">
        <v>0.2</v>
      </c>
      <c r="F37" s="2844" t="s">
        <v>2469</v>
      </c>
      <c r="G37" s="2844"/>
    </row>
    <row r="38" spans="1:7" ht="19.5" customHeight="1">
      <c r="A38" s="3490"/>
      <c r="B38" s="3493"/>
      <c r="C38" s="2845" t="s">
        <v>2470</v>
      </c>
      <c r="D38" s="2846"/>
      <c r="E38" s="2847">
        <v>0.2</v>
      </c>
      <c r="F38" s="2844" t="s">
        <v>2471</v>
      </c>
      <c r="G38" s="2844"/>
    </row>
    <row r="39" spans="1:7" ht="19.5" customHeight="1">
      <c r="A39" s="3490"/>
      <c r="B39" s="3494" t="s">
        <v>2632</v>
      </c>
      <c r="C39" s="2845" t="s">
        <v>2472</v>
      </c>
      <c r="D39" s="2846"/>
      <c r="E39" s="2847">
        <v>0.6</v>
      </c>
      <c r="F39" s="2844" t="s">
        <v>2473</v>
      </c>
      <c r="G39" s="2844"/>
    </row>
    <row r="40" spans="1:7" ht="19.5" customHeight="1">
      <c r="A40" s="3490"/>
      <c r="B40" s="3493"/>
      <c r="C40" s="2845" t="s">
        <v>2474</v>
      </c>
      <c r="D40" s="2846"/>
      <c r="E40" s="2847">
        <v>0.6</v>
      </c>
      <c r="F40" s="2844" t="s">
        <v>2475</v>
      </c>
      <c r="G40" s="2844"/>
    </row>
    <row r="41" spans="1:7" ht="19.5" customHeight="1" thickBot="1">
      <c r="A41" s="3491"/>
      <c r="B41" s="3495"/>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6" t="s">
        <v>2610</v>
      </c>
      <c r="B43" s="3492" t="s">
        <v>2634</v>
      </c>
      <c r="C43" s="2841" t="s">
        <v>2479</v>
      </c>
      <c r="D43" s="2842"/>
      <c r="E43" s="2843">
        <v>1</v>
      </c>
      <c r="F43" s="2844" t="s">
        <v>2480</v>
      </c>
      <c r="G43" s="2844"/>
    </row>
    <row r="44" spans="1:7" ht="19.5" customHeight="1">
      <c r="A44" s="3497"/>
      <c r="B44" s="3493"/>
      <c r="C44" s="2845" t="s">
        <v>2481</v>
      </c>
      <c r="D44" s="2846"/>
      <c r="E44" s="2847">
        <v>1</v>
      </c>
      <c r="F44" s="2844" t="s">
        <v>2482</v>
      </c>
      <c r="G44" s="2844"/>
    </row>
    <row r="45" spans="1:7" ht="19.5" customHeight="1">
      <c r="A45" s="3497"/>
      <c r="B45" s="3499"/>
      <c r="C45" s="2845" t="s">
        <v>2483</v>
      </c>
      <c r="D45" s="2846"/>
      <c r="E45" s="2847">
        <v>1.5</v>
      </c>
      <c r="F45" s="2844" t="s">
        <v>2484</v>
      </c>
      <c r="G45" s="2844"/>
    </row>
    <row r="46" spans="1:7" ht="19.5" customHeight="1">
      <c r="A46" s="3497"/>
      <c r="B46" s="2856" t="s">
        <v>2635</v>
      </c>
      <c r="C46" s="2845" t="s">
        <v>2636</v>
      </c>
      <c r="D46" s="2846"/>
      <c r="E46" s="2847">
        <v>2</v>
      </c>
      <c r="F46" s="2844" t="s">
        <v>2485</v>
      </c>
      <c r="G46" s="2844"/>
    </row>
    <row r="47" spans="1:7" ht="19.5" customHeight="1">
      <c r="A47" s="3497"/>
      <c r="B47" s="3494" t="s">
        <v>2637</v>
      </c>
      <c r="C47" s="2845" t="s">
        <v>2486</v>
      </c>
      <c r="D47" s="2846"/>
      <c r="E47" s="2847">
        <v>1</v>
      </c>
      <c r="F47" s="2844" t="s">
        <v>2487</v>
      </c>
      <c r="G47" s="2844"/>
    </row>
    <row r="48" spans="1:7" ht="19.5" customHeight="1">
      <c r="A48" s="3497"/>
      <c r="B48" s="3493"/>
      <c r="C48" s="2845" t="s">
        <v>2488</v>
      </c>
      <c r="D48" s="2846"/>
      <c r="E48" s="2847">
        <v>1</v>
      </c>
      <c r="F48" s="2844" t="s">
        <v>2489</v>
      </c>
      <c r="G48" s="2844"/>
    </row>
    <row r="49" spans="1:7" ht="19.5" customHeight="1">
      <c r="A49" s="3497"/>
      <c r="B49" s="3493"/>
      <c r="C49" s="2845" t="s">
        <v>2490</v>
      </c>
      <c r="D49" s="2846"/>
      <c r="E49" s="2847">
        <v>1</v>
      </c>
      <c r="F49" s="2844" t="s">
        <v>2491</v>
      </c>
      <c r="G49" s="2844"/>
    </row>
    <row r="50" spans="1:7" ht="19.5" customHeight="1">
      <c r="A50" s="3497"/>
      <c r="B50" s="3493"/>
      <c r="C50" s="2845" t="s">
        <v>2492</v>
      </c>
      <c r="D50" s="2846"/>
      <c r="E50" s="2847">
        <v>1</v>
      </c>
      <c r="F50" s="2844" t="s">
        <v>2493</v>
      </c>
      <c r="G50" s="2844"/>
    </row>
    <row r="51" spans="1:7" ht="19.5" customHeight="1">
      <c r="A51" s="3497"/>
      <c r="B51" s="3493"/>
      <c r="C51" s="2845" t="s">
        <v>2494</v>
      </c>
      <c r="D51" s="2846"/>
      <c r="E51" s="2847">
        <v>1</v>
      </c>
      <c r="F51" s="2844" t="s">
        <v>2495</v>
      </c>
      <c r="G51" s="2844"/>
    </row>
    <row r="52" spans="1:7" ht="19.5" customHeight="1">
      <c r="A52" s="3497"/>
      <c r="B52" s="3493"/>
      <c r="C52" s="2845" t="s">
        <v>2496</v>
      </c>
      <c r="D52" s="2846"/>
      <c r="E52" s="2847">
        <v>1</v>
      </c>
      <c r="F52" s="2844" t="s">
        <v>2497</v>
      </c>
      <c r="G52" s="2844"/>
    </row>
    <row r="53" spans="1:7" ht="19.5" customHeight="1" thickBot="1">
      <c r="A53" s="3498"/>
      <c r="B53" s="3495"/>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4"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9"/>
      <c r="C91" s="2830" t="s">
        <v>2684</v>
      </c>
      <c r="D91" s="2830" t="s">
        <v>2685</v>
      </c>
      <c r="E91" s="2856">
        <v>0.1</v>
      </c>
      <c r="F91" s="2856">
        <v>15</v>
      </c>
    </row>
    <row r="92" spans="1:6" ht="14">
      <c r="A92" s="2856">
        <v>18</v>
      </c>
      <c r="B92" s="3494"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9"/>
      <c r="C108" s="2830" t="s">
        <v>2719</v>
      </c>
      <c r="D108" s="2830" t="s">
        <v>2720</v>
      </c>
      <c r="E108" s="2856">
        <v>0.1</v>
      </c>
      <c r="F108" s="2856">
        <v>15</v>
      </c>
    </row>
    <row r="109" spans="1:6" ht="26">
      <c r="A109" s="2856">
        <v>35</v>
      </c>
      <c r="B109" s="3494"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9"/>
      <c r="C114" s="2856" t="s">
        <v>2732</v>
      </c>
      <c r="D114" s="2830" t="s">
        <v>2733</v>
      </c>
      <c r="E114" s="2856">
        <v>0.1</v>
      </c>
      <c r="F114" s="2856">
        <v>15</v>
      </c>
    </row>
    <row r="115" spans="1:6" ht="26">
      <c r="A115" s="2856">
        <v>41</v>
      </c>
      <c r="B115" s="3487" t="s">
        <v>2734</v>
      </c>
      <c r="C115" s="2856" t="s">
        <v>2735</v>
      </c>
      <c r="D115" s="2830" t="s">
        <v>2736</v>
      </c>
      <c r="E115" s="2856">
        <v>0.1</v>
      </c>
      <c r="F115" s="2856">
        <v>15</v>
      </c>
    </row>
    <row r="116" spans="1:6" ht="14">
      <c r="A116" s="2856">
        <v>42</v>
      </c>
      <c r="B116" s="3487"/>
      <c r="C116" s="2856" t="s">
        <v>2737</v>
      </c>
      <c r="D116" s="2830" t="s">
        <v>2738</v>
      </c>
      <c r="E116" s="2856">
        <v>0.1</v>
      </c>
      <c r="F116" s="2856">
        <v>15</v>
      </c>
    </row>
    <row r="117" spans="1:6" ht="26">
      <c r="A117" s="2856">
        <v>43</v>
      </c>
      <c r="B117" s="3487"/>
      <c r="C117" s="2856" t="s">
        <v>2739</v>
      </c>
      <c r="D117" s="2830" t="s">
        <v>2740</v>
      </c>
      <c r="E117" s="2856">
        <v>0.1</v>
      </c>
      <c r="F117" s="2856">
        <v>15</v>
      </c>
    </row>
    <row r="118" spans="1:6" ht="26">
      <c r="A118" s="2856">
        <v>44</v>
      </c>
      <c r="B118" s="3494" t="s">
        <v>2741</v>
      </c>
      <c r="C118" s="2856" t="s">
        <v>2742</v>
      </c>
      <c r="D118" s="2830" t="s">
        <v>2743</v>
      </c>
      <c r="E118" s="2856">
        <v>0.1</v>
      </c>
      <c r="F118" s="2856">
        <v>15</v>
      </c>
    </row>
    <row r="119" spans="1:6" ht="26">
      <c r="A119" s="2856">
        <v>45</v>
      </c>
      <c r="B119" s="3499"/>
      <c r="C119" s="2830" t="s">
        <v>2744</v>
      </c>
      <c r="D119" s="2830" t="s">
        <v>2745</v>
      </c>
      <c r="E119" s="2856">
        <v>0.1</v>
      </c>
      <c r="F119" s="2856">
        <v>15</v>
      </c>
    </row>
    <row r="120" spans="1:6" ht="26">
      <c r="A120" s="2856">
        <v>46</v>
      </c>
      <c r="B120" s="3494" t="s">
        <v>2746</v>
      </c>
      <c r="C120" s="2856" t="s">
        <v>2747</v>
      </c>
      <c r="D120" s="2830" t="s">
        <v>2748</v>
      </c>
      <c r="E120" s="2856">
        <v>0.1</v>
      </c>
      <c r="F120" s="2856">
        <v>15</v>
      </c>
    </row>
    <row r="121" spans="1:6" ht="26">
      <c r="A121" s="2856">
        <v>47</v>
      </c>
      <c r="B121" s="3499"/>
      <c r="C121" s="2856" t="s">
        <v>2749</v>
      </c>
      <c r="D121" s="2830" t="s">
        <v>2750</v>
      </c>
      <c r="E121" s="2856">
        <v>0.1</v>
      </c>
      <c r="F121" s="2856">
        <v>15</v>
      </c>
    </row>
    <row r="122" spans="1:6" ht="26">
      <c r="A122" s="2856">
        <v>48</v>
      </c>
      <c r="B122" s="3494" t="s">
        <v>2751</v>
      </c>
      <c r="C122" s="2856" t="s">
        <v>2752</v>
      </c>
      <c r="D122" s="2830" t="s">
        <v>2753</v>
      </c>
      <c r="E122" s="2856">
        <v>0.1</v>
      </c>
      <c r="F122" s="2856">
        <v>15</v>
      </c>
    </row>
    <row r="123" spans="1:6" ht="14">
      <c r="A123" s="2856">
        <v>49</v>
      </c>
      <c r="B123" s="3499"/>
      <c r="C123" s="2856" t="s">
        <v>2754</v>
      </c>
      <c r="D123" s="2830" t="s">
        <v>2755</v>
      </c>
      <c r="E123" s="2856">
        <v>0.1</v>
      </c>
      <c r="F123" s="2856">
        <v>15</v>
      </c>
    </row>
    <row r="124" spans="1:6" ht="26">
      <c r="A124" s="2856">
        <v>50</v>
      </c>
      <c r="B124" s="3487" t="s">
        <v>2756</v>
      </c>
      <c r="C124" s="2856" t="s">
        <v>2757</v>
      </c>
      <c r="D124" s="2830" t="s">
        <v>2758</v>
      </c>
      <c r="E124" s="2856">
        <v>0.1</v>
      </c>
      <c r="F124" s="2856">
        <v>15</v>
      </c>
    </row>
    <row r="125" spans="1:6" ht="26">
      <c r="A125" s="2856">
        <v>51</v>
      </c>
      <c r="B125" s="3487"/>
      <c r="C125" s="2856" t="s">
        <v>2759</v>
      </c>
      <c r="D125" s="2830" t="s">
        <v>2760</v>
      </c>
      <c r="E125" s="2856">
        <v>0.1</v>
      </c>
      <c r="F125" s="2856">
        <v>15</v>
      </c>
    </row>
    <row r="126" spans="1:6" ht="26">
      <c r="A126" s="2856">
        <v>52</v>
      </c>
      <c r="B126" s="3487" t="s">
        <v>2761</v>
      </c>
      <c r="C126" s="2856" t="s">
        <v>2762</v>
      </c>
      <c r="D126" s="2830" t="s">
        <v>2763</v>
      </c>
      <c r="E126" s="2856">
        <v>0.1</v>
      </c>
      <c r="F126" s="2856">
        <v>15</v>
      </c>
    </row>
    <row r="127" spans="1:6" ht="26">
      <c r="A127" s="2856">
        <v>53</v>
      </c>
      <c r="B127" s="3487"/>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7" t="s">
        <v>2769</v>
      </c>
      <c r="C129" s="2856" t="s">
        <v>2770</v>
      </c>
      <c r="D129" s="2830" t="s">
        <v>2771</v>
      </c>
      <c r="E129" s="2856">
        <v>0.1</v>
      </c>
      <c r="F129" s="2856">
        <v>15</v>
      </c>
    </row>
    <row r="130" spans="1:6" ht="14">
      <c r="A130" s="2856">
        <v>56</v>
      </c>
      <c r="B130" s="3487"/>
      <c r="C130" s="2856" t="s">
        <v>2772</v>
      </c>
      <c r="D130" s="2830" t="s">
        <v>2773</v>
      </c>
      <c r="E130" s="2856">
        <v>0.1</v>
      </c>
      <c r="F130" s="2856">
        <v>15</v>
      </c>
    </row>
    <row r="131" spans="1:6" ht="26">
      <c r="A131" s="2856">
        <v>57</v>
      </c>
      <c r="B131" s="3487"/>
      <c r="C131" s="2856" t="s">
        <v>2774</v>
      </c>
      <c r="D131" s="2830" t="s">
        <v>2775</v>
      </c>
      <c r="E131" s="2856">
        <v>0.1</v>
      </c>
      <c r="F131" s="2856">
        <v>15</v>
      </c>
    </row>
    <row r="132" spans="1:6" ht="26">
      <c r="A132" s="2856">
        <v>58</v>
      </c>
      <c r="B132" s="3487" t="s">
        <v>2776</v>
      </c>
      <c r="C132" s="2856" t="s">
        <v>2777</v>
      </c>
      <c r="D132" s="2830" t="s">
        <v>2778</v>
      </c>
      <c r="E132" s="2856">
        <v>0.1</v>
      </c>
      <c r="F132" s="2856">
        <v>15</v>
      </c>
    </row>
    <row r="133" spans="1:6" ht="26">
      <c r="A133" s="2856">
        <v>59</v>
      </c>
      <c r="B133" s="3487"/>
      <c r="C133" s="2856" t="s">
        <v>2779</v>
      </c>
      <c r="D133" s="2830" t="s">
        <v>2780</v>
      </c>
      <c r="E133" s="2856">
        <v>0.1</v>
      </c>
      <c r="F133" s="2856">
        <v>15</v>
      </c>
    </row>
    <row r="134" spans="1:6" ht="26">
      <c r="A134" s="2856">
        <v>60</v>
      </c>
      <c r="B134" s="3494" t="s">
        <v>2781</v>
      </c>
      <c r="C134" s="2856" t="s">
        <v>2782</v>
      </c>
      <c r="D134" s="2830" t="s">
        <v>2783</v>
      </c>
      <c r="E134" s="2856">
        <v>0.1</v>
      </c>
      <c r="F134" s="2856">
        <v>15</v>
      </c>
    </row>
    <row r="135" spans="1:6" ht="26">
      <c r="A135" s="2856">
        <v>61</v>
      </c>
      <c r="B135" s="3499"/>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7" t="s">
        <v>2789</v>
      </c>
      <c r="C137" s="2856" t="s">
        <v>2790</v>
      </c>
      <c r="D137" s="2830" t="s">
        <v>2791</v>
      </c>
      <c r="E137" s="2856">
        <v>0.1</v>
      </c>
      <c r="F137" s="2856">
        <v>15</v>
      </c>
    </row>
    <row r="138" spans="1:6" ht="14">
      <c r="A138" s="2856">
        <v>64</v>
      </c>
      <c r="B138" s="3487"/>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129.05000000000001</v>
      </c>
    </row>
    <row r="6" spans="1:5" ht="15.5">
      <c r="B6" s="3181"/>
      <c r="C6" s="1392" t="s">
        <v>911</v>
      </c>
      <c r="D6" s="797" t="str">
        <f ca="1">NUMBERSTRING(INT(D5*10000),2)&amp;"元整"</f>
        <v>壹佰贰拾玖万零伍佰元整</v>
      </c>
    </row>
    <row r="7" spans="1:5" ht="15.5">
      <c r="B7" s="3186"/>
      <c r="C7" s="1393" t="s">
        <v>912</v>
      </c>
      <c r="D7" s="798">
        <f ca="1">结果表!H102</f>
        <v>14059</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129.05000000000001</v>
      </c>
    </row>
    <row r="14" spans="1:5" ht="15.5">
      <c r="B14" s="3181"/>
      <c r="C14" s="1392" t="s">
        <v>911</v>
      </c>
      <c r="D14" s="797" t="str">
        <f ca="1">NUMBERSTRING(INT(D13*10000),2)&amp;"元整"</f>
        <v>壹佰贰拾玖万零伍佰元整</v>
      </c>
    </row>
    <row r="15" spans="1:5" ht="15.5">
      <c r="B15" s="3186"/>
      <c r="C15" s="1393" t="s">
        <v>921</v>
      </c>
      <c r="D15" s="806">
        <f ca="1">结果表!H108</f>
        <v>14059</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27638</v>
      </c>
      <c r="C2" s="2" t="s">
        <v>106</v>
      </c>
      <c r="D2" s="191"/>
      <c r="E2" s="191"/>
      <c r="F2" s="191"/>
      <c r="G2" s="191"/>
    </row>
    <row r="3" spans="1:7" s="192" customFormat="1" ht="18" customHeight="1" thickBot="1">
      <c r="A3" s="195" t="s">
        <v>58</v>
      </c>
      <c r="B3" s="196">
        <f ca="1">ROUND(B2*10000/'数据-汇总表'!E3,0)</f>
        <v>3011003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91.79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91.79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91.79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40</v>
      </c>
      <c r="D51" s="224"/>
      <c r="E51" s="224"/>
      <c r="F51" s="256"/>
      <c r="G51" s="226" t="s">
        <v>37</v>
      </c>
    </row>
    <row r="52" spans="1:7" s="200" customFormat="1" ht="16.5" thickBot="1">
      <c r="A52" s="257" t="s">
        <v>38</v>
      </c>
      <c r="B52" s="258"/>
      <c r="C52" s="259">
        <f ca="1">C31+C51</f>
        <v>27638</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103" workbookViewId="0">
      <selection activeCell="S116" sqref="S116"/>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45950</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北京市通州区兴贸三街18号院5号楼8层812房地产</v>
      </c>
      <c r="B4" s="801">
        <f>项目基本情况!C17</f>
        <v>91.79</v>
      </c>
      <c r="C4" s="801">
        <f>项目基本情况!C18</f>
        <v>0</v>
      </c>
      <c r="D4" s="801">
        <f>结果表!D118</f>
        <v>0</v>
      </c>
      <c r="E4" s="801">
        <f>结果表!E118</f>
        <v>0</v>
      </c>
      <c r="F4" s="801">
        <f>结果表!F118</f>
        <v>0</v>
      </c>
      <c r="G4" s="801">
        <f>结果表!G118</f>
        <v>0</v>
      </c>
      <c r="H4" s="801">
        <f ca="1">结果表!H118</f>
        <v>129.05000000000001</v>
      </c>
      <c r="I4" s="801">
        <f ca="1">结果表!I118</f>
        <v>14059</v>
      </c>
    </row>
    <row r="5" spans="1:9" ht="30" customHeight="1">
      <c r="A5" s="3192" t="s">
        <v>927</v>
      </c>
      <c r="B5" s="3192"/>
      <c r="C5" s="3192"/>
      <c r="D5" s="3192" t="str">
        <f>结果表!D119</f>
        <v>零元整</v>
      </c>
      <c r="E5" s="3192"/>
      <c r="F5" s="3192" t="str">
        <f>结果表!F119</f>
        <v>零元整</v>
      </c>
      <c r="G5" s="3192"/>
      <c r="H5" s="3192" t="str">
        <f ca="1">结果表!H119</f>
        <v>壹佰贰拾玖万零伍佰元整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129.05000000000001</v>
      </c>
      <c r="E8" s="3193"/>
      <c r="F8" s="3193"/>
      <c r="G8" s="3193"/>
      <c r="H8" s="3193"/>
      <c r="I8" s="3193"/>
    </row>
    <row r="9" spans="1:9" ht="15.5">
      <c r="A9" s="3192" t="s">
        <v>927</v>
      </c>
      <c r="B9" s="3192"/>
      <c r="C9" s="3192"/>
      <c r="D9" s="3192" t="str">
        <f ca="1">结果表!D123</f>
        <v>壹佰贰拾玖万零伍佰元整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珠江四季悦城案例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悠乐汇案例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2025-10-20T01:44:59Z</dcterms:modified>
</cp:coreProperties>
</file>