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0"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E94" i="34"/>
  <c r="F94" i="34" s="1"/>
  <c r="D94" i="3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D129"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D82" i="34"/>
  <c r="E82"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Z46" i="34"/>
  <c r="Q46" i="34"/>
  <c r="J46" i="34"/>
  <c r="AC46" i="34" s="1"/>
  <c r="H46" i="34"/>
  <c r="AB46" i="34" s="1"/>
  <c r="F46" i="34"/>
  <c r="AA46" i="34" s="1"/>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F29" i="34"/>
  <c r="AA29" i="34" s="1"/>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F19" i="34"/>
  <c r="AA19" i="34" s="1"/>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D19" i="68" s="1"/>
  <c r="D37" i="68" s="1"/>
  <c r="F7" i="68"/>
  <c r="C7" i="68"/>
  <c r="C6"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G26"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L7" i="1"/>
  <c r="AD7" i="1"/>
  <c r="T7" i="1"/>
  <c r="S7" i="1"/>
  <c r="R7" i="1"/>
  <c r="P7" i="1"/>
  <c r="O7" i="1"/>
  <c r="N7" i="1"/>
  <c r="M7" i="1"/>
  <c r="L7" i="1"/>
  <c r="K7" i="1"/>
  <c r="G7" i="1"/>
  <c r="F7" i="1"/>
  <c r="E7" i="1"/>
  <c r="D7" i="1"/>
  <c r="B7" i="1"/>
  <c r="A7" i="1"/>
  <c r="AR6" i="1"/>
  <c r="AQ6" i="1"/>
  <c r="AP6" i="1"/>
  <c r="AF6" i="1"/>
  <c r="AD6" i="1"/>
  <c r="Y6" i="1"/>
  <c r="T6" i="1"/>
  <c r="S6" i="1"/>
  <c r="R6" i="1"/>
  <c r="P6" i="1"/>
  <c r="O6" i="1"/>
  <c r="N6" i="1"/>
  <c r="M6" i="1"/>
  <c r="K6" i="1"/>
  <c r="G6" i="1"/>
  <c r="F6" i="1"/>
  <c r="E6" i="1"/>
  <c r="D6" i="1"/>
  <c r="B6" i="1"/>
  <c r="A6" i="1"/>
  <c r="T4" i="1"/>
  <c r="B2" i="1"/>
  <c r="M42" i="6"/>
  <c r="M39" i="6"/>
  <c r="H38" i="6"/>
  <c r="G38" i="6"/>
  <c r="F38" i="6"/>
  <c r="H37" i="6"/>
  <c r="F37" i="6"/>
  <c r="H36" i="6"/>
  <c r="F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36" i="81"/>
  <c r="B35" i="81"/>
  <c r="C34" i="81"/>
  <c r="B34" i="81"/>
  <c r="B8" i="81"/>
  <c r="B7" i="81"/>
  <c r="B6" i="81"/>
  <c r="B5" i="81"/>
  <c r="B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3"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21"/>
  <c r="F43" i="67"/>
  <c r="F42" i="67"/>
  <c r="F40" i="67"/>
  <c r="D6" i="73"/>
  <c r="D4" i="73"/>
  <c r="E12" i="76"/>
  <c r="E10" i="76"/>
  <c r="E8" i="76"/>
  <c r="E6" i="76"/>
  <c r="D2" i="36"/>
  <c r="D2" i="33"/>
  <c r="L47" i="67"/>
  <c r="F41" i="67"/>
  <c r="F38" i="67"/>
  <c r="F36" i="67"/>
  <c r="M29" i="67"/>
  <c r="M27" i="67"/>
  <c r="M26" i="67"/>
  <c r="F26" i="67"/>
  <c r="M23" i="67"/>
  <c r="M21" i="67"/>
  <c r="F16" i="67"/>
  <c r="J15" i="67"/>
  <c r="F13" i="67"/>
  <c r="M9" i="67"/>
  <c r="M8" i="67"/>
  <c r="M6" i="67"/>
  <c r="F6" i="67"/>
  <c r="D7" i="73"/>
  <c r="D3" i="73"/>
  <c r="E13" i="76"/>
  <c r="E9" i="76"/>
  <c r="C76" i="67"/>
  <c r="F37" i="67"/>
  <c r="M22" i="67"/>
  <c r="F8" i="67"/>
  <c r="F41" i="80"/>
  <c r="F40" i="80"/>
  <c r="M28" i="80"/>
  <c r="M24" i="80"/>
  <c r="M22" i="80"/>
  <c r="F9" i="80"/>
  <c r="F8" i="80"/>
  <c r="F7" i="80"/>
  <c r="F41" i="15"/>
  <c r="F38" i="15"/>
  <c r="F37" i="15"/>
  <c r="F36" i="15"/>
  <c r="F35" i="15"/>
  <c r="M29" i="15"/>
  <c r="M26" i="15"/>
  <c r="F26" i="15"/>
  <c r="M23" i="15"/>
  <c r="M21" i="15"/>
  <c r="F16" i="15"/>
  <c r="J15" i="15"/>
  <c r="C14" i="15"/>
  <c r="F13" i="15"/>
  <c r="M9" i="15"/>
  <c r="M8" i="15"/>
  <c r="M6" i="15"/>
  <c r="F6" i="15"/>
  <c r="D5" i="73"/>
  <c r="E11" i="76"/>
  <c r="L48" i="67"/>
  <c r="F35" i="67"/>
  <c r="F7" i="67"/>
  <c r="L48" i="80"/>
  <c r="F42" i="80"/>
  <c r="F37" i="80"/>
  <c r="F35" i="80"/>
  <c r="M26" i="80"/>
  <c r="J15" i="80"/>
  <c r="F13" i="80"/>
  <c r="M8" i="80"/>
  <c r="M6" i="80"/>
  <c r="L47" i="15"/>
  <c r="F43" i="15"/>
  <c r="F40" i="15"/>
  <c r="M22" i="15"/>
  <c r="F8" i="15"/>
  <c r="E7" i="76"/>
  <c r="M28" i="67"/>
  <c r="M24" i="67"/>
  <c r="F9" i="67"/>
  <c r="C76" i="80"/>
  <c r="L47" i="80"/>
  <c r="F43" i="80"/>
  <c r="F38" i="80"/>
  <c r="F36" i="80"/>
  <c r="M29" i="80"/>
  <c r="F26" i="80"/>
  <c r="M23" i="80"/>
  <c r="M21" i="80"/>
  <c r="F16" i="80"/>
  <c r="C14" i="80"/>
  <c r="M9" i="80"/>
  <c r="F6" i="80"/>
  <c r="C76" i="15"/>
  <c r="L48" i="15"/>
  <c r="F42" i="15"/>
  <c r="M28" i="15"/>
  <c r="M24" i="15"/>
  <c r="F9" i="15"/>
  <c r="F7" i="15"/>
  <c r="E2" i="69"/>
  <c r="AO13" i="1"/>
  <c r="AO11" i="1"/>
  <c r="AO9" i="1"/>
  <c r="AO12" i="1"/>
  <c r="AO10" i="1"/>
  <c r="AO8" i="1"/>
  <c r="U46" i="34" l="1"/>
  <c r="S46" i="34"/>
  <c r="W46" i="34"/>
  <c r="F82" i="34"/>
  <c r="G82" i="34" s="1"/>
  <c r="H19" i="34"/>
  <c r="J19" i="34"/>
  <c r="S19" i="34"/>
  <c r="R49" i="34"/>
  <c r="E49" i="34" s="1"/>
  <c r="C37" i="68"/>
  <c r="C34" i="68"/>
  <c r="C38" i="68" s="1"/>
  <c r="H29" i="34"/>
  <c r="J29" i="34"/>
  <c r="S29" i="34"/>
  <c r="C9" i="68"/>
  <c r="C47" i="68"/>
  <c r="D45" i="68" s="1"/>
  <c r="C18" i="9"/>
  <c r="D18" i="9" s="1"/>
  <c r="F6" i="49"/>
  <c r="H6" i="49" s="1"/>
  <c r="F8" i="49"/>
  <c r="H8" i="49" s="1"/>
  <c r="F11" i="49"/>
  <c r="H11" i="49" s="1"/>
  <c r="F13" i="49"/>
  <c r="H13" i="49" s="1"/>
  <c r="R16" i="1"/>
  <c r="C14" i="12"/>
  <c r="C15" i="12"/>
  <c r="F4" i="49"/>
  <c r="H4" i="49" s="1"/>
  <c r="F5" i="49"/>
  <c r="H5" i="49" s="1"/>
  <c r="F7" i="49"/>
  <c r="H7" i="49" s="1"/>
  <c r="F9" i="49"/>
  <c r="H9" i="49" s="1"/>
  <c r="F10" i="49"/>
  <c r="H10"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F45" i="68"/>
  <c r="B8" i="70"/>
  <c r="B10" i="70"/>
  <c r="B12" i="70"/>
  <c r="B9" i="70"/>
  <c r="B11" i="70"/>
  <c r="B13" i="70"/>
  <c r="M7" i="15"/>
  <c r="J6" i="15" s="1"/>
  <c r="F50" i="15"/>
  <c r="L60" i="15"/>
  <c r="J57" i="15"/>
  <c r="J55" i="15" s="1"/>
  <c r="J58" i="15" s="1"/>
  <c r="Q50" i="15" s="1"/>
  <c r="I54" i="15"/>
  <c r="J53" i="15"/>
  <c r="L57" i="15"/>
  <c r="L56" i="15"/>
  <c r="Q71" i="15"/>
  <c r="C6" i="80"/>
  <c r="C18" i="80"/>
  <c r="C15" i="80"/>
  <c r="J20" i="80"/>
  <c r="C27" i="80"/>
  <c r="F64" i="80"/>
  <c r="F66" i="80"/>
  <c r="F71" i="80"/>
  <c r="M59" i="80"/>
  <c r="L59" i="80"/>
  <c r="L58" i="80"/>
  <c r="N59" i="80"/>
  <c r="Q71" i="80"/>
  <c r="F51" i="15"/>
  <c r="C49" i="15" s="1"/>
  <c r="F68" i="15"/>
  <c r="F71" i="15"/>
  <c r="M59" i="15"/>
  <c r="N59" i="15"/>
  <c r="L59" i="15"/>
  <c r="L58" i="15"/>
  <c r="C34" i="80"/>
  <c r="F63" i="80"/>
  <c r="C62" i="80" s="1"/>
  <c r="F65" i="80"/>
  <c r="L60" i="80"/>
  <c r="J57" i="80"/>
  <c r="J55" i="80" s="1"/>
  <c r="J58" i="80" s="1"/>
  <c r="Q50" i="80" s="1"/>
  <c r="I54" i="80"/>
  <c r="J53" i="80"/>
  <c r="L57" i="80"/>
  <c r="L56" i="80"/>
  <c r="M7" i="67"/>
  <c r="J6" i="67" s="1"/>
  <c r="F50" i="67"/>
  <c r="F63" i="67"/>
  <c r="C62" i="67" s="1"/>
  <c r="C34" i="67"/>
  <c r="J57" i="67"/>
  <c r="J55" i="67" s="1"/>
  <c r="J58" i="67" s="1"/>
  <c r="Q50" i="67" s="1"/>
  <c r="I54" i="67"/>
  <c r="J53" i="67"/>
  <c r="L56" i="67"/>
  <c r="C6" i="15"/>
  <c r="C18" i="15"/>
  <c r="C15" i="15"/>
  <c r="J20" i="15"/>
  <c r="C27" i="15"/>
  <c r="C34" i="15"/>
  <c r="F63" i="15"/>
  <c r="C62" i="15" s="1"/>
  <c r="F64" i="15"/>
  <c r="F65" i="15"/>
  <c r="F66" i="15"/>
  <c r="F69" i="15"/>
  <c r="F50" i="80"/>
  <c r="M7" i="80"/>
  <c r="J6" i="80" s="1"/>
  <c r="F51" i="80"/>
  <c r="C49" i="80" s="1"/>
  <c r="F68" i="80"/>
  <c r="F69" i="80"/>
  <c r="F51" i="67"/>
  <c r="F65" i="67"/>
  <c r="Q71" i="67"/>
  <c r="C6" i="67"/>
  <c r="J20" i="67"/>
  <c r="C27" i="67"/>
  <c r="F64" i="67"/>
  <c r="F66" i="67"/>
  <c r="F69" i="67"/>
  <c r="M59" i="67"/>
  <c r="N59" i="67"/>
  <c r="L59" i="67"/>
  <c r="L58" i="67"/>
  <c r="E2" i="76"/>
  <c r="K1" i="73"/>
  <c r="F68" i="67"/>
  <c r="F71" i="67"/>
  <c r="M3" i="35"/>
  <c r="B20" i="31"/>
  <c r="B21" i="31" s="1"/>
  <c r="B2" i="76"/>
  <c r="B3" i="76" s="1"/>
  <c r="I1" i="73"/>
  <c r="B39" i="1" s="1"/>
  <c r="C20" i="68"/>
  <c r="C28" i="68" s="1"/>
  <c r="C27" i="68" s="1"/>
  <c r="D37" i="69"/>
  <c r="C37" i="69" s="1"/>
  <c r="C19" i="69"/>
  <c r="C18" i="12"/>
  <c r="D12" i="52"/>
  <c r="C8" i="69"/>
  <c r="C5" i="69" s="1"/>
  <c r="C35" i="68"/>
  <c r="C33" i="68" s="1"/>
  <c r="C38" i="69"/>
  <c r="D17" i="12"/>
  <c r="C17" i="12" s="1"/>
  <c r="C29" i="69"/>
  <c r="D27" i="69" s="1"/>
  <c r="F45" i="69"/>
  <c r="C20" i="11"/>
  <c r="C16" i="80"/>
  <c r="C17" i="80"/>
  <c r="C17" i="15"/>
  <c r="G1" i="73"/>
  <c r="C16" i="15"/>
  <c r="C14" i="67"/>
  <c r="C17" i="67"/>
  <c r="C16" i="67"/>
  <c r="AB19" i="34" l="1"/>
  <c r="U19" i="34"/>
  <c r="AC19" i="34"/>
  <c r="W19" i="34"/>
  <c r="C16" i="12"/>
  <c r="C21" i="12" s="1"/>
  <c r="C22" i="12" s="1"/>
  <c r="C30" i="12" s="1"/>
  <c r="C28" i="12" s="1"/>
  <c r="AC29" i="34"/>
  <c r="W29" i="34"/>
  <c r="E53" i="34"/>
  <c r="F53" i="34" s="1"/>
  <c r="C33" i="69"/>
  <c r="AB29" i="34"/>
  <c r="U29" i="34"/>
  <c r="C18" i="67"/>
  <c r="C15" i="67"/>
  <c r="B40" i="1"/>
  <c r="J19" i="80"/>
  <c r="J18" i="80"/>
  <c r="C19" i="15"/>
  <c r="C19" i="80"/>
  <c r="C39" i="69"/>
  <c r="C39" i="68"/>
  <c r="C91" i="9"/>
  <c r="C20" i="69"/>
  <c r="C28" i="69" s="1"/>
  <c r="C27" i="69" s="1"/>
  <c r="C28" i="11"/>
  <c r="C27" i="11" s="1"/>
  <c r="M11" i="67"/>
  <c r="J10" i="67" s="1"/>
  <c r="J5" i="67" s="1"/>
  <c r="F11" i="80"/>
  <c r="M11" i="15"/>
  <c r="J10" i="15" s="1"/>
  <c r="J5" i="15" s="1"/>
  <c r="F11" i="67"/>
  <c r="M11" i="80"/>
  <c r="J10" i="80" s="1"/>
  <c r="J5" i="80" s="1"/>
  <c r="F11" i="15"/>
  <c r="C10" i="15" s="1"/>
  <c r="C5" i="15" s="1"/>
  <c r="Q74" i="67"/>
  <c r="Q61" i="67"/>
  <c r="J18" i="67"/>
  <c r="J19" i="67"/>
  <c r="C49" i="67"/>
  <c r="J18" i="15"/>
  <c r="J19" i="15"/>
  <c r="Q52" i="80"/>
  <c r="F1" i="80"/>
  <c r="Q73" i="15"/>
  <c r="Q60" i="15"/>
  <c r="Q73" i="80"/>
  <c r="Q60" i="80"/>
  <c r="Q52" i="15"/>
  <c r="F1" i="15"/>
  <c r="Q73" i="67"/>
  <c r="Q60" i="67"/>
  <c r="C33" i="67"/>
  <c r="C32" i="67"/>
  <c r="C61" i="80"/>
  <c r="C33" i="15"/>
  <c r="C32" i="15"/>
  <c r="Q52" i="67"/>
  <c r="F1" i="67"/>
  <c r="Q66" i="80"/>
  <c r="Q57" i="80"/>
  <c r="Q74" i="15"/>
  <c r="Q61" i="15"/>
  <c r="C61" i="15"/>
  <c r="Q74" i="80"/>
  <c r="Q61" i="80"/>
  <c r="C33" i="80"/>
  <c r="C32" i="80"/>
  <c r="Q57" i="15"/>
  <c r="Q66" i="15"/>
  <c r="AE7" i="1"/>
  <c r="AE6" i="1"/>
  <c r="T49" i="34" l="1"/>
  <c r="R50" i="34" s="1"/>
  <c r="V49" i="34"/>
  <c r="I49" i="34" s="1"/>
  <c r="I54" i="34"/>
  <c r="J54" i="34" s="1"/>
  <c r="I53" i="34"/>
  <c r="J53" i="34" s="1"/>
  <c r="G49" i="34"/>
  <c r="C31" i="80"/>
  <c r="C53" i="15"/>
  <c r="C48" i="15" s="1"/>
  <c r="C60" i="15" s="1"/>
  <c r="C59" i="15" s="1"/>
  <c r="C31" i="67"/>
  <c r="J17" i="67"/>
  <c r="C31" i="15"/>
  <c r="J17" i="15"/>
  <c r="C19" i="67"/>
  <c r="AG6" i="1"/>
  <c r="AG7" i="1"/>
  <c r="J24" i="80"/>
  <c r="J24" i="15"/>
  <c r="J24" i="67"/>
  <c r="J26" i="67"/>
  <c r="J29" i="67" s="1"/>
  <c r="C46" i="68"/>
  <c r="C45" i="68" s="1"/>
  <c r="C46" i="69"/>
  <c r="C45" i="69" s="1"/>
  <c r="C61" i="67"/>
  <c r="C53" i="67"/>
  <c r="C48" i="67" s="1"/>
  <c r="C10" i="67"/>
  <c r="C5" i="67" s="1"/>
  <c r="C10" i="80"/>
  <c r="C5" i="80" s="1"/>
  <c r="C53" i="80"/>
  <c r="C48" i="80" s="1"/>
  <c r="C94" i="9"/>
  <c r="C92" i="9"/>
  <c r="C20" i="15"/>
  <c r="C26" i="15" s="1"/>
  <c r="J17" i="80"/>
  <c r="L36" i="43"/>
  <c r="F22" i="11"/>
  <c r="F24" i="67"/>
  <c r="C24" i="67" s="1"/>
  <c r="F24" i="80"/>
  <c r="C24" i="80" s="1"/>
  <c r="F24" i="15"/>
  <c r="C24" i="15" s="1"/>
  <c r="F22" i="69"/>
  <c r="F22" i="68"/>
  <c r="C43" i="68" s="1"/>
  <c r="F25" i="12"/>
  <c r="C38" i="15"/>
  <c r="C20" i="80"/>
  <c r="C26" i="80" s="1"/>
  <c r="M27" i="15"/>
  <c r="M27" i="80"/>
  <c r="C66" i="15" l="1"/>
  <c r="C49" i="34"/>
  <c r="C50" i="34"/>
  <c r="G54" i="34"/>
  <c r="H54" i="34" s="1"/>
  <c r="G53" i="34"/>
  <c r="H53" i="34" s="1"/>
  <c r="E54" i="34"/>
  <c r="F54" i="34" s="1"/>
  <c r="C20" i="67"/>
  <c r="C26" i="67" s="1"/>
  <c r="C26" i="12"/>
  <c r="D25" i="12" s="1"/>
  <c r="C27" i="12"/>
  <c r="C25" i="12" s="1"/>
  <c r="C44" i="69"/>
  <c r="D41" i="69" s="1"/>
  <c r="F41" i="69"/>
  <c r="C26" i="69"/>
  <c r="D22" i="69" s="1"/>
  <c r="C42" i="69"/>
  <c r="C23" i="69"/>
  <c r="C24" i="69"/>
  <c r="C66" i="80"/>
  <c r="C60" i="80"/>
  <c r="C59" i="80" s="1"/>
  <c r="C23" i="80"/>
  <c r="C29" i="80" s="1"/>
  <c r="C43" i="69"/>
  <c r="C44" i="68"/>
  <c r="D41" i="68" s="1"/>
  <c r="F41" i="68"/>
  <c r="C26" i="68"/>
  <c r="D22" i="68" s="1"/>
  <c r="C23" i="68"/>
  <c r="C24" i="68"/>
  <c r="C42" i="68"/>
  <c r="C41" i="68" s="1"/>
  <c r="C25" i="68"/>
  <c r="L37" i="43"/>
  <c r="P36" i="43"/>
  <c r="N36" i="43"/>
  <c r="Q36" i="43"/>
  <c r="M36" i="43"/>
  <c r="O36" i="43"/>
  <c r="C23" i="15"/>
  <c r="C29" i="15" s="1"/>
  <c r="C25" i="69"/>
  <c r="C38" i="80"/>
  <c r="C44" i="11"/>
  <c r="D41" i="11" s="1"/>
  <c r="C42" i="11"/>
  <c r="C26" i="11"/>
  <c r="D22" i="11" s="1"/>
  <c r="C24" i="11"/>
  <c r="C43" i="11"/>
  <c r="C23" i="11"/>
  <c r="C25" i="11"/>
  <c r="C38" i="67"/>
  <c r="C60" i="67"/>
  <c r="C59" i="67" s="1"/>
  <c r="C66" i="67"/>
  <c r="C23" i="67" l="1"/>
  <c r="C29" i="67" s="1"/>
  <c r="C36" i="67" s="1"/>
  <c r="C32" i="12"/>
  <c r="B2" i="12" s="1"/>
  <c r="B3" i="12" s="1"/>
  <c r="C22" i="11"/>
  <c r="C31" i="11" s="1"/>
  <c r="C41" i="11"/>
  <c r="C49" i="11" s="1"/>
  <c r="C51" i="11" s="1"/>
  <c r="Q49" i="67"/>
  <c r="Q49" i="15"/>
  <c r="C57" i="15"/>
  <c r="C64" i="15" s="1"/>
  <c r="C36" i="15"/>
  <c r="J14" i="15"/>
  <c r="C13" i="15"/>
  <c r="J59" i="15"/>
  <c r="J60" i="15" s="1"/>
  <c r="P37" i="43"/>
  <c r="N37" i="43"/>
  <c r="O37" i="43"/>
  <c r="M37" i="43"/>
  <c r="Q37" i="43"/>
  <c r="C49" i="68"/>
  <c r="C51" i="68" s="1"/>
  <c r="C22" i="68"/>
  <c r="C31" i="68" s="1"/>
  <c r="Q49" i="80"/>
  <c r="C36" i="80"/>
  <c r="J14" i="80"/>
  <c r="C13" i="80"/>
  <c r="C57" i="80"/>
  <c r="C64" i="80" s="1"/>
  <c r="J59" i="80"/>
  <c r="J60" i="80" s="1"/>
  <c r="C22" i="69"/>
  <c r="C31" i="69" s="1"/>
  <c r="C41" i="69"/>
  <c r="C49" i="69" s="1"/>
  <c r="C51" i="69" s="1"/>
  <c r="C13" i="67" l="1"/>
  <c r="C56" i="67" s="1"/>
  <c r="C65" i="67" s="1"/>
  <c r="C57" i="67"/>
  <c r="C64" i="67" s="1"/>
  <c r="J59" i="67"/>
  <c r="J60" i="67" s="1"/>
  <c r="Q48" i="67" s="1"/>
  <c r="J14" i="67"/>
  <c r="C52" i="68"/>
  <c r="C57" i="68" s="1"/>
  <c r="C56" i="68" s="1"/>
  <c r="C52" i="11"/>
  <c r="B2" i="11" s="1"/>
  <c r="B3" i="11" s="1"/>
  <c r="Q48" i="80"/>
  <c r="L46" i="80"/>
  <c r="C75" i="80"/>
  <c r="Q70" i="80"/>
  <c r="C56" i="80"/>
  <c r="C65" i="80" s="1"/>
  <c r="C58" i="80" s="1"/>
  <c r="C67" i="80" s="1"/>
  <c r="C68" i="80" s="1"/>
  <c r="C37" i="80"/>
  <c r="C30" i="80" s="1"/>
  <c r="C39" i="80" s="1"/>
  <c r="C52" i="69"/>
  <c r="B2" i="69" s="1"/>
  <c r="B3" i="69" s="1"/>
  <c r="J13" i="80"/>
  <c r="J23" i="80" s="1"/>
  <c r="J22" i="80"/>
  <c r="Q48" i="15"/>
  <c r="L46" i="15"/>
  <c r="J22" i="15"/>
  <c r="J13" i="15"/>
  <c r="J23" i="15" s="1"/>
  <c r="J22" i="67"/>
  <c r="J13" i="67"/>
  <c r="J23" i="67" s="1"/>
  <c r="C56" i="11"/>
  <c r="C57" i="11" s="1"/>
  <c r="C56" i="15"/>
  <c r="C65" i="15" s="1"/>
  <c r="C58" i="15" s="1"/>
  <c r="C67" i="15" s="1"/>
  <c r="C68" i="15" s="1"/>
  <c r="C75" i="15"/>
  <c r="Q70" i="15"/>
  <c r="C37" i="15"/>
  <c r="C30" i="15" s="1"/>
  <c r="C39" i="15" s="1"/>
  <c r="C37" i="67"/>
  <c r="C30" i="67" s="1"/>
  <c r="C39" i="67" s="1"/>
  <c r="C58" i="67" l="1"/>
  <c r="C67" i="67" s="1"/>
  <c r="C68" i="67" s="1"/>
  <c r="C71" i="67" s="1"/>
  <c r="Q70" i="67"/>
  <c r="C75" i="67"/>
  <c r="C80" i="67" s="1"/>
  <c r="C79" i="67" s="1"/>
  <c r="L46" i="67"/>
  <c r="C57" i="69"/>
  <c r="C56" i="69" s="1"/>
  <c r="J16" i="15"/>
  <c r="J25" i="15" s="1"/>
  <c r="J26" i="15" s="1"/>
  <c r="J29" i="15" s="1"/>
  <c r="J16" i="80"/>
  <c r="J25" i="80" s="1"/>
  <c r="J26" i="80" s="1"/>
  <c r="J29" i="80" s="1"/>
  <c r="Q69" i="67"/>
  <c r="Q68" i="67" s="1"/>
  <c r="C40" i="67"/>
  <c r="C45" i="67" s="1"/>
  <c r="C46" i="67" s="1"/>
  <c r="C80" i="15"/>
  <c r="C79" i="15" s="1"/>
  <c r="C71" i="15"/>
  <c r="J16" i="67"/>
  <c r="J25" i="67" s="1"/>
  <c r="Q69" i="80"/>
  <c r="Q68" i="80" s="1"/>
  <c r="C40" i="80"/>
  <c r="Q69" i="15"/>
  <c r="Q68" i="15" s="1"/>
  <c r="C40" i="15"/>
  <c r="C71" i="80"/>
  <c r="C80" i="80"/>
  <c r="C79" i="80" s="1"/>
  <c r="L51" i="67"/>
  <c r="L51" i="80"/>
  <c r="L51" i="15"/>
  <c r="Q67" i="15" l="1"/>
  <c r="Q67" i="80"/>
  <c r="Q67" i="67"/>
  <c r="L57" i="67"/>
  <c r="L60" i="67" s="1"/>
  <c r="Q65" i="80"/>
  <c r="Q75" i="80" s="1"/>
  <c r="Q56" i="80"/>
  <c r="Q62" i="80" s="1"/>
  <c r="C43" i="80"/>
  <c r="B2" i="80"/>
  <c r="Q47" i="80"/>
  <c r="Q53" i="80" s="1"/>
  <c r="H40" i="80"/>
  <c r="C83" i="80"/>
  <c r="C82" i="80" s="1"/>
  <c r="Q65" i="67"/>
  <c r="Q56" i="67"/>
  <c r="Q47" i="67"/>
  <c r="Q53" i="67" s="1"/>
  <c r="C43" i="67"/>
  <c r="D2" i="67"/>
  <c r="C83" i="67"/>
  <c r="C82" i="67" s="1"/>
  <c r="C46" i="80"/>
  <c r="Q65" i="15"/>
  <c r="Q75" i="15" s="1"/>
  <c r="Q56" i="15"/>
  <c r="Q62" i="15" s="1"/>
  <c r="C43" i="15"/>
  <c r="Q47" i="15"/>
  <c r="Q53" i="15" s="1"/>
  <c r="B2" i="15"/>
  <c r="C83" i="15"/>
  <c r="C82" i="15" s="1"/>
  <c r="C46" i="15"/>
  <c r="AO7" i="1"/>
  <c r="D2" i="34"/>
  <c r="AO6" i="1"/>
  <c r="E2" i="68"/>
  <c r="L2" i="34" l="1"/>
  <c r="B2" i="68"/>
  <c r="B6" i="70"/>
  <c r="B2" i="34"/>
  <c r="B7" i="70"/>
  <c r="B3" i="15"/>
  <c r="B3" i="67"/>
  <c r="B2" i="67"/>
  <c r="B3" i="80"/>
  <c r="Q57" i="67"/>
  <c r="Q62" i="67" s="1"/>
  <c r="Q66" i="67"/>
  <c r="Q75" i="67" s="1"/>
  <c r="C19" i="9"/>
  <c r="C102" i="9" l="1"/>
  <c r="C21" i="9"/>
  <c r="B2" i="70"/>
  <c r="B3" i="34"/>
  <c r="B3" i="68"/>
  <c r="C20" i="9"/>
  <c r="D19" i="9"/>
  <c r="D35" i="9"/>
  <c r="D34" i="9"/>
  <c r="D102" i="9" l="1"/>
  <c r="D21" i="9"/>
  <c r="G19" i="9"/>
  <c r="D22" i="9"/>
  <c r="C103" i="9"/>
  <c r="B3" i="70"/>
  <c r="D20" i="9"/>
  <c r="D103" i="9" l="1"/>
  <c r="G20" i="9"/>
  <c r="C32" i="9"/>
  <c r="G24" i="9"/>
  <c r="D27" i="9"/>
  <c r="G21" i="9"/>
  <c r="H118" i="9" l="1"/>
  <c r="C35" i="9"/>
  <c r="F118" i="9" s="1"/>
  <c r="C34" i="9"/>
  <c r="D118" i="9" s="1"/>
  <c r="D119" i="9" l="1"/>
  <c r="D5" i="52" s="1"/>
  <c r="B49" i="72" s="1"/>
  <c r="D4" i="52"/>
  <c r="B47" i="72" s="1"/>
  <c r="H119" i="9"/>
  <c r="H5" i="52" s="1"/>
  <c r="H101" i="9"/>
  <c r="I118" i="9"/>
  <c r="C104" i="9"/>
  <c r="D14" i="74"/>
  <c r="H4" i="52"/>
  <c r="F119" i="9"/>
  <c r="F5" i="52" s="1"/>
  <c r="B53" i="72" s="1"/>
  <c r="G118" i="9"/>
  <c r="G4" i="52" s="1"/>
  <c r="B52" i="72" s="1"/>
  <c r="F4" i="52"/>
  <c r="B51" i="72" s="1"/>
  <c r="E118" i="9" l="1"/>
  <c r="E4" i="52" s="1"/>
  <c r="B48" i="72" s="1"/>
  <c r="C105" i="9"/>
  <c r="H102" i="9"/>
  <c r="D7" i="53" s="1"/>
  <c r="B21" i="72" s="1"/>
  <c r="I4" i="52"/>
  <c r="D45" i="9"/>
  <c r="H107" i="9"/>
  <c r="M48" i="9"/>
  <c r="D5" i="53"/>
  <c r="G14" i="74"/>
  <c r="B6" i="74" s="1"/>
  <c r="E14" i="74"/>
  <c r="B5" i="74"/>
  <c r="F14" i="74"/>
  <c r="D5" i="74" l="1"/>
  <c r="C5" i="74"/>
  <c r="D6" i="74"/>
  <c r="C93" i="9"/>
  <c r="C86" i="9" s="1"/>
  <c r="C78" i="9"/>
  <c r="C73" i="9" s="1"/>
  <c r="D52" i="9"/>
  <c r="C85" i="9"/>
  <c r="C72" i="9"/>
  <c r="C64" i="9"/>
  <c r="C63" i="9" s="1"/>
  <c r="C67" i="9" s="1"/>
  <c r="C68" i="9" s="1"/>
  <c r="D54" i="9" s="1"/>
  <c r="D55" i="9"/>
  <c r="M53" i="9" s="1"/>
  <c r="D53" i="9"/>
  <c r="D48" i="9" s="1"/>
  <c r="M52" i="9" s="1"/>
  <c r="D6" i="53"/>
  <c r="B22" i="72" s="1"/>
  <c r="B20" i="72"/>
  <c r="D122" i="9"/>
  <c r="H108" i="9"/>
  <c r="D15" i="53" s="1"/>
  <c r="B31" i="72" s="1"/>
  <c r="M49" i="9"/>
  <c r="D13" i="53"/>
  <c r="C79" i="9" l="1"/>
  <c r="C80" i="9" s="1"/>
  <c r="C6" i="74"/>
  <c r="L66" i="9"/>
  <c r="M66" i="9" s="1"/>
  <c r="L65" i="9"/>
  <c r="M65" i="9" s="1"/>
  <c r="L64" i="9"/>
  <c r="M64" i="9" s="1"/>
  <c r="L68" i="9"/>
  <c r="M68" i="9" s="1"/>
  <c r="L67" i="9"/>
  <c r="M67" i="9" s="1"/>
  <c r="L63" i="9"/>
  <c r="M63" i="9" s="1"/>
  <c r="D123" i="9"/>
  <c r="D9" i="52" s="1"/>
  <c r="D8" i="52"/>
  <c r="D14" i="53"/>
  <c r="B32" i="72" s="1"/>
  <c r="B30" i="72"/>
  <c r="C95" i="9"/>
  <c r="E80" i="9" l="1"/>
  <c r="E81" i="9" s="1"/>
  <c r="C81" i="9"/>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<sst xmlns="http://schemas.openxmlformats.org/spreadsheetml/2006/main" count="8420" uniqueCount="2834">
  <si>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</si>
  <si>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</si>
  <si>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</si>
  <si>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</si>
  <si>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</si>
  <si>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</si>
  <si>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</si>
  <si>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</si>
  <si>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</si>
  <si>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</si>
  <si>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</si>
  <si>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</si>
  <si>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</si>
  <si>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</si>
  <si>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</si>
  <si>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</si>
  <si>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</si>
  <si>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</si>
  <si>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</si>
  <si>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</si>
  <si>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</si>
  <si>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</si>
  <si>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</si>
  <si>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</si>
  <si>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</si>
  <si>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</si>
  <si>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</si>
  <si>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</si>
  <si>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</si>
  <si>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</si>
  <si>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</si>
  <si>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</si>
  <si>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</si>
  <si>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</si>
  <si>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</si>
  <si>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</si>
  <si>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</si>
  <si>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</si>
  <si>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</si>
  <si>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</si>
  <si>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</si>
  <si>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</si>
  <si>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</si>
  <si>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</si>
  <si>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</si>
  <si>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</si>
  <si>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</si>
  <si>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</si>
  <si>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</si>
  <si>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</si>
  <si>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</si>
  <si>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</si>
  <si>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</si>
  <si>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</si>
  <si>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</si>
  <si>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</si>
  <si>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</si>
  <si>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</si>
  <si>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</si>
  <si>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</si>
  <si>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</si>
  <si>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</si>
  <si>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</si>
  <si>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</si>
  <si>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</si>
  <si>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</si>
  <si>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</si>
  <si>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</si>
  <si>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</si>
  <si>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</si>
  <si>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</si>
  <si>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</si>
  <si>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</si>
  <si>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</si>
  <si>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</si>
  <si>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</si>
  <si>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</si>
  <si>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</si>
  <si>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</si>
  <si>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</si>
  <si>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</si>
  <si>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</si>
  <si>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</si>
  <si>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</si>
  <si>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</si>
  <si>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</si>
  <si>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</si>
  <si>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</si>
  <si>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</si>
  <si>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</si>
  <si>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</si>
  <si>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</si>
  <si>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</si>
  <si>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</si>
  <si>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</si>
  <si>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</si>
  <si>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</si>
  <si>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</si>
  <si>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</si>
  <si>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</si>
  <si>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</si>
  <si>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</si>
  <si>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</si>
  <si>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</si>
  <si>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</si>
  <si>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</si>
  <si>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</si>
  <si>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</si>
  <si>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</si>
  <si>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</si>
  <si>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</si>
  <si>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</si>
  <si>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</si>
  <si>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</si>
  <si>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</si>
  <si>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</si>
  <si>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</si>
  <si>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</si>
  <si>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</si>
  <si>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</si>
  <si>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</si>
  <si>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</si>
  <si>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</si>
  <si>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</si>
  <si>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</si>
  <si>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</si>
  <si>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</si>
  <si>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</si>
  <si>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</si>
  <si>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</si>
  <si>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</si>
  <si>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</si>
  <si>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</si>
  <si>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</si>
  <si>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</si>
  <si>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</si>
  <si>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</si>
  <si>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</si>
  <si>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</si>
  <si>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</si>
  <si>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</si>
  <si>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</si>
  <si>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</si>
  <si>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</si>
  <si>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</si>
  <si>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</si>
  <si>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</si>
  <si>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</si>
  <si>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</si>
  <si>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</si>
  <si>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</si>
  <si>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</si>
  <si>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</si>
  <si>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</si>
  <si>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</si>
  <si>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</si>
  <si>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</si>
  <si>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</si>
  <si>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</si>
  <si>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</si>
  <si>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</si>
  <si>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</si>
  <si>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</si>
  <si>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</si>
  <si>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</si>
  <si>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</si>
  <si>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</si>
  <si>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</si>
  <si>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</si>
  <si>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</si>
  <si>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</si>
  <si>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</si>
  <si>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</si>
  <si>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</si>
  <si>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</si>
  <si>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</si>
  <si>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</si>
  <si>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</si>
  <si>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</si>
  <si>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</si>
  <si>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</si>
  <si>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</si>
  <si>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</si>
  <si>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</si>
  <si>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</si>
  <si>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</si>
  <si>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</si>
  <si>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</si>
  <si>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</si>
  <si>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</si>
  <si>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</si>
  <si>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</si>
  <si>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</si>
  <si>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</si>
  <si>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</si>
  <si>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</si>
  <si>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</si>
  <si>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</si>
  <si>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</si>
  <si>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</si>
  <si>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</si>
  <si>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</si>
  <si>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</si>
  <si>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</si>
  <si>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</si>
  <si>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</si>
  <si>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</si>
  <si>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</si>
  <si>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</si>
  <si>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</si>
  <si>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</si>
  <si>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</si>
  <si>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</si>
  <si>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</si>
  <si>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</si>
  <si>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</si>
  <si>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</si>
  <si>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</si>
  <si>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</si>
  <si>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</si>
  <si>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</si>
  <si>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</si>
  <si>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</si>
  <si>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</si>
  <si>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</si>
  <si>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</si>
  <si>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</si>
  <si>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</si>
  <si>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</si>
  <si>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</si>
  <si>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</si>
  <si>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</si>
  <si>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</si>
  <si>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</si>
  <si>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</si>
  <si>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</si>
  <si>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</si>
  <si>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</si>
  <si>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</si>
  <si>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</si>
  <si>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</si>
  <si>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</si>
  <si>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</si>
  <si>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</si>
  <si>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</si>
  <si>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</si>
  <si>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</si>
  <si>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</si>
  <si>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</si>
  <si>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</si>
  <si>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</si>
  <si>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</si>
  <si>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</si>
  <si>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</si>
  <si>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</si>
  <si>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</si>
  <si>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</si>
  <si>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</si>
  <si>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</si>
  <si>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</si>
  <si>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</si>
  <si>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</si>
  <si>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</si>
  <si>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</si>
  <si>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</si>
  <si>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</si>
  <si>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</si>
  <si>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</si>
  <si>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</si>
  <si>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</si>
  <si>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</si>
  <si>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</si>
  <si>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</si>
  <si>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</si>
  <si>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</si>
  <si>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</si>
  <si>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</si>
  <si>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</si>
  <si>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</si>
  <si>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</si>
  <si>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</si>
  <si>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</si>
  <si>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</si>
  <si>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</si>
  <si>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</si>
  <si>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</si>
  <si>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</si>
  <si>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</si>
  <si>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</si>
  <si>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</si>
  <si>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</si>
  <si>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</si>
  <si>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</si>
  <si>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</si>
  <si>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</si>
  <si>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</si>
  <si>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</si>
  <si>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</si>
  <si>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</si>
  <si>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</si>
  <si>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</si>
  <si>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</si>
  <si>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</si>
  <si>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</si>
  <si>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</si>
  <si>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</si>
  <si>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</si>
  <si>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</si>
  <si>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</si>
  <si>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</si>
  <si>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</si>
  <si>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</si>
  <si>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</si>
  <si>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</si>
  <si>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</si>
  <si>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</si>
  <si>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</si>
  <si>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</si>
  <si>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</si>
  <si>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</si>
  <si>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</si>
  <si>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</si>
  <si>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</si>
  <si>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</si>
  <si>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</si>
  <si>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</si>
  <si>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</si>
  <si>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</si>
  <si>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</si>
  <si>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</si>
  <si>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</si>
  <si>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</si>
  <si>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</si>
  <si>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</si>
  <si>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</si>
  <si>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</si>
  <si>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</si>
  <si>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</si>
  <si>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</si>
  <si>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</si>
  <si>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</si>
  <si>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</si>
  <si>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</si>
  <si>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</si>
  <si>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</si>
  <si>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</si>
  <si>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</si>
  <si>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</si>
  <si>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</si>
  <si>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</si>
  <si>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</si>
  <si>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</si>
  <si>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</si>
  <si>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</si>
  <si>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</si>
  <si>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</si>
  <si>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</si>
  <si>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</si>
  <si>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</si>
  <si>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</si>
  <si>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</si>
  <si>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</si>
  <si>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</si>
  <si>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</si>
  <si>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</si>
  <si>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</si>
  <si>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</si>
  <si>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</si>
  <si>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</si>
  <si>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</si>
  <si>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</si>
  <si>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</si>
  <si>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</si>
  <si>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</si>
  <si>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</si>
  <si>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</si>
  <si>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</si>
  <si>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</si>
  <si>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</si>
  <si>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</si>
  <si>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</si>
  <si>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</si>
  <si>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</si>
  <si>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</si>
  <si>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</si>
  <si>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</si>
  <si>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</si>
  <si>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</si>
  <si>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</si>
  <si>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</si>
  <si>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</si>
  <si>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</si>
  <si>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</si>
  <si>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</si>
  <si>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</si>
  <si>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</si>
  <si>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</si>
  <si>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</si>
  <si>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</si>
  <si>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</si>
  <si>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</si>
  <si>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</si>
  <si>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</si>
  <si>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</si>
  <si>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</si>
  <si>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</si>
  <si>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</si>
  <si>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</si>
  <si>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</si>
  <si>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</si>
  <si>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</si>
  <si>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</si>
  <si>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</si>
  <si>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</si>
  <si>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</si>
  <si>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</si>
  <si>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</si>
  <si>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</si>
  <si>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</si>
  <si>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</si>
  <si>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</si>
  <si>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</si>
  <si>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</si>
  <si>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</si>
  <si>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</si>
  <si>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</si>
  <si>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</si>
  <si>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</si>
  <si>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</si>
  <si>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</si>
  <si>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</si>
  <si>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</si>
  <si>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</si>
  <si>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</si>
  <si>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</si>
  <si>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</si>
  <si>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</si>
  <si>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</si>
  <si>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</si>
  <si>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</si>
  <si>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</si>
  <si>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</si>
  <si>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</si>
  <si>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</si>
  <si>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</si>
  <si>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</si>
  <si>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</si>
  <si>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</si>
  <si>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</si>
  <si>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</si>
  <si>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</si>
  <si>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</si>
  <si>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</si>
  <si>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</si>
  <si>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</si>
  <si>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</si>
  <si>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</si>
  <si>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</si>
  <si>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</si>
  <si>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</si>
  <si>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</si>
  <si>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</si>
  <si>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</si>
  <si>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</si>
  <si>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</si>
  <si>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</si>
  <si>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</si>
  <si>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</si>
  <si>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</si>
  <si>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</si>
  <si>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</si>
  <si>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</si>
  <si>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</si>
  <si>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</si>
  <si>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</si>
  <si>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</si>
  <si>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</si>
  <si>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</si>
  <si>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</si>
  <si>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</si>
  <si>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</si>
  <si>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</si>
  <si>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</si>
  <si>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</si>
  <si>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</si>
  <si>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</si>
  <si>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</si>
  <si>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</si>
  <si>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</si>
  <si>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</si>
  <si>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</si>
  <si>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</si>
  <si>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</si>
  <si>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</si>
  <si>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</si>
  <si>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</si>
  <si>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</si>
  <si>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</si>
  <si>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</si>
  <si>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</si>
  <si>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</si>
  <si>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</si>
  <si>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</si>
  <si>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</si>
  <si>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</si>
  <si>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</si>
  <si>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</si>
  <si>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</si>
  <si>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</si>
  <si>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</si>
  <si>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</si>
  <si>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</si>
  <si>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</si>
  <si>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</si>
  <si>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</si>
  <si>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</si>
  <si>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</si>
  <si>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</si>
  <si>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</si>
  <si>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</si>
  <si>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</si>
  <si>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</si>
  <si>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</si>
  <si>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</si>
  <si>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</si>
  <si>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</si>
  <si>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</si>
  <si>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</si>
  <si>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</si>
  <si>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</si>
  <si>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</si>
  <si>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</si>
  <si>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</si>
  <si>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</si>
  <si>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</si>
  <si>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</si>
  <si>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</si>
  <si>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</si>
  <si>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</si>
  <si>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</si>
  <si>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</si>
  <si>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</si>
  <si>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</si>
  <si>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</si>
  <si>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</si>
  <si>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</si>
  <si>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</si>
  <si>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</si>
  <si>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</si>
  <si>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</si>
  <si>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</si>
  <si>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</si>
  <si>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</si>
  <si>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</si>
  <si>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</si>
  <si>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</si>
  <si>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</si>
  <si>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</si>
  <si>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</si>
  <si>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</si>
  <si>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</si>
  <si>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</si>
  <si>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</si>
  <si>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</si>
  <si>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</si>
  <si>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</si>
  <si>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</si>
  <si>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</si>
  <si>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</si>
  <si>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</si>
  <si>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</si>
  <si>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</si>
  <si>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</si>
  <si>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</si>
  <si>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</si>
  <si>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</si>
  <si>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</si>
  <si>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</si>
  <si>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</si>
  <si>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</si>
  <si>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</si>
  <si>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</si>
  <si>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</si>
  <si>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</si>
  <si>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</si>
  <si>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</si>
  <si>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</si>
  <si>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</si>
  <si>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</si>
  <si>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</si>
  <si>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</si>
  <si>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</si>
  <si>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</si>
  <si>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</si>
  <si>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</si>
  <si>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</si>
  <si>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</si>
  <si>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</si>
  <si>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</si>
  <si>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</si>
  <si>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</si>
  <si>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</si>
  <si>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</si>
  <si>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</si>
  <si>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</si>
  <si>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</si>
  <si>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</si>
  <si>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</si>
  <si>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</si>
  <si>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</si>
  <si>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</si>
  <si>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</si>
  <si>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</si>
  <si>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</si>
  <si>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</si>
  <si>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</si>
  <si>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</si>
  <si>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</si>
  <si>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</si>
  <si>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</si>
  <si>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</si>
  <si>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</si>
  <si>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</si>
  <si>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</si>
  <si>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</si>
  <si>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</si>
  <si>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</si>
  <si>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</si>
  <si>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</si>
  <si>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</si>
  <si>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</si>
  <si>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</si>
  <si>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</si>
  <si>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</si>
  <si>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</si>
  <si>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</si>
  <si>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</si>
  <si>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</si>
  <si>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</si>
  <si>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</si>
  <si>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</si>
  <si>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</si>
  <si>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</si>
  <si>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</si>
  <si>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</si>
  <si>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</si>
  <si>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</si>
  <si>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</si>
  <si>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</si>
  <si>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</si>
  <si>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</si>
  <si>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</si>
  <si>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</si>
  <si>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</si>
  <si>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</si>
  <si>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</si>
  <si>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</si>
  <si>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</si>
  <si>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</si>
  <si>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</si>
  <si>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</si>
  <si>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</si>
  <si>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</si>
  <si>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</si>
  <si>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</si>
  <si>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</si>
  <si>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</si>
  <si>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</si>
  <si>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</si>
  <si>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</si>
  <si>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</si>
  <si>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</si>
  <si>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</si>
  <si>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</si>
  <si>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</si>
  <si>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</si>
  <si>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</si>
  <si>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</si>
  <si>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</si>
  <si>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</si>
  <si>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</si>
  <si>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</si>
  <si>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</si>
  <si>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</si>
  <si>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</si>
  <si>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</si>
  <si>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</si>
  <si>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</si>
  <si>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</si>
  <si>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</si>
  <si>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</si>
  <si>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</si>
  <si>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</si>
  <si>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</si>
  <si>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</si>
  <si>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</si>
  <si>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</si>
  <si>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</si>
  <si>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</si>
  <si>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</si>
  <si>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</si>
  <si>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</si>
  <si>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</si>
  <si>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</si>
  <si>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</si>
  <si>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</si>
  <si>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</si>
  <si>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</si>
  <si>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</si>
  <si>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</si>
  <si>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</si>
  <si>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</si>
  <si>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</si>
  <si>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</si>
  <si>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</si>
  <si>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</si>
  <si>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</si>
  <si>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</si>
  <si>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</si>
  <si>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</si>
  <si>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</si>
  <si>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</si>
  <si>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</si>
  <si>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</si>
  <si>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</si>
  <si>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</si>
  <si>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</si>
  <si>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</si>
  <si>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</si>
  <si>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</si>
  <si>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</si>
  <si>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</si>
  <si>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</si>
  <si>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</si>
  <si>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</si>
  <si>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</si>
  <si>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</si>
  <si>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</si>
  <si>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</si>
  <si>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</si>
  <si>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</si>
  <si>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</si>
  <si>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</si>
  <si>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</si>
  <si>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</si>
  <si>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</si>
  <si>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</si>
  <si>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</si>
  <si>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</si>
  <si>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</si>
  <si>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</si>
  <si>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</si>
  <si>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</si>
  <si>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</si>
  <si>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</si>
  <si>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</si>
  <si>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</si>
  <si>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</si>
  <si>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</si>
  <si>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</si>
  <si>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</si>
  <si>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</si>
  <si>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</si>
  <si>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</si>
  <si>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</si>
  <si>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</si>
  <si>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</si>
  <si>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</si>
  <si>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</si>
  <si>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</si>
  <si>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</si>
  <si>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</si>
  <si>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</si>
  <si>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</si>
  <si>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</si>
  <si>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</si>
  <si>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</si>
  <si>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</si>
  <si>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</si>
  <si>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</si>
  <si>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</si>
  <si>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</si>
  <si>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</si>
  <si>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</si>
  <si>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</si>
  <si>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</si>
  <si>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</si>
  <si>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</si>
  <si>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</si>
  <si>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</si>
  <si>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</si>
  <si>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</si>
  <si>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</si>
  <si>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</si>
  <si>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</si>
  <si>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</si>
  <si>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</si>
  <si>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</si>
  <si>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</si>
  <si>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</si>
  <si>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</si>
  <si>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</si>
  <si>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</si>
  <si>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</si>
  <si>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</si>
  <si>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</si>
  <si>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</si>
  <si>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</si>
  <si>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</si>
  <si>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</si>
  <si>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</si>
  <si>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</si>
  <si>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</si>
  <si>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</si>
  <si>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</si>
  <si>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</si>
  <si>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</si>
  <si>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</si>
  <si>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</si>
  <si>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</si>
  <si>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</si>
  <si>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</si>
  <si>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</si>
  <si>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</si>
  <si>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</si>
  <si>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</si>
  <si>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</si>
  <si>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</si>
  <si>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</si>
  <si>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</si>
  <si>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</si>
  <si>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</si>
  <si>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</si>
  <si>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</si>
  <si>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</si>
  <si>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</si>
  <si>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</si>
  <si>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</si>
  <si>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</si>
  <si>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</si>
  <si>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</si>
  <si>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</si>
  <si>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</si>
  <si>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</si>
  <si>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</si>
  <si>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</si>
  <si>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</si>
  <si>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</si>
  <si>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</si>
  <si>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</si>
  <si>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</si>
  <si>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</si>
  <si>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</si>
  <si>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</si>
  <si>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</si>
  <si>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</si>
  <si>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</si>
  <si>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</si>
  <si>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</si>
  <si>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</si>
  <si>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</si>
  <si>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</si>
  <si>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</si>
  <si>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</si>
  <si>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</si>
  <si>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</si>
  <si>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</si>
  <si>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</si>
  <si>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</si>
  <si>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</si>
  <si>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</si>
  <si>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</si>
  <si>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</si>
  <si>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</si>
  <si>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</si>
  <si>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</si>
  <si>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</si>
  <si>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</si>
  <si>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</si>
  <si>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</si>
  <si>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</si>
  <si>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</si>
  <si>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</si>
  <si>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</si>
  <si>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</si>
  <si>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</si>
  <si>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</si>
  <si>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</si>
  <si>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</si>
  <si>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</si>
  <si>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</si>
  <si>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</si>
  <si>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</si>
  <si>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</si>
  <si>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</si>
  <si>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</si>
  <si>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</si>
  <si>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</si>
  <si>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</si>
  <si>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</si>
  <si>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</si>
  <si>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</si>
  <si>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</si>
  <si>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</si>
  <si>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</si>
  <si>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</si>
  <si>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</si>
  <si>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</si>
  <si>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</si>
  <si>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</si>
  <si>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</si>
  <si>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</si>
  <si>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</si>
  <si>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</si>
  <si>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</si>
  <si>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</si>
  <si>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</si>
  <si>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</si>
  <si>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</si>
  <si>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</si>
  <si>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</si>
  <si>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</si>
  <si>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</si>
  <si>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</si>
  <si>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</si>
  <si>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</si>
  <si>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</si>
  <si>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</si>
  <si>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</si>
  <si>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</si>
  <si>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</si>
  <si>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</si>
  <si>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</si>
  <si>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</si>
  <si>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</si>
  <si>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</si>
  <si>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</si>
  <si>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</si>
  <si>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</si>
  <si>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</si>
  <si>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</si>
  <si>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</si>
  <si>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</si>
  <si>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</si>
  <si>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</si>
  <si>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</si>
  <si>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</si>
  <si>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</si>
  <si>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</si>
  <si>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</si>
  <si>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</si>
  <si>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</si>
  <si>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</si>
  <si>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</si>
  <si>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</si>
  <si>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</si>
  <si>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</si>
  <si>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</si>
  <si>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</si>
  <si>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</si>
  <si>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</si>
  <si>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</si>
  <si>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</si>
  <si>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</si>
  <si>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</si>
  <si>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</si>
  <si>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</si>
  <si>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</si>
  <si>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</si>
  <si>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</si>
  <si>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</si>
  <si>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</si>
  <si>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</si>
  <si>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</si>
  <si>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</si>
  <si>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</si>
  <si>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</si>
  <si>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</si>
  <si>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</si>
  <si>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</si>
  <si>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</si>
  <si>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</si>
  <si>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</si>
  <si>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</si>
  <si>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</si>
  <si>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</si>
  <si>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</si>
  <si>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</si>
  <si>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</si>
  <si>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</si>
  <si>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</si>
  <si>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</si>
  <si>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</si>
  <si>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</si>
  <si>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</si>
  <si>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</si>
  <si>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</si>
  <si>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</si>
  <si>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</si>
  <si>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</si>
  <si>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</si>
  <si>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</si>
  <si>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</si>
  <si>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</si>
  <si>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</si>
  <si>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</si>
  <si>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</si>
  <si>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</si>
  <si>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</si>
  <si>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</si>
  <si>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</si>
  <si>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</si>
  <si>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</si>
  <si>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</si>
  <si>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</si>
  <si>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</si>
  <si>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</si>
  <si>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</si>
  <si>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</si>
  <si>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</si>
  <si>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</si>
  <si>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</si>
  <si>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</si>
  <si>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</si>
  <si>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</si>
  <si>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</si>
  <si>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</si>
  <si>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</si>
  <si>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</si>
  <si>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</si>
  <si>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</si>
  <si>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</si>
  <si>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</si>
  <si>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</si>
  <si>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</si>
  <si>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</si>
  <si>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</si>
  <si>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</si>
  <si>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</si>
  <si>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</si>
  <si>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</si>
  <si>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</si>
  <si>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</si>
  <si>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</si>
  <si>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</si>
  <si>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</si>
  <si>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</si>
  <si>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</si>
  <si>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</si>
  <si>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</si>
  <si>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</si>
  <si>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</si>
  <si>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</si>
  <si>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</si>
  <si>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</si>
  <si>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</si>
  <si>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</si>
  <si>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</si>
  <si>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</si>
  <si>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</si>
  <si>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</si>
  <si>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</si>
  <si>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</si>
  <si>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</si>
  <si>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</si>
  <si>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</si>
  <si>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</si>
  <si>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</si>
  <si>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</si>
  <si>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</si>
  <si>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</si>
  <si>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</si>
  <si>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</si>
  <si>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</si>
  <si>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</si>
  <si>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</si>
  <si>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</si>
  <si>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</si>
  <si>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</si>
  <si>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</si>
  <si>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</si>
  <si>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</si>
  <si>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</si>
  <si>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</si>
  <si>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</si>
  <si>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</si>
  <si>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</si>
  <si>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</si>
  <si>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</si>
  <si>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</si>
  <si>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</si>
  <si>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</si>
  <si>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</si>
  <si>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</si>
  <si>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</si>
  <si>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</si>
  <si>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</si>
  <si>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</si>
  <si>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</si>
  <si>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</si>
  <si>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</si>
  <si>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</si>
  <si>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</si>
  <si>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</si>
  <si>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</si>
  <si>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</si>
  <si>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</si>
  <si>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</si>
  <si>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</si>
  <si>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</si>
  <si>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</si>
  <si>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</si>
  <si>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</si>
  <si>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</si>
  <si>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</si>
  <si>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</si>
  <si>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</si>
  <si>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</si>
  <si>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</si>
  <si>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</si>
  <si>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</si>
  <si>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</si>
  <si>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</si>
  <si>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</si>
  <si>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</si>
  <si>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</si>
  <si>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</si>
  <si>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</si>
  <si>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</si>
  <si>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</si>
  <si>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</si>
  <si>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</si>
  <si>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</si>
  <si>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</si>
  <si>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</si>
  <si>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</si>
  <si>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</si>
  <si>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</si>
  <si>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</si>
  <si>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</si>
  <si>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</si>
  <si>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</si>
  <si>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</si>
  <si>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</si>
  <si>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</si>
  <si>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</si>
  <si>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</si>
  <si>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</si>
  <si>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</si>
  <si>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</si>
  <si>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</si>
  <si>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</si>
  <si>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</si>
  <si>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</si>
  <si>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</si>
  <si>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</si>
  <si>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</si>
  <si>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</si>
  <si>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</si>
  <si>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</si>
  <si>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</si>
  <si>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</si>
  <si>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</si>
  <si>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</si>
  <si>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</si>
  <si>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</si>
  <si>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</si>
  <si>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</si>
  <si>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</si>
  <si>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</si>
  <si>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</si>
  <si>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</si>
  <si>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</si>
  <si>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</si>
  <si>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</si>
  <si>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</si>
  <si>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</si>
  <si>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</si>
  <si>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</si>
  <si>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</si>
  <si>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</si>
  <si>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</si>
  <si>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</si>
  <si>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</si>
  <si>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</si>
  <si>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</si>
  <si>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</si>
  <si>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</si>
  <si>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</si>
  <si>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</si>
  <si>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</si>
  <si>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</si>
  <si>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</si>
  <si>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</si>
  <si>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</si>
  <si>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</si>
  <si>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</si>
  <si>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</si>
  <si>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</si>
  <si>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</si>
  <si>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</si>
  <si>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</si>
  <si>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</si>
  <si>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</si>
  <si>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</si>
  <si>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</si>
  <si>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</si>
  <si>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</si>
  <si>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</si>
  <si>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</si>
  <si>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</si>
  <si>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</si>
  <si>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</si>
  <si>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</si>
  <si>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</si>
  <si>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</si>
  <si>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</si>
  <si>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</si>
  <si>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</si>
  <si>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</si>
  <si>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</si>
  <si>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</si>
  <si>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</si>
  <si>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</si>
  <si>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</si>
  <si>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</si>
  <si>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</si>
  <si>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</si>
  <si>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</si>
  <si>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</si>
  <si>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</si>
  <si>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</si>
  <si>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</si>
  <si>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</si>
  <si>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</si>
  <si>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</si>
  <si>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</si>
  <si>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</si>
  <si>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</si>
  <si>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</si>
  <si>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</si>
  <si>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</si>
  <si>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</si>
  <si>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</si>
  <si>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</si>
  <si>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</si>
  <si>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</si>
  <si>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</si>
  <si>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</si>
  <si>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</si>
  <si>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</si>
  <si>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</si>
  <si>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</si>
  <si>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</si>
  <si>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</si>
  <si>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</si>
  <si>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</si>
  <si>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</si>
  <si>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</si>
  <si>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</si>
  <si>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</si>
  <si>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</si>
  <si>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</si>
  <si>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</si>
  <si>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</si>
  <si>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</si>
  <si>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</si>
  <si>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</si>
  <si>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</si>
  <si>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</si>
  <si>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</si>
  <si>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</si>
  <si>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</si>
  <si>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</si>
  <si>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</si>
  <si>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</si>
  <si>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</si>
  <si>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</si>
  <si>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</si>
  <si>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</si>
  <si>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</si>
  <si>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</si>
  <si>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</si>
  <si>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</si>
  <si>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</si>
  <si>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</si>
  <si>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</si>
  <si>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</si>
  <si>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</si>
  <si>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</si>
  <si>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</si>
  <si>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</si>
  <si>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</si>
  <si>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</si>
  <si>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</si>
  <si>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</si>
  <si>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</si>
  <si>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</si>
  <si>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</si>
  <si>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</si>
  <si>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</si>
  <si>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</si>
  <si>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</si>
  <si>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</si>
  <si>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</si>
  <si>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</si>
  <si>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</si>
  <si>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</si>
  <si>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</si>
  <si>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</si>
  <si>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</si>
  <si>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</si>
  <si>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</si>
  <si>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</si>
  <si>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</si>
  <si>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</si>
  <si>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</si>
  <si>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</si>
  <si>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</si>
  <si>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</si>
  <si>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</si>
  <si>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</si>
  <si>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</si>
  <si>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</si>
  <si>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</si>
  <si>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</si>
  <si>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</si>
  <si>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</si>
  <si>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</si>
  <si>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</si>
  <si>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</si>
  <si>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</si>
  <si>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</si>
  <si>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</si>
  <si>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</si>
  <si>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</si>
  <si>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</si>
  <si>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</si>
  <si>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</si>
  <si>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</si>
  <si>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</si>
  <si>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</si>
  <si>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</si>
  <si>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</si>
  <si>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</si>
  <si>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</si>
  <si>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</si>
  <si>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</si>
  <si>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</si>
  <si>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</si>
  <si>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</si>
  <si>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</si>
  <si>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</si>
  <si>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</si>
  <si>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</si>
  <si>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</si>
  <si>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</si>
  <si>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</si>
  <si>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</si>
  <si>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</si>
  <si>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</si>
  <si>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</si>
  <si>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</si>
  <si>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</si>
  <si>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</si>
  <si>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</si>
  <si>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</si>
  <si>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</si>
  <si>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</si>
  <si>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</si>
  <si>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</si>
  <si>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</si>
  <si>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</si>
  <si>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</si>
  <si>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</si>
  <si>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</si>
  <si>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</si>
  <si>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</si>
  <si>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</si>
  <si>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</si>
  <si>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</si>
  <si>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</si>
  <si>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</si>
  <si>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</si>
  <si>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</si>
  <si>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</si>
  <si>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</si>
  <si>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</si>
  <si>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</si>
  <si>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</si>
  <si>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</si>
  <si>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</si>
  <si>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</si>
  <si>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</si>
  <si>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</si>
  <si>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</si>
  <si>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</si>
  <si>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</si>
  <si>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</si>
  <si>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</si>
  <si>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</si>
  <si>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</si>
  <si>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</si>
  <si>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</si>
  <si>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</si>
  <si>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</si>
  <si>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</si>
  <si>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</si>
  <si>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</si>
  <si>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</si>
  <si>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</si>
  <si>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</si>
  <si>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</si>
  <si>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</si>
  <si>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</si>
  <si>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</si>
  <si>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</si>
  <si>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</si>
  <si>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</si>
  <si>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</si>
  <si>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</si>
  <si>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</si>
  <si>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</si>
  <si>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</si>
  <si>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</si>
  <si>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</si>
  <si>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</si>
  <si>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</si>
  <si>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</si>
  <si>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</si>
  <si>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</si>
  <si>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</si>
  <si>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</si>
  <si>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</si>
  <si>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</si>
  <si>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</si>
  <si>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</si>
  <si>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</si>
  <si>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</si>
  <si>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</si>
  <si>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</si>
  <si>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</si>
  <si>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</si>
  <si>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</si>
  <si>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</si>
  <si>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</si>
  <si>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</si>
  <si>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</si>
  <si>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</si>
  <si>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</si>
  <si>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</si>
  <si>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</si>
  <si>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</si>
  <si>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</si>
  <si>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</si>
  <si>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</si>
  <si>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</si>
  <si>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</si>
  <si>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</si>
  <si>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</si>
  <si>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</si>
  <si>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</si>
  <si>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</si>
  <si>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</si>
  <si>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</si>
  <si>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</si>
  <si>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</si>
  <si>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</si>
  <si>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</si>
  <si>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</si>
  <si>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</si>
  <si>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</si>
  <si>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</si>
  <si>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</si>
  <si>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</si>
  <si>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</si>
  <si>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</si>
  <si>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</si>
  <si>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</si>
  <si>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</si>
  <si>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</si>
  <si>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</si>
  <si>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</si>
  <si>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</si>
  <si>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</si>
  <si>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</si>
  <si>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</si>
  <si>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</si>
  <si>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</si>
  <si>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</si>
  <si>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</si>
  <si>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</si>
  <si>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</si>
  <si>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</si>
  <si>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</si>
  <si>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</si>
  <si>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</si>
  <si>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</si>
  <si>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</si>
  <si>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</si>
  <si>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</si>
  <si>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</si>
  <si>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</si>
  <si>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</si>
  <si>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</si>
  <si>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</si>
  <si>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</si>
  <si>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</si>
  <si>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</si>
  <si>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</si>
  <si>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</si>
  <si>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</si>
  <si>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</si>
  <si>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</si>
  <si>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</si>
  <si>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</si>
  <si>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</si>
  <si>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</si>
  <si>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</si>
  <si>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</si>
  <si>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</si>
  <si>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</si>
  <si>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</si>
  <si>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</si>
  <si>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</si>
  <si>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</si>
  <si>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</si>
  <si>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</si>
  <si>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</si>
  <si>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</si>
  <si>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</si>
  <si>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</si>
  <si>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</si>
  <si>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</si>
  <si>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</si>
  <si>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</si>
  <si>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</si>
  <si>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</si>
  <si>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</si>
  <si>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</si>
  <si>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</si>
  <si>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</si>
  <si>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</si>
  <si>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</si>
  <si>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</si>
  <si>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</si>
  <si>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</si>
  <si>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</si>
  <si>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</si>
  <si>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</si>
  <si>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</si>
  <si>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</si>
  <si>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</si>
  <si>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</si>
  <si>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</si>
  <si>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</si>
  <si>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</si>
  <si>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</si>
  <si>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</si>
  <si>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</si>
  <si>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</si>
  <si>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</si>
  <si>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</si>
  <si>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</si>
  <si>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</si>
  <si>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</si>
  <si>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</si>
  <si>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</si>
  <si>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</si>
  <si>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</si>
  <si>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</si>
  <si>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</si>
  <si>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</si>
  <si>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</si>
  <si>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</si>
  <si>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</si>
  <si>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</si>
  <si>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</si>
  <si>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</si>
  <si>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</si>
  <si>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</si>
  <si>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</si>
  <si>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</si>
  <si>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</si>
  <si>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</si>
  <si>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</si>
  <si>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</si>
  <si>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</si>
  <si>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</si>
  <si>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</si>
  <si>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</si>
  <si>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</si>
  <si>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</si>
  <si>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</si>
  <si>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</si>
  <si>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</si>
  <si>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</si>
  <si>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</si>
  <si>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</si>
  <si>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</si>
  <si>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</si>
  <si>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</si>
  <si>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</si>
  <si>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</si>
  <si>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</si>
  <si>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</si>
  <si>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</si>
  <si>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</si>
  <si>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</si>
  <si>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</si>
  <si>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Arial"/>
        <family val="2"/>
      </rPr>
      <t>35-30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</si>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</sst>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Red]\-0\ "/>
    <numFmt numFmtId="179" formatCode="0.00_);[Red]\(0.00\)"/>
    <numFmt numFmtId="180" formatCode="0.0000%"/>
    <numFmt numFmtId="181" formatCode="[DBNum1][$-804]yyyy&quot;年&quot;m&quot;月&quot;d&quot;日&quot;;@"/>
    <numFmt numFmtId="182" formatCode="0.0_);[Red]\(0.0\)"/>
    <numFmt numFmtId="183" formatCode="yyyy/m/d;@"/>
    <numFmt numFmtId="184" formatCode="[$-F800]dddd\,\ mmmm\ dd\,\ yyyy"/>
    <numFmt numFmtId="185" formatCode="0_ "/>
    <numFmt numFmtId="186" formatCode="0.00_ "/>
    <numFmt numFmtId="187" formatCode="0_);[Red]\(0\)"/>
    <numFmt numFmtId="188" formatCode="0.0%"/>
    <numFmt numFmtId="189" formatCode="0.000_ "/>
    <numFmt numFmtId="190" formatCode="0.0_ "/>
    <numFmt numFmtId="191" formatCode="0.0000_ "/>
    <numFmt numFmtId="192" formatCode="yyyy&quot;年&quot;m&quot;月&quot;d&quot;日&quot;;@"/>
    <numFmt numFmtId="193" formatCode="0.000_);[Red]\(0.000\)"/>
    <numFmt numFmtId="194" formatCode="yyyy&quot;年&quot;m&quot;月&quot;;@"/>
    <numFmt numFmtId="195" formatCode="0.000%"/>
    <numFmt numFmtId="196" formatCode="0;_쐀"/>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b/>
      <sz val="10"/>
      <name val="宋体"/>
      <family val="3"/>
      <charset val="134"/>
    </font>
    <font>
      <sz val="10"/>
      <name val="宋体"/>
      <family val="3"/>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31" fillId="0" borderId="0">
      <alignment vertical="center"/>
    </xf>
    <xf numFmtId="0" fontId="231" fillId="0" borderId="0">
      <alignment vertical="center"/>
    </xf>
    <xf numFmtId="0" fontId="152" fillId="0" borderId="0">
      <alignment vertical="center"/>
    </xf>
    <xf numFmtId="0" fontId="231" fillId="0" borderId="0">
      <alignment vertical="center"/>
    </xf>
    <xf numFmtId="0" fontId="231" fillId="0" borderId="0">
      <alignment vertical="center"/>
    </xf>
    <xf numFmtId="181" fontId="231" fillId="0" borderId="0">
      <alignment vertical="center"/>
    </xf>
    <xf numFmtId="0" fontId="231" fillId="0" borderId="0">
      <alignment vertical="center"/>
    </xf>
    <xf numFmtId="0" fontId="231" fillId="0" borderId="0"/>
    <xf numFmtId="0" fontId="102" fillId="0" borderId="0"/>
    <xf numFmtId="0" fontId="231" fillId="0" borderId="0">
      <alignment vertical="center"/>
    </xf>
    <xf numFmtId="0" fontId="231" fillId="0" borderId="0">
      <alignment vertical="center"/>
    </xf>
    <xf numFmtId="0" fontId="152" fillId="0" borderId="0">
      <alignment vertical="center"/>
    </xf>
    <xf numFmtId="0" fontId="118"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5"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6"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7"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7"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7" fontId="17" fillId="6" borderId="23" xfId="4" applyNumberFormat="1" applyFont="1" applyFill="1" applyBorder="1" applyAlignment="1" applyProtection="1">
      <alignment horizontal="left" vertical="center" wrapText="1"/>
    </xf>
    <xf numFmtId="187"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7" fontId="17" fillId="6" borderId="23" xfId="4" applyNumberFormat="1" applyFont="1" applyFill="1" applyBorder="1" applyAlignment="1">
      <alignment horizontal="left" vertical="center" wrapText="1"/>
    </xf>
    <xf numFmtId="187"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7" fontId="17" fillId="6" borderId="22" xfId="4" applyNumberFormat="1" applyFont="1" applyFill="1" applyBorder="1" applyAlignment="1">
      <alignment horizontal="left" vertical="center" wrapText="1"/>
    </xf>
    <xf numFmtId="187"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7"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7" fontId="17" fillId="6" borderId="29" xfId="4" applyNumberFormat="1" applyFont="1" applyFill="1" applyBorder="1" applyAlignment="1">
      <alignment horizontal="left" vertical="center" wrapText="1"/>
    </xf>
    <xf numFmtId="187" fontId="17" fillId="6" borderId="31" xfId="4" applyNumberFormat="1" applyFont="1" applyFill="1" applyBorder="1" applyAlignment="1">
      <alignment horizontal="left" vertical="center" wrapText="1"/>
    </xf>
    <xf numFmtId="187" fontId="19" fillId="5" borderId="0" xfId="4" applyNumberFormat="1" applyFont="1" applyFill="1" applyAlignment="1">
      <alignment horizontal="left" vertical="center"/>
    </xf>
    <xf numFmtId="187"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5"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5"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5" fontId="25" fillId="0" borderId="7" xfId="12" applyNumberFormat="1" applyFont="1" applyFill="1" applyBorder="1" applyAlignment="1" applyProtection="1">
      <alignment horizontal="center"/>
      <protection locked="0"/>
    </xf>
    <xf numFmtId="186"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5"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5"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5"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5"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5"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6"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179" fontId="56" fillId="2" borderId="3"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wrapText="1"/>
    </xf>
    <xf numFmtId="179" fontId="56" fillId="2" borderId="6" xfId="9" applyNumberFormat="1" applyFont="1" applyFill="1" applyBorder="1" applyAlignment="1" applyProtection="1">
      <alignment horizontal="left" vertical="center"/>
    </xf>
    <xf numFmtId="179" fontId="57" fillId="2" borderId="7" xfId="9" applyNumberFormat="1" applyFont="1" applyFill="1" applyBorder="1" applyAlignment="1" applyProtection="1">
      <alignment horizontal="left" vertical="center"/>
    </xf>
    <xf numFmtId="17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9" fontId="56" fillId="2" borderId="80" xfId="9" applyNumberFormat="1" applyFont="1" applyFill="1" applyBorder="1" applyAlignment="1" applyProtection="1">
      <alignment horizontal="left" vertical="center"/>
    </xf>
    <xf numFmtId="179" fontId="56" fillId="2" borderId="81" xfId="9" applyNumberFormat="1" applyFont="1" applyFill="1" applyBorder="1" applyAlignment="1" applyProtection="1">
      <alignment horizontal="left" vertical="center"/>
    </xf>
    <xf numFmtId="17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9" applyNumberFormat="1" applyFont="1" applyFill="1" applyBorder="1" applyAlignment="1" applyProtection="1">
      <alignment horizontal="left" vertical="center" wrapText="1"/>
    </xf>
    <xf numFmtId="179" fontId="57" fillId="2" borderId="10" xfId="9" applyNumberFormat="1" applyFont="1" applyFill="1" applyBorder="1" applyAlignment="1" applyProtection="1">
      <alignment horizontal="left" vertical="center"/>
    </xf>
    <xf numFmtId="179" fontId="57"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3" fontId="0" fillId="0" borderId="0" xfId="0" applyNumberFormat="1">
      <alignment vertical="center"/>
    </xf>
    <xf numFmtId="183"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1"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1"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91"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6"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188"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2"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2"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2"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7"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7" fillId="10" borderId="91" xfId="0" applyNumberFormat="1" applyFont="1" applyFill="1" applyBorder="1" applyAlignment="1" applyProtection="1">
      <alignment horizontal="left" vertical="center" wrapText="1"/>
      <protection locked="0"/>
    </xf>
    <xf numFmtId="187"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7"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8" fontId="66" fillId="2" borderId="13" xfId="0" applyNumberFormat="1" applyFont="1" applyFill="1" applyBorder="1" applyAlignment="1" applyProtection="1">
      <alignment horizontal="center" vertical="center"/>
    </xf>
    <xf numFmtId="188"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9"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5"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6"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2" fontId="84" fillId="2" borderId="38" xfId="0" applyNumberFormat="1" applyFont="1" applyFill="1" applyBorder="1" applyAlignment="1" applyProtection="1">
      <alignment horizontal="center" vertical="center"/>
    </xf>
    <xf numFmtId="188"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2" fontId="84" fillId="2" borderId="0" xfId="0" applyNumberFormat="1" applyFont="1" applyFill="1" applyBorder="1" applyAlignment="1" applyProtection="1">
      <alignment horizontal="center" vertical="center"/>
      <protection locked="0"/>
    </xf>
    <xf numFmtId="188"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2" fontId="74" fillId="2" borderId="14" xfId="0" applyNumberFormat="1" applyFont="1" applyFill="1" applyBorder="1" applyAlignment="1" applyProtection="1">
      <alignment horizontal="center" vertical="center" wrapText="1"/>
    </xf>
    <xf numFmtId="188"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8"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8"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8"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8"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2" fontId="66" fillId="2" borderId="14" xfId="0" applyNumberFormat="1" applyFont="1" applyFill="1" applyBorder="1" applyAlignment="1" applyProtection="1">
      <alignment horizontal="center" vertical="center"/>
    </xf>
    <xf numFmtId="188" fontId="66" fillId="7" borderId="0" xfId="0" applyNumberFormat="1" applyFont="1" applyFill="1" applyBorder="1" applyAlignment="1" applyProtection="1">
      <alignment vertical="center" wrapText="1"/>
      <protection locked="0"/>
    </xf>
    <xf numFmtId="179" fontId="66" fillId="2" borderId="87" xfId="0" applyNumberFormat="1" applyFont="1" applyFill="1" applyBorder="1" applyAlignment="1" applyProtection="1">
      <alignment horizontal="left" vertical="center" wrapText="1"/>
    </xf>
    <xf numFmtId="182"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2" fontId="66" fillId="7" borderId="0" xfId="0" applyNumberFormat="1" applyFont="1" applyFill="1" applyAlignment="1" applyProtection="1">
      <alignment horizontal="center" vertical="center"/>
      <protection locked="0"/>
    </xf>
    <xf numFmtId="188" fontId="66" fillId="7" borderId="0" xfId="0" applyNumberFormat="1" applyFont="1" applyFill="1" applyAlignment="1" applyProtection="1">
      <alignment horizontal="center" vertical="center"/>
      <protection locked="0"/>
    </xf>
    <xf numFmtId="182" fontId="82"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2" fontId="66" fillId="2" borderId="0" xfId="0" applyNumberFormat="1" applyFont="1" applyFill="1" applyBorder="1" applyAlignment="1" applyProtection="1">
      <alignment horizontal="center"/>
    </xf>
    <xf numFmtId="188"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3"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3"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3"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2" fontId="66" fillId="2" borderId="0" xfId="0" applyNumberFormat="1" applyFont="1" applyFill="1" applyBorder="1" applyAlignment="1" applyProtection="1">
      <alignment horizontal="center"/>
      <protection locked="0"/>
    </xf>
    <xf numFmtId="188"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9"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9"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4" fontId="74" fillId="2" borderId="95" xfId="0" applyNumberFormat="1" applyFont="1" applyFill="1" applyBorder="1" applyAlignment="1" applyProtection="1">
      <alignment horizontal="center" vertical="center" wrapText="1"/>
    </xf>
    <xf numFmtId="194"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2" fontId="84" fillId="2" borderId="142" xfId="0" applyNumberFormat="1" applyFont="1" applyFill="1" applyBorder="1" applyAlignment="1" applyProtection="1">
      <alignment horizontal="center" vertical="center"/>
    </xf>
    <xf numFmtId="188"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2" fontId="66" fillId="0" borderId="0" xfId="0" applyNumberFormat="1" applyFont="1" applyFill="1" applyAlignment="1" applyProtection="1">
      <alignment horizontal="center" vertical="center"/>
    </xf>
    <xf numFmtId="188"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9"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2" fontId="84" fillId="2" borderId="142" xfId="0" applyNumberFormat="1" applyFont="1" applyFill="1" applyBorder="1" applyAlignment="1" applyProtection="1">
      <alignment horizontal="center" vertical="center"/>
      <protection locked="0"/>
    </xf>
    <xf numFmtId="188"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2" fontId="66" fillId="12" borderId="14" xfId="0" applyNumberFormat="1" applyFont="1" applyFill="1" applyBorder="1" applyAlignment="1" applyProtection="1">
      <alignment horizontal="center" vertical="center"/>
      <protection locked="0"/>
    </xf>
    <xf numFmtId="182"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8"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8"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8"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vertical="center" wrapText="1"/>
      <protection locked="0"/>
    </xf>
    <xf numFmtId="188"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2"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2" fontId="74" fillId="2" borderId="84" xfId="0" applyNumberFormat="1" applyFont="1" applyFill="1" applyBorder="1" applyAlignment="1" applyProtection="1">
      <alignment horizontal="center" vertical="center" wrapText="1"/>
    </xf>
    <xf numFmtId="182"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2" fontId="66" fillId="2" borderId="87" xfId="0" applyNumberFormat="1" applyFont="1" applyFill="1" applyBorder="1" applyAlignment="1" applyProtection="1">
      <alignment horizontal="center" vertical="center"/>
    </xf>
    <xf numFmtId="179" fontId="66" fillId="10" borderId="87" xfId="0" applyNumberFormat="1" applyFont="1" applyFill="1" applyBorder="1" applyAlignment="1" applyProtection="1">
      <alignment horizontal="left" vertical="center" wrapText="1"/>
    </xf>
    <xf numFmtId="182"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7"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9"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7"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7" fontId="29" fillId="2" borderId="112" xfId="14" applyNumberFormat="1" applyFont="1" applyFill="1" applyBorder="1" applyAlignment="1">
      <alignment horizontal="left" vertical="center"/>
    </xf>
    <xf numFmtId="187"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7"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7"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9"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7"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7" fontId="25" fillId="2" borderId="13" xfId="14" applyNumberFormat="1" applyFont="1" applyFill="1" applyBorder="1" applyAlignment="1">
      <alignment horizontal="left" vertical="center"/>
    </xf>
    <xf numFmtId="187" fontId="25" fillId="2" borderId="156" xfId="14" applyNumberFormat="1" applyFont="1" applyFill="1" applyBorder="1" applyAlignment="1">
      <alignment horizontal="left" vertical="center"/>
    </xf>
    <xf numFmtId="187"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7" fontId="25" fillId="2" borderId="13" xfId="14" applyNumberFormat="1" applyFont="1" applyFill="1" applyBorder="1" applyAlignment="1">
      <alignment horizontal="right" vertical="center"/>
    </xf>
    <xf numFmtId="188" fontId="25" fillId="0" borderId="156"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6"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6"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79"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9" fontId="25" fillId="0" borderId="75" xfId="14" applyNumberFormat="1" applyFont="1" applyFill="1" applyBorder="1" applyAlignment="1" applyProtection="1">
      <alignment horizontal="left" vertical="center"/>
      <protection locked="0"/>
    </xf>
    <xf numFmtId="179" fontId="25" fillId="0" borderId="157" xfId="14" applyNumberFormat="1" applyFont="1" applyFill="1" applyBorder="1" applyAlignment="1" applyProtection="1">
      <alignment horizontal="left" vertical="center"/>
      <protection locked="0"/>
    </xf>
    <xf numFmtId="179" fontId="25" fillId="0" borderId="96" xfId="14" applyNumberFormat="1" applyFont="1" applyFill="1" applyBorder="1" applyAlignment="1" applyProtection="1">
      <alignment horizontal="left" vertical="center"/>
      <protection locked="0"/>
    </xf>
    <xf numFmtId="179"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7"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7"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5"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5"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5" fontId="19" fillId="0" borderId="8" xfId="12" applyNumberFormat="1" applyFont="1" applyBorder="1" applyAlignment="1" applyProtection="1">
      <alignment horizontal="left" vertical="center"/>
      <protection locked="0" hidden="1"/>
    </xf>
    <xf numFmtId="185"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5" fontId="29" fillId="2" borderId="7" xfId="14" applyNumberFormat="1" applyFont="1" applyFill="1" applyBorder="1" applyAlignment="1" applyProtection="1">
      <alignment horizontal="left" vertical="center"/>
      <protection locked="0"/>
    </xf>
    <xf numFmtId="185"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5"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91"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8"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8"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5"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8"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8"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7"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5"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5"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5" fontId="87" fillId="2" borderId="0" xfId="0" applyNumberFormat="1" applyFont="1" applyFill="1" applyBorder="1" applyAlignment="1" applyProtection="1">
      <alignment horizontal="center" vertical="center"/>
    </xf>
    <xf numFmtId="185"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5"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5"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5"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5"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5" fontId="87" fillId="2" borderId="75" xfId="0" applyNumberFormat="1" applyFont="1" applyFill="1" applyBorder="1" applyAlignment="1" applyProtection="1">
      <alignment vertical="center"/>
    </xf>
    <xf numFmtId="185"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7"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5"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1"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6"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8"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8"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8"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6"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9"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left" vertical="center"/>
    </xf>
    <xf numFmtId="185" fontId="74" fillId="2" borderId="7" xfId="12" applyNumberFormat="1" applyFont="1" applyFill="1" applyBorder="1" applyAlignment="1" applyProtection="1">
      <alignment vertical="center"/>
    </xf>
    <xf numFmtId="185" fontId="74" fillId="16" borderId="13" xfId="12" applyNumberFormat="1" applyFont="1" applyFill="1" applyBorder="1" applyAlignment="1" applyProtection="1">
      <alignment vertical="center"/>
      <protection locked="0"/>
    </xf>
    <xf numFmtId="185"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6" fontId="66" fillId="2" borderId="7" xfId="12" applyNumberFormat="1" applyFont="1" applyFill="1" applyBorder="1" applyAlignment="1" applyProtection="1">
      <alignment horizontal="center" vertical="center"/>
    </xf>
    <xf numFmtId="189" fontId="66"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4" fillId="0" borderId="7" xfId="0" applyNumberFormat="1" applyFont="1" applyFill="1" applyBorder="1" applyAlignment="1" applyProtection="1">
      <alignment horizontal="center" vertical="center"/>
      <protection locked="0"/>
    </xf>
    <xf numFmtId="185" fontId="74" fillId="2" borderId="6" xfId="12" applyNumberFormat="1" applyFont="1" applyFill="1" applyBorder="1" applyAlignment="1" applyProtection="1">
      <alignment horizontal="left" vertical="center" wrapText="1"/>
      <protection locked="0"/>
    </xf>
    <xf numFmtId="185" fontId="74" fillId="2" borderId="13" xfId="12" applyNumberFormat="1" applyFont="1" applyFill="1" applyBorder="1" applyAlignment="1" applyProtection="1">
      <alignment vertical="center"/>
    </xf>
    <xf numFmtId="188"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8"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6" fontId="74" fillId="7" borderId="0" xfId="0" applyNumberFormat="1" applyFont="1" applyFill="1" applyAlignment="1" applyProtection="1">
      <alignment vertical="center"/>
      <protection locked="0"/>
    </xf>
    <xf numFmtId="179" fontId="66" fillId="2" borderId="3" xfId="12" applyNumberFormat="1" applyFont="1" applyFill="1" applyBorder="1" applyAlignment="1" applyProtection="1">
      <alignment vertical="center" wrapText="1"/>
    </xf>
    <xf numFmtId="179"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9" fontId="66" fillId="2" borderId="6" xfId="12" applyNumberFormat="1" applyFont="1" applyFill="1" applyBorder="1" applyAlignment="1" applyProtection="1">
      <alignment vertical="center" wrapText="1"/>
    </xf>
    <xf numFmtId="179"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9" fontId="74" fillId="2" borderId="6" xfId="12" applyNumberFormat="1" applyFont="1" applyFill="1" applyBorder="1" applyAlignment="1" applyProtection="1">
      <alignment vertical="center" wrapText="1"/>
    </xf>
    <xf numFmtId="179" fontId="66" fillId="2" borderId="8" xfId="12" applyNumberFormat="1" applyFont="1" applyFill="1" applyBorder="1" applyAlignment="1" applyProtection="1">
      <alignment horizontal="center" vertical="center"/>
    </xf>
    <xf numFmtId="179" fontId="66" fillId="2" borderId="9" xfId="12" applyNumberFormat="1" applyFont="1" applyFill="1" applyBorder="1" applyAlignment="1" applyProtection="1">
      <alignment vertical="center" wrapText="1"/>
    </xf>
    <xf numFmtId="179"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6"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6" fontId="94"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5"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90"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6"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center" vertical="center"/>
    </xf>
    <xf numFmtId="185"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5"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9"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4" fillId="2" borderId="6" xfId="12" applyNumberFormat="1" applyFont="1" applyFill="1" applyBorder="1" applyAlignment="1" applyProtection="1">
      <alignment horizontal="center" vertical="center"/>
    </xf>
    <xf numFmtId="186"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6" fontId="74" fillId="0" borderId="6"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vertical="center"/>
      <protection locked="0"/>
    </xf>
    <xf numFmtId="188" fontId="66" fillId="0" borderId="7" xfId="0" applyNumberFormat="1" applyFont="1" applyFill="1" applyBorder="1" applyAlignment="1" applyProtection="1">
      <alignment vertical="center"/>
      <protection locked="0"/>
    </xf>
    <xf numFmtId="188" fontId="74"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6"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8" fontId="74" fillId="2" borderId="7" xfId="0" applyNumberFormat="1" applyFont="1" applyFill="1" applyBorder="1" applyAlignment="1" applyProtection="1">
      <alignment vertical="center"/>
    </xf>
    <xf numFmtId="188"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6" fontId="74" fillId="2" borderId="9" xfId="12" applyNumberFormat="1" applyFont="1" applyFill="1" applyBorder="1" applyAlignment="1" applyProtection="1">
      <alignment horizontal="center" vertical="center"/>
    </xf>
    <xf numFmtId="186"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8"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8"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8"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8"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5" fontId="74" fillId="0" borderId="7" xfId="0" applyNumberFormat="1" applyFont="1" applyBorder="1" applyAlignment="1" applyProtection="1">
      <alignment horizontal="center" vertical="center"/>
      <protection locked="0"/>
    </xf>
    <xf numFmtId="188"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5" fontId="74" fillId="0" borderId="7" xfId="0" applyNumberFormat="1" applyFont="1" applyFill="1" applyBorder="1" applyAlignment="1" applyProtection="1">
      <alignment horizontal="center" vertical="center"/>
      <protection locked="0"/>
    </xf>
    <xf numFmtId="188"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5" fontId="74" fillId="2" borderId="7"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9"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9"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9"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9"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9" fontId="67" fillId="2" borderId="66" xfId="12" applyNumberFormat="1" applyFont="1" applyFill="1" applyBorder="1" applyAlignment="1" applyProtection="1">
      <alignment horizontal="center" vertical="center"/>
    </xf>
    <xf numFmtId="179" fontId="67" fillId="2" borderId="83" xfId="12" applyNumberFormat="1" applyFont="1" applyFill="1" applyBorder="1" applyAlignment="1" applyProtection="1">
      <alignment horizontal="center" vertical="center"/>
    </xf>
    <xf numFmtId="179"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9"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0" fillId="0" borderId="7" xfId="12" applyNumberFormat="1" applyFont="1" applyFill="1" applyBorder="1" applyAlignment="1" applyProtection="1">
      <alignment vertical="center"/>
      <protection locked="0" hidden="1"/>
    </xf>
    <xf numFmtId="179"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5"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5" fontId="74" fillId="0" borderId="14" xfId="12" applyNumberFormat="1" applyFont="1" applyFill="1" applyBorder="1" applyAlignment="1" applyProtection="1">
      <alignment vertical="center"/>
      <protection locked="0"/>
    </xf>
    <xf numFmtId="179" fontId="87" fillId="2" borderId="7" xfId="0" applyNumberFormat="1"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179" fontId="87" fillId="2" borderId="8" xfId="0" applyNumberFormat="1" applyFont="1" applyFill="1" applyBorder="1" applyAlignment="1" applyProtection="1">
      <alignment vertical="center"/>
    </xf>
    <xf numFmtId="179"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6" fontId="87" fillId="2" borderId="96" xfId="0" applyNumberFormat="1" applyFont="1" applyFill="1" applyBorder="1" applyAlignment="1" applyProtection="1">
      <alignment vertical="center"/>
    </xf>
    <xf numFmtId="186" fontId="87" fillId="2" borderId="10" xfId="0" applyNumberFormat="1" applyFont="1" applyFill="1" applyBorder="1" applyAlignment="1" applyProtection="1">
      <alignment vertical="center"/>
    </xf>
    <xf numFmtId="186"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6" fontId="74" fillId="2" borderId="16" xfId="0" applyNumberFormat="1" applyFont="1" applyFill="1" applyBorder="1" applyProtection="1">
      <alignment vertical="center"/>
    </xf>
    <xf numFmtId="179"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6" fontId="87" fillId="16" borderId="8" xfId="0" applyNumberFormat="1" applyFont="1" applyFill="1" applyBorder="1" applyAlignment="1" applyProtection="1">
      <alignment horizontal="center" vertical="center"/>
      <protection locked="0"/>
    </xf>
    <xf numFmtId="186"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9"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9"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9"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9" fontId="74" fillId="2" borderId="7" xfId="0" applyNumberFormat="1" applyFont="1" applyFill="1" applyBorder="1" applyAlignment="1" applyProtection="1">
      <alignment horizontal="center" vertical="center" wrapText="1"/>
    </xf>
    <xf numFmtId="179" fontId="74" fillId="0" borderId="16" xfId="0" applyNumberFormat="1" applyFont="1" applyFill="1" applyBorder="1" applyAlignment="1" applyProtection="1">
      <alignment horizontal="center" vertical="center" wrapText="1"/>
      <protection locked="0"/>
    </xf>
    <xf numFmtId="179" fontId="74" fillId="2" borderId="16" xfId="0" applyNumberFormat="1" applyFont="1" applyFill="1" applyBorder="1" applyAlignment="1" applyProtection="1">
      <alignment horizontal="center" vertical="center" wrapText="1"/>
    </xf>
    <xf numFmtId="179"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4"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wrapText="1"/>
    </xf>
    <xf numFmtId="179"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9"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5"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4" fontId="130" fillId="0" borderId="7" xfId="15" applyNumberFormat="1" applyFont="1" applyFill="1" applyBorder="1" applyAlignment="1">
      <alignment horizontal="left" vertical="center"/>
    </xf>
    <xf numFmtId="184"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2"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4"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2"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2"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9"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2"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31"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81"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5"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81"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84"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187" fontId="66" fillId="2" borderId="7" xfId="0" applyNumberFormat="1" applyFont="1" applyFill="1" applyBorder="1" applyAlignment="1" applyProtection="1">
      <alignment horizontal="center" vertical="center"/>
    </xf>
    <xf numFmtId="187" fontId="67" fillId="10"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84" fillId="7" borderId="0" xfId="0" applyNumberFormat="1" applyFont="1" applyFill="1" applyBorder="1" applyAlignment="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2023年4月10日</v>
      </c>
    </row>
    <row r="13" spans="1:2" s="3436" customFormat="1">
      <c r="A13" s="3444" t="s">
        <v>13</v>
      </c>
      <c r="B13" s="3445"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368573</v>
      </c>
    </row>
    <row r="21" spans="1:2" s="3436" customFormat="1">
      <c r="A21" s="3444" t="s">
        <v>21</v>
      </c>
      <c r="B21" s="3445">
        <f ca="1">'预评函-2'!D7</f>
        <v>30659</v>
      </c>
    </row>
    <row r="22" spans="1:2" s="3436" customFormat="1">
      <c r="A22" s="3444" t="s">
        <v>22</v>
      </c>
      <c r="B22" s="3445" t="str">
        <f ca="1">'预评函-2'!D6</f>
        <v>叁拾陆亿捌仟伍佰柒拾叁万元整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368573</v>
      </c>
    </row>
    <row r="31" spans="1:2" s="3436" customFormat="1">
      <c r="A31" s="3444" t="s">
        <v>31</v>
      </c>
      <c r="B31" s="3445">
        <f ca="1">'预评函-2'!D15</f>
        <v>30659</v>
      </c>
    </row>
    <row r="32" spans="1:2" s="3436" customFormat="1">
      <c r="A32" s="3444" t="s">
        <v>32</v>
      </c>
      <c r="B32" s="3445" t="str">
        <f ca="1">'预评函-2'!D14</f>
        <v>叁拾陆亿捌仟伍佰柒拾叁万元整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216721</v>
      </c>
    </row>
    <row r="48" spans="1:2" s="3436" customFormat="1">
      <c r="A48" s="3444" t="s">
        <v>48</v>
      </c>
      <c r="B48" s="3445">
        <f ca="1">'预评函-3'!E4</f>
        <v>18028</v>
      </c>
    </row>
    <row r="49" spans="1:2" s="3436" customFormat="1">
      <c r="A49" s="3444" t="s">
        <v>49</v>
      </c>
      <c r="B49" s="3445" t="str">
        <f ca="1">'预评函-3'!D5</f>
        <v>贰拾壹亿陆仟柒佰贰拾壹万元整</v>
      </c>
    </row>
    <row r="50" spans="1:2" s="3436" customFormat="1">
      <c r="A50" s="3444" t="s">
        <v>50</v>
      </c>
      <c r="B50" s="3445" t="str">
        <f>'预评函-3'!F2</f>
        <v>在建建筑物价值</v>
      </c>
    </row>
    <row r="51" spans="1:2" s="3436" customFormat="1">
      <c r="A51" s="3444" t="s">
        <v>51</v>
      </c>
      <c r="B51" s="3445">
        <f ca="1">'预评函-3'!F4</f>
        <v>151852</v>
      </c>
    </row>
    <row r="52" spans="1:2" s="3436" customFormat="1">
      <c r="A52" s="3444" t="s">
        <v>52</v>
      </c>
      <c r="B52" s="3445">
        <f ca="1">'预评函-3'!G4</f>
        <v>12631</v>
      </c>
    </row>
    <row r="53" spans="1:2" s="3436" customFormat="1">
      <c r="A53" s="3444" t="s">
        <v>53</v>
      </c>
      <c r="B53" s="3445" t="str">
        <f ca="1">'预评函-3'!F5</f>
        <v>壹拾伍亿壹仟捌佰伍拾贰万元整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2"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331</v>
      </c>
      <c r="C54" s="3314" t="s">
        <v>332</v>
      </c>
    </row>
    <row r="55" spans="1:4">
      <c r="A55" s="3492"/>
      <c r="B55" s="3327" t="s">
        <v>333</v>
      </c>
      <c r="C55" s="3314" t="s">
        <v>334</v>
      </c>
    </row>
    <row r="56" spans="1:4">
      <c r="A56" s="3492"/>
      <c r="B56" s="3327" t="s">
        <v>335</v>
      </c>
      <c r="C56" s="3314" t="s">
        <v>336</v>
      </c>
    </row>
    <row r="57" spans="1:4">
      <c r="A57" s="3492"/>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3" t="s">
        <v>341</v>
      </c>
      <c r="J2" s="3493"/>
      <c r="K2" s="3493"/>
      <c r="L2" s="3493"/>
      <c r="M2" s="3493"/>
      <c r="N2" s="3493"/>
      <c r="O2" s="3493"/>
      <c r="P2" s="3493"/>
      <c r="Q2" s="3493"/>
      <c r="R2" s="3493"/>
    </row>
    <row r="3" spans="1:18">
      <c r="A3" s="485" t="s">
        <v>342</v>
      </c>
      <c r="B3" s="3269">
        <f>项目基本情况!D3</f>
        <v>45026</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3.69</v>
      </c>
      <c r="D5" s="3271">
        <f>IF(ISERROR(ROUND(POWER(1+E5,A5-C5)*(POWER(1+E5,C5)-1)/(POWER(1+E5,A5)-1),3)),0,ROUND(POWER(1+E5,A5-C5)*(POWER(1+E5,C5)-1)/(POWER(1+E5,A5)-1),4))</f>
        <v>0.17019999999999999</v>
      </c>
      <c r="E5" s="3272">
        <v>0.04</v>
      </c>
      <c r="F5" s="3268"/>
      <c r="I5" s="3308" t="s">
        <v>358</v>
      </c>
      <c r="J5" s="3308">
        <v>70</v>
      </c>
      <c r="K5" s="3308">
        <v>60</v>
      </c>
      <c r="L5" s="3308">
        <v>15</v>
      </c>
      <c r="M5" s="3308">
        <v>25</v>
      </c>
      <c r="N5" s="486">
        <v>40</v>
      </c>
      <c r="O5" s="486">
        <v>50</v>
      </c>
      <c r="P5" s="486">
        <v>40</v>
      </c>
      <c r="Q5" s="486">
        <v>15</v>
      </c>
      <c r="R5" s="486">
        <v>315</v>
      </c>
    </row>
    <row r="6" spans="1:18">
      <c r="A6" s="3270">
        <v>50</v>
      </c>
      <c r="B6" s="3269">
        <v>50028</v>
      </c>
      <c r="C6" s="486">
        <f>ROUNDDOWN(MIN((B6-B3)/365,A6),2)</f>
        <v>13.7</v>
      </c>
      <c r="D6" s="3271">
        <f>IF(ISERROR(ROUND(POWER(1+E6,A6-C6)*(POWER(1+E6,C6)-1)/(POWER(1+E6,A6)-1),3)),0,ROUND(POWER(1+E6,A6-C6)*(POWER(1+E6,C6)-1)/(POWER(1+E6,A6)-1),4))</f>
        <v>0.48380000000000001</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33.71</v>
      </c>
      <c r="D7" s="3271">
        <f>IF(ISERROR(ROUND(POWER(1+E7,A7-C7)*(POWER(1+E7,C7)-1)/(POWER(1+E7,A7)-1),3)),0,ROUND(POWER(1+E7,A7-C7)*(POWER(1+E7,C7)-1)/(POWER(1+E7,A7)-1),4))</f>
        <v>0.78380000000000005</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5.3</v>
      </c>
      <c r="L25" s="3262" t="s">
        <v>386</v>
      </c>
      <c r="M25" s="3262">
        <v>8</v>
      </c>
    </row>
    <row r="26" spans="1:13">
      <c r="A26" s="3288"/>
      <c r="B26" s="3289"/>
      <c r="C26" s="3289"/>
      <c r="D26" s="3289"/>
      <c r="E26" s="3289"/>
      <c r="F26" s="3289"/>
      <c r="G26" s="3290"/>
      <c r="I26" s="3262">
        <v>30</v>
      </c>
      <c r="J26" s="3262">
        <v>90.5</v>
      </c>
      <c r="K26" s="3262">
        <f t="shared" si="2"/>
        <v>4.2</v>
      </c>
      <c r="L26" s="3262" t="s">
        <v>387</v>
      </c>
      <c r="M26" s="3262">
        <v>5</v>
      </c>
    </row>
    <row r="27" spans="1:13">
      <c r="A27" s="3288" t="s">
        <v>388</v>
      </c>
      <c r="B27" s="3289"/>
      <c r="C27" s="3289"/>
      <c r="D27" s="3289"/>
      <c r="E27" s="3289"/>
      <c r="F27" s="3289"/>
      <c r="G27" s="3290"/>
      <c r="I27" s="3262">
        <v>35</v>
      </c>
      <c r="J27" s="3262">
        <v>93.8</v>
      </c>
      <c r="K27" s="3262">
        <f t="shared" si="2"/>
        <v>3.3</v>
      </c>
      <c r="L27" s="3262" t="s">
        <v>389</v>
      </c>
      <c r="M27" s="3262">
        <v>3</v>
      </c>
    </row>
    <row r="28" spans="1:13">
      <c r="A28" s="3288" t="s">
        <v>390</v>
      </c>
      <c r="B28" s="3289"/>
      <c r="C28" s="3289"/>
      <c r="D28" s="3289"/>
      <c r="E28" s="3289"/>
      <c r="F28" s="3289"/>
      <c r="G28" s="3290"/>
      <c r="I28" s="3262">
        <v>40</v>
      </c>
      <c r="J28" s="3262">
        <v>96.4</v>
      </c>
      <c r="K28" s="3262">
        <f t="shared" si="2"/>
        <v>2.6000000000000099</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1.5999999999999901</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11.9</v>
      </c>
    </row>
    <row r="36" spans="1:13">
      <c r="A36" s="3288" t="s">
        <v>401</v>
      </c>
      <c r="B36" s="3289"/>
      <c r="C36" s="3289"/>
      <c r="D36" s="3289"/>
      <c r="E36" s="3289"/>
      <c r="F36" s="3289"/>
      <c r="G36" s="3290"/>
      <c r="I36" s="3262">
        <v>15</v>
      </c>
      <c r="J36" s="3262">
        <v>76.3</v>
      </c>
      <c r="K36" s="3262">
        <f t="shared" ref="K36:K41" si="3">J36-J35</f>
        <v>9.3000000000000007</v>
      </c>
      <c r="L36" s="3262" t="s">
        <v>381</v>
      </c>
      <c r="M36" s="3262" t="s">
        <v>382</v>
      </c>
    </row>
    <row r="37" spans="1:13">
      <c r="A37" s="3288" t="s">
        <v>402</v>
      </c>
      <c r="B37" s="3289"/>
      <c r="C37" s="3289"/>
      <c r="D37" s="3289"/>
      <c r="E37" s="3289"/>
      <c r="F37" s="3289"/>
      <c r="G37" s="3290"/>
      <c r="I37" s="3262">
        <v>20</v>
      </c>
      <c r="J37" s="3262">
        <v>83.6</v>
      </c>
      <c r="K37" s="3262">
        <f t="shared" si="3"/>
        <v>7.3</v>
      </c>
      <c r="L37" s="3262" t="s">
        <v>384</v>
      </c>
      <c r="M37" s="3262">
        <v>10</v>
      </c>
    </row>
    <row r="38" spans="1:13">
      <c r="A38" s="3288" t="s">
        <v>403</v>
      </c>
      <c r="B38" s="3289"/>
      <c r="C38" s="3289"/>
      <c r="D38" s="3289"/>
      <c r="E38" s="3289"/>
      <c r="F38" s="3289"/>
      <c r="G38" s="3290"/>
      <c r="I38" s="3262">
        <v>25</v>
      </c>
      <c r="J38" s="3262">
        <v>89.3</v>
      </c>
      <c r="K38" s="3262">
        <f t="shared" si="3"/>
        <v>5.7</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3.4000000000000101</v>
      </c>
      <c r="L40" s="3262" t="s">
        <v>389</v>
      </c>
      <c r="M40" s="3262">
        <v>3</v>
      </c>
    </row>
    <row r="41" spans="1:13">
      <c r="A41" s="3294" t="s">
        <v>405</v>
      </c>
      <c r="B41" s="3295" t="s">
        <v>406</v>
      </c>
      <c r="C41" s="3296" t="s">
        <v>407</v>
      </c>
      <c r="D41" s="3296" t="s">
        <v>408</v>
      </c>
      <c r="E41" s="3297"/>
      <c r="F41" s="3298"/>
      <c r="G41" s="3299"/>
      <c r="I41" s="3262">
        <v>40</v>
      </c>
      <c r="J41" s="3262">
        <v>100</v>
      </c>
      <c r="K41" s="3262">
        <f t="shared" si="3"/>
        <v>2.8</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42" sqref="M42"/>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45026</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2"/>
      <c r="K4" s="3230" t="str">
        <f>CONCATENATE(B4,"（注册号：",C4,")、",D4,"（注册号：",E4,")")</f>
        <v>（注册号：0)、（注册号：0)</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20" t="s">
        <v>435</v>
      </c>
      <c r="E8" s="3155" t="s">
        <v>331</v>
      </c>
      <c r="F8" s="3156"/>
      <c r="G8" s="3137"/>
      <c r="H8" s="3137"/>
      <c r="I8" s="3137"/>
      <c r="J8" s="2732"/>
      <c r="K8" s="3235"/>
      <c r="L8" s="3232"/>
      <c r="M8" s="3232"/>
      <c r="N8" s="2732"/>
      <c r="O8" s="3233"/>
      <c r="P8" s="2732"/>
      <c r="Q8" s="2732"/>
      <c r="R8" s="2732"/>
    </row>
    <row r="9" spans="1:30">
      <c r="A9" s="3157" t="s">
        <v>436</v>
      </c>
      <c r="B9" s="3158" t="s">
        <v>331</v>
      </c>
      <c r="C9" s="3159"/>
      <c r="D9" s="3521"/>
      <c r="E9" s="3158"/>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8.31</v>
      </c>
      <c r="D15" s="3181">
        <f>IF(A13="出让",IF(D13="","",ROUNDDOWN(MIN((D13-$D$3)/365,D14),2)),D14)</f>
        <v>4.08</v>
      </c>
      <c r="E15" s="3181" t="str">
        <f>IF(A13="出让",IF(E13="","",ROUNDDOWN(MIN((E13-$D$3)/365,E14),2)),E14)</f>
        <v/>
      </c>
      <c r="F15" s="3181">
        <f>IF(A13="出让",IF(F13="","",ROUNDDOWN(MIN((F13-$D$3)/365,F14),2)),F14)</f>
        <v>37.729999999999997</v>
      </c>
      <c r="G15" s="3181" t="str">
        <f>IF(A13="出让",IF(G13="","",ROUNDDOWN(MIN((G13-$D$3)/365,G14),2)),G14)</f>
        <v/>
      </c>
      <c r="H15" s="3181" t="str">
        <f>IF(A13="出让",IF(H13="","",ROUNDDOWN(MIN((H13-$D$3)/365,H14),2)),H14)</f>
        <v/>
      </c>
      <c r="I15" s="3181">
        <f>IF(A13="出让",IF(I13="","",ROUNDDOWN(MIN((I13-$D$3)/365,I14),2)),I14)</f>
        <v>37.729999999999997</v>
      </c>
      <c r="J15" s="3242"/>
      <c r="K15" s="3243"/>
      <c r="L15" s="3243"/>
      <c r="M15" s="2733"/>
      <c r="N15" s="3243"/>
      <c r="O15" s="2733"/>
      <c r="P15" s="2732"/>
      <c r="Q15" s="2732"/>
      <c r="AD15" s="2748"/>
    </row>
    <row r="16" spans="1:30">
      <c r="A16" s="3165" t="s">
        <v>454</v>
      </c>
      <c r="B16" s="3497"/>
      <c r="C16" s="3498"/>
      <c r="D16" s="3499"/>
      <c r="E16" s="3182" t="s">
        <v>455</v>
      </c>
      <c r="F16" s="3500"/>
      <c r="G16" s="3501"/>
      <c r="H16" s="3501"/>
      <c r="I16" s="3502"/>
      <c r="J16" s="2732"/>
      <c r="K16" s="3244"/>
      <c r="L16" s="3243"/>
      <c r="M16" s="3243"/>
      <c r="N16" s="2733"/>
      <c r="O16" s="3243"/>
      <c r="P16" s="2733"/>
      <c r="Q16" s="2732"/>
      <c r="R16" s="2732"/>
    </row>
    <row r="17" spans="1:28">
      <c r="A17" s="2016" t="s">
        <v>456</v>
      </c>
      <c r="B17" s="2005" t="s">
        <v>457</v>
      </c>
      <c r="C17" s="1014">
        <f>'数据-汇总表'!E3</f>
        <v>120218.42</v>
      </c>
      <c r="D17" s="2059" t="s">
        <v>458</v>
      </c>
      <c r="E17" s="3503" t="s">
        <v>459</v>
      </c>
      <c r="F17" s="3504"/>
      <c r="G17" s="3504"/>
      <c r="H17" s="3504"/>
      <c r="I17" s="3505"/>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06" t="s">
        <v>462</v>
      </c>
      <c r="F18" s="3507"/>
      <c r="G18" s="3507"/>
      <c r="H18" s="3507"/>
      <c r="I18" s="3508"/>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509" t="s">
        <v>467</v>
      </c>
      <c r="C20" s="3510"/>
      <c r="D20" s="3511" t="s">
        <v>468</v>
      </c>
      <c r="E20" s="3512"/>
      <c r="F20" s="3191" t="s">
        <v>469</v>
      </c>
      <c r="G20" s="2854"/>
      <c r="H20" s="2854"/>
      <c r="I20" s="2854"/>
      <c r="J20" s="2732"/>
      <c r="K20" s="3522"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522"/>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522"/>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516"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516"/>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516"/>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517"/>
      <c r="B30" s="2005" t="s">
        <v>485</v>
      </c>
      <c r="C30" s="3513"/>
      <c r="D30" s="3514"/>
      <c r="E30" s="2854"/>
      <c r="F30" s="2854"/>
      <c r="G30" s="2854"/>
      <c r="H30" s="2854"/>
      <c r="I30" s="2854"/>
      <c r="J30" s="2732"/>
      <c r="K30" s="3234"/>
      <c r="L30" s="3232"/>
      <c r="M30" s="3232"/>
      <c r="N30" s="2732"/>
      <c r="O30" s="3233"/>
      <c r="P30" s="2732"/>
      <c r="Q30" s="2732"/>
      <c r="R30" s="2732"/>
      <c r="S30" s="2732"/>
      <c r="T30" s="2732"/>
      <c r="U30" s="2732"/>
      <c r="V30" s="2732"/>
    </row>
    <row r="31" spans="1:28">
      <c r="A31" s="3518"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519"/>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519"/>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523" t="s">
        <v>495</v>
      </c>
      <c r="T34" s="2046" t="str">
        <f>NUMBERSTRING(7-K34,1)&amp;"通"</f>
        <v>七通</v>
      </c>
      <c r="U34" s="2732"/>
      <c r="V34" s="2732"/>
    </row>
    <row r="35" spans="1:30">
      <c r="A35" s="3218"/>
      <c r="B35" s="3515" t="s">
        <v>496</v>
      </c>
      <c r="C35" s="3515"/>
      <c r="D35" s="3515"/>
      <c r="E35" s="3515"/>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23"/>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21" sqref="C21"/>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8619.73</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9117.11</v>
      </c>
      <c r="BM5" s="3107">
        <f t="shared" si="1"/>
        <v>0</v>
      </c>
      <c r="BN5" s="3107">
        <f t="shared" si="1"/>
        <v>0</v>
      </c>
      <c r="BO5" s="3107">
        <f t="shared" si="1"/>
        <v>0</v>
      </c>
      <c r="BP5" s="3107">
        <f t="shared" si="1"/>
        <v>0</v>
      </c>
      <c r="BQ5" s="3107">
        <f t="shared" si="1"/>
        <v>497.38</v>
      </c>
      <c r="BR5" s="3107">
        <f t="shared" si="1"/>
        <v>8619.73</v>
      </c>
      <c r="BS5" s="3107">
        <f t="shared" si="1"/>
        <v>0</v>
      </c>
      <c r="BT5" s="3116">
        <f t="shared" si="1"/>
        <v>0</v>
      </c>
    </row>
    <row r="6" spans="1:72" s="3034" customFormat="1" ht="12.75">
      <c r="A6" s="2159" t="s">
        <v>528</v>
      </c>
      <c r="B6" s="3048"/>
      <c r="C6" s="3048"/>
      <c r="D6" s="3049"/>
      <c r="E6" s="3047">
        <f>H6+AC6+AT6</f>
        <v>15592.54</v>
      </c>
      <c r="F6" s="3047" t="s">
        <v>124</v>
      </c>
      <c r="G6" s="3047" t="s">
        <v>124</v>
      </c>
      <c r="H6" s="3050">
        <f>SUMIF(I$12:AB$12,"总值",I6:AB6)</f>
        <v>14410.04</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9117.11</v>
      </c>
      <c r="AD13" s="3088"/>
      <c r="AE13" s="3088"/>
      <c r="AF13" s="3088"/>
      <c r="AG13" s="3088"/>
      <c r="AH13" s="3088"/>
      <c r="AI13" s="3088"/>
      <c r="AJ13" s="3088"/>
      <c r="AK13" s="3088"/>
      <c r="AL13" s="3088">
        <f>Sheet1!B33</f>
        <v>497.38</v>
      </c>
      <c r="AM13" s="3088"/>
      <c r="AN13" s="3088">
        <f>Sheet1!B4+Sheet1!B5+Sheet1!B6+Sheet1!B7-M13-K13</f>
        <v>8619.73</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9117.11</v>
      </c>
      <c r="BM13" s="3047">
        <f>IF($D13="是",AD13-AE13,0)</f>
        <v>0</v>
      </c>
      <c r="BN13" s="3047">
        <f>IF($D13="是",AF13-AG13,0)</f>
        <v>0</v>
      </c>
      <c r="BO13" s="3047">
        <f>IF($D13="是",AH13-AI13,0)</f>
        <v>0</v>
      </c>
      <c r="BP13" s="3047">
        <f>IF($D13="是",AJ13-AK13,0)</f>
        <v>0</v>
      </c>
      <c r="BQ13" s="3047">
        <f>IF($D13="是",AL13-AM13,0)</f>
        <v>497.38</v>
      </c>
      <c r="BR13" s="3047">
        <f>IF($D13="是",AN13-AO13,0)</f>
        <v>8619.73</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activeCell="J24" sqref="J24"/>
    </sheetView>
  </sheetViews>
  <sheetFormatPr defaultColWidth="8.75" defaultRowHeight="13.5"/>
  <cols>
    <col min="2" max="3" width="10.5"/>
  </cols>
  <sheetData>
    <row r="1" spans="1:2">
      <c r="A1" t="s">
        <v>561</v>
      </c>
      <c r="B1">
        <v>120218.42</v>
      </c>
    </row>
    <row r="4" spans="1:2">
      <c r="A4">
        <v>-4</v>
      </c>
      <c r="B4">
        <f>10603.83-9470.62</f>
        <v>1133.21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2">
      <c r="A17">
        <v>10</v>
      </c>
      <c r="B17">
        <v>3890.48</v>
      </c>
    </row>
    <row r="18" spans="1:2">
      <c r="A18">
        <v>11</v>
      </c>
      <c r="B18">
        <v>3890.48</v>
      </c>
    </row>
    <row r="19" spans="1:2">
      <c r="A19">
        <v>12</v>
      </c>
      <c r="B19">
        <v>3890.48</v>
      </c>
    </row>
    <row r="20" spans="1:2">
      <c r="A20">
        <v>13</v>
      </c>
      <c r="B20">
        <v>3890.48</v>
      </c>
    </row>
    <row r="21" spans="1:2">
      <c r="A21">
        <v>14</v>
      </c>
      <c r="B21">
        <v>3890.48</v>
      </c>
    </row>
    <row r="22" spans="1:2">
      <c r="A22">
        <v>15</v>
      </c>
      <c r="B22">
        <v>3890.48</v>
      </c>
    </row>
    <row r="23" spans="1:2">
      <c r="A23">
        <v>16</v>
      </c>
      <c r="B23">
        <v>3890.48</v>
      </c>
    </row>
    <row r="24" spans="1:2">
      <c r="A24">
        <v>17</v>
      </c>
      <c r="B24">
        <v>3890.48</v>
      </c>
    </row>
    <row r="25" spans="1:2">
      <c r="A25">
        <v>18</v>
      </c>
      <c r="B25">
        <v>3890.48</v>
      </c>
    </row>
    <row r="26" spans="1:2">
      <c r="A26">
        <v>19</v>
      </c>
      <c r="B26">
        <v>3890.48</v>
      </c>
    </row>
    <row r="27" spans="1:2">
      <c r="A27">
        <v>20</v>
      </c>
      <c r="B27">
        <v>3890.48</v>
      </c>
    </row>
    <row r="28" spans="1:2">
      <c r="A28">
        <v>21</v>
      </c>
      <c r="B28">
        <v>3125.86</v>
      </c>
    </row>
    <row r="29" spans="1:2">
      <c r="A29">
        <v>22</v>
      </c>
      <c r="B29">
        <v>3125.86</v>
      </c>
    </row>
    <row r="30" spans="1:2">
      <c r="A30">
        <v>23</v>
      </c>
      <c r="B30">
        <v>2201.98</v>
      </c>
    </row>
    <row r="31" spans="1:2">
      <c r="A31">
        <v>24</v>
      </c>
      <c r="B31">
        <v>1778.62</v>
      </c>
    </row>
    <row r="32" spans="1:2">
      <c r="A32">
        <v>25</v>
      </c>
      <c r="B32">
        <v>1778.62</v>
      </c>
    </row>
    <row r="33" spans="1:3">
      <c r="A33" t="s">
        <v>562</v>
      </c>
      <c r="B33">
        <v>497.38</v>
      </c>
    </row>
    <row r="34" spans="1:3">
      <c r="B34">
        <f>SUM(B4:B33)</f>
        <v>120218.42</v>
      </c>
      <c r="C34">
        <f>130361.65-10143.23</f>
        <v>120218.42</v>
      </c>
    </row>
    <row r="35" spans="1:3">
      <c r="B35">
        <f>B34-B33</f>
        <v>119721.04</v>
      </c>
    </row>
    <row r="36" spans="1:3">
      <c r="B36">
        <f>B35-118838.41</f>
        <v>882.62999999994599</v>
      </c>
    </row>
  </sheetData>
  <phoneticPr fontId="232"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9" zoomScale="70" zoomScaleNormal="100" workbookViewId="0">
      <selection activeCell="O42" sqref="O42"/>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24" t="s">
        <v>564</v>
      </c>
      <c r="B2" s="3524"/>
      <c r="C2" s="3524"/>
      <c r="D2" s="2293" t="s">
        <v>565</v>
      </c>
      <c r="E2" s="2949" t="s">
        <v>566</v>
      </c>
      <c r="F2" s="2950"/>
      <c r="G2" s="2951"/>
      <c r="H2" s="2952"/>
      <c r="I2" s="2600" t="s">
        <v>567</v>
      </c>
      <c r="J2" s="2950"/>
      <c r="K2" s="2950"/>
      <c r="L2" s="2950"/>
      <c r="M2" s="2950"/>
      <c r="N2" s="1418"/>
      <c r="O2" s="2950"/>
      <c r="P2" s="2950"/>
    </row>
    <row r="3" spans="1:16" ht="15">
      <c r="A3" s="3525" t="s">
        <v>568</v>
      </c>
      <c r="B3" s="3525"/>
      <c r="C3" s="3525"/>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26"/>
      <c r="B4" s="3527"/>
      <c r="C4" s="3528"/>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29" t="s">
        <v>573</v>
      </c>
      <c r="C5" s="3529"/>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29" t="s">
        <v>574</v>
      </c>
      <c r="C6" s="3529"/>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30"/>
      <c r="B7" s="3531"/>
      <c r="C7" s="3532"/>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v>
      </c>
      <c r="F16" s="2950"/>
      <c r="G16" s="2969"/>
      <c r="H16" s="2974" t="s">
        <v>589</v>
      </c>
      <c r="I16" s="3016"/>
      <c r="J16" s="2451"/>
      <c r="K16" s="3533" t="s">
        <v>589</v>
      </c>
      <c r="L16" s="3534"/>
      <c r="M16" s="3534"/>
      <c r="N16" s="3534"/>
      <c r="O16" s="3534"/>
      <c r="P16" s="3535"/>
    </row>
    <row r="17" spans="1:19" ht="15">
      <c r="A17" s="2908" t="s">
        <v>590</v>
      </c>
      <c r="B17" s="2975" t="s">
        <v>591</v>
      </c>
      <c r="C17" s="2907" t="s">
        <v>592</v>
      </c>
      <c r="D17" s="2976" t="s">
        <v>565</v>
      </c>
      <c r="E17" s="2977" t="s">
        <v>566</v>
      </c>
      <c r="F17" s="2978"/>
      <c r="G17" s="2979"/>
      <c r="H17" s="2980" t="s">
        <v>593</v>
      </c>
      <c r="I17" s="3017" t="s">
        <v>594</v>
      </c>
      <c r="J17" s="2451"/>
      <c r="K17" s="3536" t="s">
        <v>595</v>
      </c>
      <c r="L17" s="3537"/>
      <c r="M17" s="3538"/>
      <c r="N17" s="3536" t="s">
        <v>596</v>
      </c>
      <c r="O17" s="3537"/>
      <c r="P17" s="3538"/>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11945.98</v>
      </c>
      <c r="E19" s="2989">
        <f t="shared" ref="E19:E26" si="1">SUM(F19:G19)</f>
        <v>92103.41</v>
      </c>
      <c r="F19" s="2990">
        <f>'数据-基础表'!I13</f>
        <v>88740.02</v>
      </c>
      <c r="G19" s="2991">
        <f>'数据-基础表'!K13</f>
        <v>3363.39</v>
      </c>
      <c r="H19" s="2897">
        <f>ROUND($D$3*I19/$E$3,2)</f>
        <v>980.3</v>
      </c>
      <c r="I19" s="2968">
        <f t="shared" ref="I19:I26" si="2">IF($I$17="自定义",P19,M19)</f>
        <v>7558.12</v>
      </c>
      <c r="J19" s="2451"/>
      <c r="K19" s="3019">
        <f t="shared" ref="K19:K26" si="3">ROUND(E$28*E19/E$27,2)</f>
        <v>7558.12</v>
      </c>
      <c r="L19" s="2403">
        <f t="shared" ref="L19:L26" si="4">ROUND(IF(COUNTIF(C19,"*住宅*")&gt;0,E$29*E19/E$32,0),2)</f>
        <v>0</v>
      </c>
      <c r="M19" s="3020">
        <f>K19+L19</f>
        <v>7558.12</v>
      </c>
      <c r="N19" s="3021"/>
      <c r="O19" s="3022"/>
      <c r="P19" s="3020">
        <f>N19+O19</f>
        <v>0</v>
      </c>
      <c r="R19" s="2403">
        <f t="shared" ref="R19:S26" si="5">D19+H19</f>
        <v>12926.28</v>
      </c>
      <c r="S19" s="3031">
        <f t="shared" si="5"/>
        <v>99661.53</v>
      </c>
    </row>
    <row r="20" spans="1:19">
      <c r="A20" s="2992"/>
      <c r="B20" s="2967" t="s">
        <v>605</v>
      </c>
      <c r="C20" s="2988" t="s">
        <v>555</v>
      </c>
      <c r="D20" s="2959">
        <f t="shared" ref="D20:D26" si="6">ROUND($D$3*E20/$E$3,2)</f>
        <v>2464.06</v>
      </c>
      <c r="E20" s="2989">
        <f t="shared" si="1"/>
        <v>18997.900000000001</v>
      </c>
      <c r="F20" s="2990"/>
      <c r="G20" s="2991">
        <f>'数据-基础表'!M13</f>
        <v>18997.900000000001</v>
      </c>
      <c r="H20" s="2897">
        <f t="shared" ref="H20:H26" si="7">ROUND($D$3*I20/$E$3,2)</f>
        <v>202.2</v>
      </c>
      <c r="I20" s="2968">
        <f t="shared" si="2"/>
        <v>1558.99</v>
      </c>
      <c r="J20" s="2451"/>
      <c r="K20" s="3019">
        <f t="shared" si="3"/>
        <v>1558.99</v>
      </c>
      <c r="L20" s="2403">
        <f t="shared" si="4"/>
        <v>0</v>
      </c>
      <c r="M20" s="3020">
        <f t="shared" ref="M20:M26" si="8">K20+L20</f>
        <v>1558.99</v>
      </c>
      <c r="N20" s="3021"/>
      <c r="O20" s="3022"/>
      <c r="P20" s="3020">
        <f t="shared" ref="P20:P26" si="9">N20+O20</f>
        <v>0</v>
      </c>
      <c r="R20" s="2403">
        <f t="shared" si="5"/>
        <v>2666.26</v>
      </c>
      <c r="S20" s="3031">
        <f t="shared" si="5"/>
        <v>20556.89</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28.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t="str">
        <f>IF(SUM(R19:R26)=$D$3,SUM(R19:R26),SUM(R19:R26)&amp;"误差"&amp;ROUND(SUM(R19:R26)-$D$3,2))</f>
        <v>15592.54误差-0.01</v>
      </c>
      <c r="S27" s="2403">
        <f>IF(SUM(S19:S26)=$E$3,SUM(S19:S26),SUM(S19:S26)&amp;"误差"&amp;ROUND(SUM(S19:S26)-E3,2))</f>
        <v>120218.42</v>
      </c>
    </row>
    <row r="28" spans="1:19">
      <c r="A28" s="2992"/>
      <c r="B28" s="2967" t="s">
        <v>608</v>
      </c>
      <c r="C28" s="2916" t="s">
        <v>609</v>
      </c>
      <c r="D28" s="2959">
        <f>ROUND($D$3*E28/$E$3,2)</f>
        <v>1182.51</v>
      </c>
      <c r="E28" s="2989">
        <f>SUM(F28:G28)</f>
        <v>9117.11</v>
      </c>
      <c r="F28" s="2392">
        <f>'数据-基础表'!BQ5+'数据-基础表'!BS5</f>
        <v>497.38</v>
      </c>
      <c r="G28" s="3001">
        <f>'数据-基础表'!BR5+'数据-基础表'!BT5</f>
        <v>8619.73</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9117.11</v>
      </c>
      <c r="F30" s="2997">
        <f>SUM(F28:F29)</f>
        <v>497.38</v>
      </c>
      <c r="G30" s="2999">
        <f>SUM(G28:G29)</f>
        <v>8619.73</v>
      </c>
      <c r="H30" s="2950"/>
      <c r="I30" s="2950"/>
      <c r="J30" s="2950"/>
      <c r="K30" s="2950"/>
      <c r="L30" s="2950"/>
      <c r="M30" s="2950"/>
      <c r="N30" s="2950"/>
      <c r="O30" s="2950"/>
      <c r="P30" s="2950"/>
    </row>
    <row r="31" spans="1:19" ht="15">
      <c r="A31" s="3005"/>
      <c r="B31" s="3006"/>
      <c r="C31" s="2335" t="s">
        <v>611</v>
      </c>
      <c r="D31" s="3007">
        <f>D27+D30</f>
        <v>15592.55</v>
      </c>
      <c r="E31" s="3007">
        <f>E27+E30</f>
        <v>120218.42</v>
      </c>
      <c r="F31" s="3008">
        <f>F27+F30</f>
        <v>89237.4</v>
      </c>
      <c r="G31" s="3009">
        <f>G27+G30</f>
        <v>30981.02</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3363.39</v>
      </c>
      <c r="G37" s="2947">
        <v>1.7</v>
      </c>
      <c r="H37" s="2947">
        <f>F37*G37*365</f>
        <v>2086983.4950000001</v>
      </c>
      <c r="L37" s="2947">
        <v>0.8</v>
      </c>
      <c r="M37" s="2947">
        <v>40000</v>
      </c>
    </row>
    <row r="38" spans="4:13">
      <c r="F38" s="2947">
        <f>F36+F37</f>
        <v>92103.41</v>
      </c>
      <c r="G38" s="2947">
        <f>H38/F38/365</f>
        <v>3.9160096569714402</v>
      </c>
      <c r="H38" s="2947">
        <f>H36+H37</f>
        <v>131647412.69499999</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pane="topRight"/>
      <selection pane="bottomLeft"/>
      <selection pane="bottomRight" activeCell="AH30" sqref="AH30"/>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45026</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37.729999999999997</v>
      </c>
      <c r="G6" s="2775">
        <f>IF(ISERROR(ROUND(POWER(1+H6,D6-F6)*(POWER(1+H6,F6)-1)/(POWER(1+H6,D6)-1),3)),0,ROUND(POWER(1+H6,D6-F6)*(POWER(1+H6,F6)-1)/(POWER(1+H6,D6)-1),3))</f>
        <v>0.92200000000000004</v>
      </c>
      <c r="H6" s="2776">
        <v>0.05</v>
      </c>
      <c r="I6" s="2776">
        <v>5.5E-2</v>
      </c>
      <c r="J6" s="2777">
        <v>7.0000000000000007E-2</v>
      </c>
      <c r="K6" s="2865">
        <f>SUMIF('数据-汇总表'!C$19:C$33,A6,'数据-汇总表'!E$19:E$33)</f>
        <v>92103.41</v>
      </c>
      <c r="L6" s="2866">
        <v>6000</v>
      </c>
      <c r="M6" s="2867">
        <f t="shared" ref="M6:M14" si="0">ROUND(K6*L6/10000,0)</f>
        <v>55262</v>
      </c>
      <c r="N6" s="2868">
        <f>ROUND((N18+N19)/2,2)</f>
        <v>0.95</v>
      </c>
      <c r="O6" s="2867" t="str">
        <f>IF($N$5="成新度","——",ROUND(M6*N6,0))</f>
        <v>——</v>
      </c>
      <c r="P6" s="2869" t="str">
        <f>IF($N$5="成新度","——",M6-O6)</f>
        <v>——</v>
      </c>
      <c r="Q6" s="2884">
        <v>0.2</v>
      </c>
      <c r="R6" s="2885">
        <f ca="1">SUMIF('数据-汇总表'!C$19:C$33,A6,'数据-汇总表'!R$19:R$27)</f>
        <v>12926.28</v>
      </c>
      <c r="S6" s="2886">
        <f>IF('数据-汇总表'!$I$17="按面积比例",SUMIF('数据-汇总表'!C$19:C$33,A6,'数据-汇总表'!K$19:K$33),SUMIF('数据-汇总表'!C$19:C$33,A6,'数据-汇总表'!N$19:N$33))</f>
        <v>7558.12</v>
      </c>
      <c r="T6" s="2887">
        <f>ROUND($L$14*S6/10000,0)</f>
        <v>4535</v>
      </c>
      <c r="U6" s="2888">
        <v>3.9</v>
      </c>
      <c r="V6" s="2889"/>
      <c r="W6" s="2890"/>
      <c r="X6" s="2891"/>
      <c r="Y6" s="2910">
        <f>N6</f>
        <v>0.95</v>
      </c>
      <c r="Z6" s="2911">
        <f>ROUND(8*(1+3%)^AF6,2)</f>
        <v>10.23</v>
      </c>
      <c r="AA6" s="2777">
        <v>0.03</v>
      </c>
      <c r="AB6" s="2777">
        <v>0.1</v>
      </c>
      <c r="AC6" s="2891"/>
      <c r="AD6" s="2912">
        <f>ROUND(1-(2031-2020)/60,2)</f>
        <v>0.82</v>
      </c>
      <c r="AE6" s="2913">
        <f ca="1">IF(AN6="",0,SUMIF(INDIRECT("'"&amp;AN6&amp;"'"&amp;"!E:E"),$AE$5,INDIRECT("'"&amp;AN6&amp;"'"&amp;"!F:F")))</f>
        <v>37.729999999999997</v>
      </c>
      <c r="AF6" s="2389">
        <f>项目基本情况!C15</f>
        <v>8.31</v>
      </c>
      <c r="AG6" s="1742">
        <f ca="1">IF(AF6="",0,AE6-AF6)</f>
        <v>29.419999999999995</v>
      </c>
      <c r="AH6" s="2922"/>
      <c r="AI6" s="2923">
        <v>365</v>
      </c>
      <c r="AJ6" s="2924"/>
      <c r="AK6" s="2925">
        <v>7.0000000000000001E-3</v>
      </c>
      <c r="AL6" s="2926">
        <v>1E-3</v>
      </c>
      <c r="AM6" s="2927">
        <v>0.01</v>
      </c>
      <c r="AN6" s="2928" t="s">
        <v>656</v>
      </c>
      <c r="AO6" s="1303">
        <f ca="1">SUMIF(INDIRECT("'"&amp;AN6&amp;"'"&amp;"!A:A"),"总价",INDIRECT("'"&amp;AN6&amp;"'"&amp;"!B:B"))</f>
        <v>389300</v>
      </c>
      <c r="AP6" s="2943">
        <f>IF(C6="住宅",K6*L6,0)</f>
        <v>0</v>
      </c>
      <c r="AQ6" s="1303">
        <f>ROUND($L$14*$N$14*S6/10000,0)</f>
        <v>4308</v>
      </c>
      <c r="AR6" s="1303">
        <f>ROUND($L$14*(1-$N$14)*S6/10000,0)</f>
        <v>227</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37.729999999999997</v>
      </c>
      <c r="G7" s="2775">
        <f t="shared" ref="G7:G13" si="2">IF(ISERROR(ROUND(POWER(1+H7,D7-F7)*(POWER(1+H7,F7)-1)/(POWER(1+H7,D7)-1),3)),0,ROUND(POWER(1+H7,D7-F7)*(POWER(1+H7,F7)-1)/(POWER(1+H7,D7)-1),3))</f>
        <v>0.91100000000000003</v>
      </c>
      <c r="H7" s="2776">
        <v>4.4999999999999998E-2</v>
      </c>
      <c r="I7" s="2776">
        <v>0.05</v>
      </c>
      <c r="J7" s="2777">
        <v>7.0000000000000007E-2</v>
      </c>
      <c r="K7" s="2865">
        <f>SUMIF('数据-汇总表'!C$19:C$33,A7,'数据-汇总表'!E$19:E$33)</f>
        <v>18997.900000000001</v>
      </c>
      <c r="L7" s="2866">
        <f>L6</f>
        <v>6000</v>
      </c>
      <c r="M7" s="2867">
        <f t="shared" si="0"/>
        <v>11399</v>
      </c>
      <c r="N7" s="2868">
        <f>N6</f>
        <v>0.95</v>
      </c>
      <c r="O7" s="2867" t="str">
        <f t="shared" ref="O7:O14" si="3">IF($N$5="成新度","——",ROUND(M7*N7,0))</f>
        <v>——</v>
      </c>
      <c r="P7" s="2869" t="str">
        <f t="shared" ref="P7:P14" si="4">IF($N$5="成新度","——",M7-O7)</f>
        <v>——</v>
      </c>
      <c r="Q7" s="2884">
        <v>0.05</v>
      </c>
      <c r="R7" s="2885">
        <f ca="1">SUMIF('数据-汇总表'!C$19:C$33,A7,'数据-汇总表'!R$19:R$27)</f>
        <v>2666.26</v>
      </c>
      <c r="S7" s="2886">
        <f>IF('数据-汇总表'!$I$17="按面积比例",SUMIF('数据-汇总表'!C$19:C$33,A7,'数据-汇总表'!K$19:K$33),SUMIF('数据-汇总表'!C$19:C$33,A7,'数据-汇总表'!N$19:N$33))</f>
        <v>1558.99</v>
      </c>
      <c r="T7" s="2887">
        <f t="shared" ref="T7:T13" si="5">ROUND($L$14*S7/10000,0)</f>
        <v>935</v>
      </c>
      <c r="U7" s="2888">
        <v>500</v>
      </c>
      <c r="V7" s="2889"/>
      <c r="W7" s="2890"/>
      <c r="X7" s="2891"/>
      <c r="Y7" s="2910">
        <v>0.95</v>
      </c>
      <c r="Z7" s="2911">
        <v>1000</v>
      </c>
      <c r="AA7" s="2777">
        <v>2.5000000000000001E-2</v>
      </c>
      <c r="AB7" s="2777">
        <v>0.1</v>
      </c>
      <c r="AC7" s="2891"/>
      <c r="AD7" s="2912">
        <f>ROUND(1-(2027-2020)/60,2)</f>
        <v>0.88</v>
      </c>
      <c r="AE7" s="2913">
        <f t="shared" ref="AE7:AE13" ca="1" si="6">IF(AN7="",0,SUMIF(INDIRECT("'"&amp;AN7&amp;"'"&amp;"!E:E"),$AE$5,INDIRECT("'"&amp;AN7&amp;"'"&amp;"!F:F")))</f>
        <v>37.729999999999997</v>
      </c>
      <c r="AF7" s="2389">
        <v>4.08</v>
      </c>
      <c r="AG7" s="1742">
        <f t="shared" ref="AG7:AG13" ca="1" si="7">IF(AF7="",0,AE7-AF7)</f>
        <v>33.65</v>
      </c>
      <c r="AH7" s="2922">
        <v>568</v>
      </c>
      <c r="AI7" s="2923">
        <v>12</v>
      </c>
      <c r="AJ7" s="2924"/>
      <c r="AK7" s="2925">
        <v>7.0000000000000001E-3</v>
      </c>
      <c r="AL7" s="2926">
        <f>AL6</f>
        <v>1E-3</v>
      </c>
      <c r="AM7" s="2927">
        <v>0.01</v>
      </c>
      <c r="AN7" s="2928" t="s">
        <v>315</v>
      </c>
      <c r="AO7" s="1303">
        <f t="shared" ref="AO7:AO13" ca="1" si="8">SUMIF(INDIRECT("'"&amp;AN7&amp;"'"&amp;"!A:A"),"总价",INDIRECT("'"&amp;AN7&amp;"'"&amp;"!B:B"))</f>
        <v>7696</v>
      </c>
      <c r="AP7" s="2943">
        <f t="shared" ref="AP7:AP13" si="9">IF(C7="住宅",K7*L7,0)</f>
        <v>0</v>
      </c>
      <c r="AQ7" s="1303">
        <f t="shared" ref="AQ7:AQ13" si="10">ROUND($L$14*$N$14*S7/10000,0)</f>
        <v>889</v>
      </c>
      <c r="AR7" s="1303">
        <f t="shared" ref="AR7:AR13" si="11">ROUND($L$14*(1-$N$14)*S7/10000,0)</f>
        <v>47</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v>
      </c>
      <c r="H16" s="2785">
        <f>ROUND(SUMPRODUCT(H6:H13,K6:K13)/SUMPRODUCT((H6:H13&gt;0)*(K6:K13)),3)</f>
        <v>4.9000000000000002E-2</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0.17</v>
      </c>
      <c r="R16" s="2901">
        <f ca="1">SUM(R6:R13)</f>
        <v>15592.54</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c r="U23" s="2276"/>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39" t="s">
        <v>722</v>
      </c>
      <c r="B1" s="3540"/>
      <c r="C1" s="3540"/>
      <c r="D1" s="3540"/>
      <c r="E1" s="3540"/>
      <c r="F1" s="3540"/>
      <c r="G1" s="3540"/>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45026</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368573</v>
      </c>
      <c r="C5" s="2658">
        <f ca="1">IF(B5=D14,结果表!H102,ROUND(B5*10000/$B$1,0))</f>
        <v>30659</v>
      </c>
      <c r="D5" s="2658">
        <f ca="1">ROUND(B5*10000/$B$2,0)</f>
        <v>236378</v>
      </c>
      <c r="E5" s="2659"/>
      <c r="F5" s="2660"/>
      <c r="G5" s="2660"/>
      <c r="H5" s="2661"/>
      <c r="I5" s="2661"/>
      <c r="J5" s="2661"/>
      <c r="K5" s="2661"/>
    </row>
    <row r="6" spans="1:11" ht="16.5">
      <c r="A6" s="2658" t="s">
        <v>756</v>
      </c>
      <c r="B6" s="2658">
        <f ca="1">SUM(G14:G23)</f>
        <v>368573</v>
      </c>
      <c r="C6" s="2658">
        <f ca="1">IF(B6=G14,结果表!H108,ROUND(B6*10000/$B$1,0))</f>
        <v>30659</v>
      </c>
      <c r="D6" s="2658">
        <f ca="1">ROUND(B6*10000/$B$2,0)</f>
        <v>236378</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SUM(I14:I23)</f>
        <v>0</v>
      </c>
      <c r="C8" s="2658" t="str">
        <f>IF(B8=I14,结果表!H112,ROUND(B8*10000/$B$1,0))</f>
        <v>——</v>
      </c>
      <c r="D8" s="2658">
        <f>ROUND(B8*10000/$B$2,0)</f>
        <v>0</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368573</v>
      </c>
      <c r="E14" s="2670">
        <f ca="1">ROUND(D14*10000/B14,0)</f>
        <v>30659</v>
      </c>
      <c r="F14" s="2670">
        <f ca="1">ROUND(D14*10000/C14,0)</f>
        <v>236378</v>
      </c>
      <c r="G14" s="2670">
        <f ca="1">D14</f>
        <v>368573</v>
      </c>
      <c r="H14" s="2670"/>
      <c r="I14" s="2670"/>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I28" sqref="I28"/>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541" t="str">
        <f>项目基本情况!S2</f>
        <v>北京市房地产</v>
      </c>
      <c r="B2" s="3542"/>
      <c r="C2" s="3542"/>
      <c r="D2" s="3542"/>
      <c r="E2" s="3542"/>
      <c r="F2" s="3542"/>
      <c r="G2" s="3542"/>
      <c r="H2" s="3542"/>
      <c r="I2" s="3543"/>
    </row>
    <row r="3" spans="1:12" ht="12.75">
      <c r="A3" s="3544" t="s">
        <v>780</v>
      </c>
      <c r="B3" s="3545"/>
      <c r="C3" s="3545"/>
      <c r="D3" s="3545"/>
      <c r="E3" s="3545"/>
      <c r="F3" s="3545"/>
      <c r="G3" s="3545"/>
      <c r="H3" s="3545"/>
      <c r="I3" s="3545"/>
    </row>
    <row r="4" spans="1:12" ht="14.25">
      <c r="A4" s="2383" t="s">
        <v>781</v>
      </c>
      <c r="B4" s="2384" t="s">
        <v>782</v>
      </c>
      <c r="C4" s="2385" t="s">
        <v>783</v>
      </c>
      <c r="D4" s="2385" t="s">
        <v>272</v>
      </c>
      <c r="E4" s="3546" t="s">
        <v>784</v>
      </c>
      <c r="F4" s="3547"/>
      <c r="G4" s="3547"/>
      <c r="H4" s="3547"/>
      <c r="I4" s="3548"/>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0" t="s">
        <v>785</v>
      </c>
      <c r="B5" s="3616">
        <v>25</v>
      </c>
      <c r="C5" s="3619"/>
      <c r="D5" s="3622"/>
      <c r="E5" s="2045" t="s">
        <v>786</v>
      </c>
      <c r="F5" s="2390"/>
      <c r="G5" s="2390"/>
      <c r="H5" s="2390"/>
      <c r="I5" s="2259"/>
    </row>
    <row r="6" spans="1:12" ht="12.75">
      <c r="A6" s="3600"/>
      <c r="B6" s="3616"/>
      <c r="C6" s="3620"/>
      <c r="D6" s="3622"/>
      <c r="E6" s="2045" t="s">
        <v>787</v>
      </c>
      <c r="F6" s="2390"/>
      <c r="G6" s="2390"/>
      <c r="H6" s="2390"/>
      <c r="I6" s="2259"/>
    </row>
    <row r="7" spans="1:12" ht="12.75">
      <c r="A7" s="3600"/>
      <c r="B7" s="3616"/>
      <c r="C7" s="3621"/>
      <c r="D7" s="3622"/>
      <c r="E7" s="2045" t="s">
        <v>788</v>
      </c>
      <c r="F7" s="2390"/>
      <c r="G7" s="2390"/>
      <c r="H7" s="2390"/>
      <c r="I7" s="2259"/>
    </row>
    <row r="8" spans="1:12" ht="12.75">
      <c r="A8" s="3600" t="s">
        <v>789</v>
      </c>
      <c r="B8" s="3616">
        <v>15</v>
      </c>
      <c r="C8" s="3619"/>
      <c r="D8" s="3622"/>
      <c r="E8" s="2045" t="s">
        <v>790</v>
      </c>
      <c r="F8" s="2390"/>
      <c r="G8" s="2390"/>
      <c r="H8" s="2390"/>
      <c r="I8" s="2259"/>
    </row>
    <row r="9" spans="1:12" ht="12.75">
      <c r="A9" s="3600"/>
      <c r="B9" s="3616"/>
      <c r="C9" s="3621"/>
      <c r="D9" s="3622"/>
      <c r="E9" s="2045" t="s">
        <v>791</v>
      </c>
      <c r="F9" s="2390"/>
      <c r="G9" s="2390"/>
      <c r="H9" s="2390"/>
      <c r="I9" s="2259"/>
    </row>
    <row r="10" spans="1:12" ht="12.75">
      <c r="A10" s="3600" t="s">
        <v>792</v>
      </c>
      <c r="B10" s="3616">
        <v>15</v>
      </c>
      <c r="C10" s="3619"/>
      <c r="D10" s="3622"/>
      <c r="E10" s="2045" t="s">
        <v>793</v>
      </c>
      <c r="F10" s="2390"/>
      <c r="G10" s="2390"/>
      <c r="H10" s="2390"/>
      <c r="I10" s="2259"/>
    </row>
    <row r="11" spans="1:12" ht="12.75">
      <c r="A11" s="3600"/>
      <c r="B11" s="3616"/>
      <c r="C11" s="3621"/>
      <c r="D11" s="3622"/>
      <c r="E11" s="2045" t="s">
        <v>794</v>
      </c>
      <c r="F11" s="2390"/>
      <c r="G11" s="2390"/>
      <c r="H11" s="2390"/>
      <c r="I11" s="2259"/>
    </row>
    <row r="12" spans="1:12" ht="12.75">
      <c r="A12" s="3600" t="s">
        <v>795</v>
      </c>
      <c r="B12" s="3616">
        <v>15</v>
      </c>
      <c r="C12" s="3619"/>
      <c r="D12" s="3622"/>
      <c r="E12" s="2045" t="s">
        <v>796</v>
      </c>
      <c r="F12" s="2390"/>
      <c r="G12" s="2390"/>
      <c r="H12" s="2390"/>
      <c r="I12" s="2259"/>
    </row>
    <row r="13" spans="1:12" ht="12.75">
      <c r="A13" s="3600"/>
      <c r="B13" s="3616"/>
      <c r="C13" s="3621"/>
      <c r="D13" s="3622"/>
      <c r="E13" s="2045" t="s">
        <v>797</v>
      </c>
      <c r="F13" s="2390"/>
      <c r="G13" s="2390"/>
      <c r="H13" s="2390"/>
      <c r="I13" s="2259"/>
    </row>
    <row r="14" spans="1:12" ht="12.75">
      <c r="A14" s="3600" t="s">
        <v>798</v>
      </c>
      <c r="B14" s="3616">
        <v>30</v>
      </c>
      <c r="C14" s="3619">
        <v>5</v>
      </c>
      <c r="D14" s="3622">
        <v>5</v>
      </c>
      <c r="E14" s="2045" t="s">
        <v>799</v>
      </c>
      <c r="F14" s="2390"/>
      <c r="G14" s="2390"/>
      <c r="H14" s="2390"/>
      <c r="I14" s="2259"/>
    </row>
    <row r="15" spans="1:12" ht="12.75">
      <c r="A15" s="3600"/>
      <c r="B15" s="3616"/>
      <c r="C15" s="3620"/>
      <c r="D15" s="3622"/>
      <c r="E15" s="2045" t="s">
        <v>800</v>
      </c>
      <c r="F15" s="2390"/>
      <c r="G15" s="2390"/>
      <c r="H15" s="2390"/>
      <c r="I15" s="2259"/>
    </row>
    <row r="16" spans="1:12" ht="12.75">
      <c r="A16" s="3600"/>
      <c r="B16" s="3616"/>
      <c r="C16" s="3621"/>
      <c r="D16" s="3622"/>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549" t="s">
        <v>806</v>
      </c>
      <c r="F18" s="3550"/>
      <c r="G18" s="3550"/>
      <c r="H18" s="3550"/>
      <c r="I18" s="3550"/>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340150</v>
      </c>
      <c r="D19" s="1440">
        <f ca="1">SUMIF(INDIRECT("'"&amp;D4&amp;"'"&amp;"!A:A"),结果表!B19,INDIRECT("'"&amp;D4&amp;"'"&amp;"!B:B"))</f>
        <v>396996</v>
      </c>
      <c r="E19" s="2397" t="s">
        <v>809</v>
      </c>
      <c r="F19" s="2398" t="s">
        <v>808</v>
      </c>
      <c r="G19" s="2400">
        <f ca="1">ROUND(C19*$C$18+D19*$D$18,0)</f>
        <v>368573</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28294</v>
      </c>
      <c r="D20" s="1742">
        <f ca="1">SUMIF(INDIRECT("'"&amp;D4&amp;"'"&amp;"!A:A"),结果表!B20,INDIRECT("'"&amp;D4&amp;"'"&amp;"!B:B"))</f>
        <v>33023</v>
      </c>
      <c r="E20" s="2402"/>
      <c r="F20" s="2403" t="s">
        <v>811</v>
      </c>
      <c r="G20" s="2404">
        <f ca="1">ROUND(C20*$C$18+D20*$D$18,0)</f>
        <v>30659</v>
      </c>
      <c r="H20" s="2161" t="s">
        <v>812</v>
      </c>
      <c r="I20" s="1000"/>
    </row>
    <row r="21" spans="1:36" ht="15" customHeight="1">
      <c r="A21" s="2340"/>
      <c r="B21" s="2405" t="s">
        <v>813</v>
      </c>
      <c r="C21" s="2406">
        <f ca="1">ROUND(C19*10000/L19,0)</f>
        <v>218149</v>
      </c>
      <c r="D21" s="2407">
        <f ca="1">ROUND(D19*10000/L19,0)</f>
        <v>254606</v>
      </c>
      <c r="E21" s="2340"/>
      <c r="F21" s="2405" t="s">
        <v>813</v>
      </c>
      <c r="G21" s="2408">
        <f ca="1">ROUND(G19*10000/L19,0)</f>
        <v>236378</v>
      </c>
      <c r="H21" s="2409" t="s">
        <v>812</v>
      </c>
      <c r="I21" s="1000"/>
    </row>
    <row r="22" spans="1:36" ht="14.25">
      <c r="A22" s="2410" t="s">
        <v>814</v>
      </c>
      <c r="B22" s="2411"/>
      <c r="C22" s="2412"/>
      <c r="D22" s="2413">
        <f ca="1">IF(C19&lt;D19,D19/C19-1,C19/D19-1)</f>
        <v>0.16712038806408946</v>
      </c>
      <c r="E22" s="1000"/>
      <c r="F22" s="1000"/>
      <c r="G22" s="1000"/>
      <c r="H22" s="1000"/>
      <c r="I22" s="1000"/>
    </row>
    <row r="23" spans="1:36" ht="12.75">
      <c r="A23" s="2378"/>
      <c r="B23" s="2378"/>
      <c r="C23" s="2378"/>
      <c r="D23" s="2378"/>
      <c r="E23" s="1000"/>
      <c r="F23" s="1000"/>
      <c r="G23" s="1000"/>
      <c r="H23" s="1000"/>
      <c r="I23" s="1000"/>
    </row>
    <row r="24" spans="1:36" ht="14.25">
      <c r="A24" s="3609" t="s">
        <v>815</v>
      </c>
      <c r="B24" s="2398" t="s">
        <v>808</v>
      </c>
      <c r="C24" s="2400">
        <f>IF(B30=0,0,D30)</f>
        <v>0</v>
      </c>
      <c r="D24" s="2414"/>
      <c r="E24" s="1000"/>
      <c r="F24" s="1000"/>
      <c r="G24" s="1000">
        <f ca="1">G19/2</f>
        <v>184286.5</v>
      </c>
      <c r="H24" s="1000"/>
      <c r="I24" s="1000"/>
    </row>
    <row r="25" spans="1:36" ht="14.25">
      <c r="A25" s="3610"/>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41302.525622664944</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368573</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216721</v>
      </c>
      <c r="D34" s="2435">
        <f ca="1">IF(C33="自定义",ROUND(C34/C32,3),IF(C33="收益比率",SUMIF(INDIRECT("'"&amp;D33&amp;"'"&amp;"!b:b"),"土地收益比率",INDIRECT("'"&amp;D33&amp;"'"&amp;"!c:c")),SUMIF(INDIRECT("'"&amp;D33&amp;"'"&amp;"!b:b"),"土地成本比率",INDIRECT("'"&amp;D33&amp;"'"&amp;"!c:c"))))</f>
        <v>0.58800000000000008</v>
      </c>
      <c r="E34" s="2436" t="s">
        <v>830</v>
      </c>
      <c r="F34" s="2437"/>
      <c r="G34" s="1000"/>
      <c r="H34" s="1000"/>
      <c r="I34" s="1000"/>
    </row>
    <row r="35" spans="1:15" ht="15">
      <c r="A35" s="2438"/>
      <c r="B35" s="2439" t="s">
        <v>831</v>
      </c>
      <c r="C35" s="2440">
        <f ca="1">IF(C33="自定义",F35,ROUND(C32*D35,0))</f>
        <v>151852</v>
      </c>
      <c r="D35" s="2441">
        <f ca="1">IF(C33="自定义",ROUND(C35/C32,3),IF(C33="收益比率",SUMIF(INDIRECT("'"&amp;D33&amp;"'"&amp;"!b:b"),"建筑物收益比率",INDIRECT("'"&amp;D33&amp;"'"&amp;"!c:c")),SUMIF(INDIRECT("'"&amp;D33&amp;"'"&amp;"!b:b"),"建筑物成本比率",INDIRECT("'"&amp;D33&amp;"'"&amp;"!c:c"))))</f>
        <v>0.41199999999999998</v>
      </c>
      <c r="E35" s="2442" t="s">
        <v>832</v>
      </c>
      <c r="F35" s="2443"/>
      <c r="G35" s="1000"/>
      <c r="H35" s="1000"/>
      <c r="I35" s="1000"/>
    </row>
    <row r="36" spans="1:15" ht="15">
      <c r="A36" s="3611" t="s">
        <v>833</v>
      </c>
      <c r="B36" s="2444" t="s">
        <v>834</v>
      </c>
      <c r="C36" s="2445"/>
      <c r="D36" s="2446"/>
      <c r="E36" s="2447"/>
      <c r="F36" s="2448"/>
      <c r="G36" s="1000"/>
      <c r="H36" s="1000"/>
      <c r="I36" s="1000"/>
    </row>
    <row r="37" spans="1:15" ht="15">
      <c r="A37" s="3612"/>
      <c r="B37" s="2449" t="s">
        <v>835</v>
      </c>
      <c r="C37" s="2450"/>
      <c r="D37" s="2451"/>
      <c r="E37" s="2451"/>
      <c r="F37" s="2448"/>
      <c r="G37" s="1000"/>
      <c r="H37" s="1000"/>
      <c r="I37" s="1000"/>
    </row>
    <row r="38" spans="1:15" ht="15">
      <c r="A38" s="3613"/>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551" t="s">
        <v>844</v>
      </c>
      <c r="B45" s="3552"/>
      <c r="C45" s="3553"/>
      <c r="D45" s="2004">
        <f ca="1">ROUND(H101*F45,0)</f>
        <v>206401</v>
      </c>
      <c r="E45" s="2470" t="s">
        <v>845</v>
      </c>
      <c r="F45" s="2471">
        <v>0.56000000000000005</v>
      </c>
      <c r="G45" s="2472" t="s">
        <v>846</v>
      </c>
      <c r="H45" s="1000"/>
      <c r="I45" s="1000"/>
      <c r="J45" s="3554" t="s">
        <v>847</v>
      </c>
      <c r="K45" s="3554"/>
      <c r="L45" s="3554"/>
      <c r="M45" s="3554"/>
      <c r="N45" s="3554"/>
      <c r="O45" s="3554"/>
    </row>
    <row r="46" spans="1:15" ht="14.25" customHeight="1">
      <c r="A46" s="3555" t="s">
        <v>848</v>
      </c>
      <c r="B46" s="3556"/>
      <c r="C46" s="3556"/>
      <c r="D46" s="3556"/>
      <c r="E46" s="3556"/>
      <c r="F46" s="3556"/>
      <c r="G46" s="3557"/>
      <c r="H46" s="2473"/>
      <c r="I46" s="1001"/>
      <c r="J46" s="626">
        <v>1</v>
      </c>
      <c r="K46" s="3558" t="s">
        <v>849</v>
      </c>
      <c r="L46" s="3558"/>
      <c r="M46" s="3559"/>
      <c r="N46" s="3559"/>
      <c r="O46" s="3559"/>
    </row>
    <row r="47" spans="1:15" ht="12" customHeight="1">
      <c r="A47" s="2474" t="s">
        <v>850</v>
      </c>
      <c r="B47" s="2475"/>
      <c r="C47" s="2476"/>
      <c r="D47" s="2055" t="s">
        <v>851</v>
      </c>
      <c r="E47" s="2005" t="s">
        <v>852</v>
      </c>
      <c r="F47" s="2477" t="s">
        <v>853</v>
      </c>
      <c r="G47" s="2478" t="s">
        <v>854</v>
      </c>
      <c r="H47" s="2479"/>
      <c r="I47" s="1001"/>
      <c r="J47" s="626">
        <v>2</v>
      </c>
      <c r="K47" s="3558" t="s">
        <v>855</v>
      </c>
      <c r="L47" s="3558"/>
      <c r="M47" s="3560">
        <f>'数据-取费表'!B2</f>
        <v>45026</v>
      </c>
      <c r="N47" s="3560"/>
      <c r="O47" s="3560"/>
    </row>
    <row r="48" spans="1:15" ht="25.5">
      <c r="A48" s="3561" t="s">
        <v>856</v>
      </c>
      <c r="B48" s="3562"/>
      <c r="C48" s="3562"/>
      <c r="D48" s="2159">
        <f ca="1">IF(H48="情况1",0,IF(H48="情况2",D52,IF(H48="情况3",D53,IF(H48="情况4",D54))))</f>
        <v>11008</v>
      </c>
      <c r="E48" s="2059" t="str">
        <f>IF(H48="情况4","(销售额-原购置价)×税（费）率","销售额×税（费）率")</f>
        <v>销售额×税（费）率</v>
      </c>
      <c r="F48" s="2481">
        <f>IF(H48="情况1","免征",'数据-取费表'!B41)</f>
        <v>5.6000000000000001E-2</v>
      </c>
      <c r="G48" s="2482" t="s">
        <v>857</v>
      </c>
      <c r="H48" s="2483" t="s">
        <v>858</v>
      </c>
      <c r="I48" s="2473"/>
      <c r="J48" s="626">
        <v>3</v>
      </c>
      <c r="K48" s="3558" t="s">
        <v>859</v>
      </c>
      <c r="L48" s="3558"/>
      <c r="M48" s="3563">
        <f ca="1">H101</f>
        <v>368573</v>
      </c>
      <c r="N48" s="3563"/>
      <c r="O48" s="3563"/>
    </row>
    <row r="49" spans="1:35" ht="25.5" customHeight="1">
      <c r="A49" s="2480" t="s">
        <v>860</v>
      </c>
      <c r="B49" s="3564" t="s">
        <v>861</v>
      </c>
      <c r="C49" s="3564"/>
      <c r="D49" s="2484">
        <v>0</v>
      </c>
      <c r="E49" s="2065" t="s">
        <v>862</v>
      </c>
      <c r="F49" s="2485" t="s">
        <v>124</v>
      </c>
      <c r="G49" s="3623"/>
      <c r="H49" s="2486" t="s">
        <v>863</v>
      </c>
      <c r="I49" s="2523"/>
      <c r="J49" s="626">
        <v>4</v>
      </c>
      <c r="K49" s="3558" t="str">
        <f>IF(项目基本情况!E8="房地产抵押价值","房地产抵押价值","抵押担保权已注销时的房地产抵押价值")</f>
        <v>房地产抵押价值</v>
      </c>
      <c r="L49" s="3558"/>
      <c r="M49" s="3563">
        <f ca="1">IF(项目基本情况!E8="房地产抵押价值",H107,H109)</f>
        <v>368573</v>
      </c>
      <c r="N49" s="3563"/>
      <c r="O49" s="3563"/>
    </row>
    <row r="50" spans="1:35" ht="25.5" customHeight="1">
      <c r="A50" s="2487"/>
      <c r="B50" s="3564" t="s">
        <v>864</v>
      </c>
      <c r="C50" s="3564"/>
      <c r="D50" s="2488"/>
      <c r="E50" s="2080"/>
      <c r="F50" s="2485"/>
      <c r="G50" s="3624"/>
      <c r="H50" s="2489" t="s">
        <v>865</v>
      </c>
      <c r="I50" s="2523"/>
      <c r="J50" s="3554" t="s">
        <v>866</v>
      </c>
      <c r="K50" s="3554"/>
      <c r="L50" s="3554"/>
      <c r="M50" s="3554"/>
      <c r="N50" s="3554"/>
      <c r="O50" s="3554"/>
    </row>
    <row r="51" spans="1:35" ht="20.45" customHeight="1">
      <c r="A51" s="2490"/>
      <c r="B51" s="3564" t="s">
        <v>867</v>
      </c>
      <c r="C51" s="3564"/>
      <c r="D51" s="2055"/>
      <c r="E51" s="2069"/>
      <c r="F51" s="2485"/>
      <c r="G51" s="3625"/>
      <c r="H51" s="2489" t="s">
        <v>868</v>
      </c>
      <c r="I51" s="2523"/>
      <c r="J51" s="2522" t="s">
        <v>869</v>
      </c>
      <c r="K51" s="3558" t="s">
        <v>870</v>
      </c>
      <c r="L51" s="3558"/>
      <c r="M51" s="2522" t="s">
        <v>871</v>
      </c>
      <c r="N51" s="2522" t="s">
        <v>872</v>
      </c>
      <c r="O51" s="2522" t="s">
        <v>873</v>
      </c>
    </row>
    <row r="52" spans="1:35" ht="24" customHeight="1">
      <c r="A52" s="2491" t="s">
        <v>874</v>
      </c>
      <c r="B52" s="3564" t="s">
        <v>875</v>
      </c>
      <c r="C52" s="3564"/>
      <c r="D52" s="2055">
        <f ca="1">ROUND(D45*'数据-取费表'!B41/(1+'数据-取费表'!C42),0)</f>
        <v>11008</v>
      </c>
      <c r="E52" s="2059" t="s">
        <v>876</v>
      </c>
      <c r="F52" s="2492">
        <f>'数据-取费表'!B41</f>
        <v>5.6000000000000001E-2</v>
      </c>
      <c r="G52" s="2493"/>
      <c r="H52" s="2174"/>
      <c r="I52" s="2524"/>
      <c r="J52" s="626">
        <v>1</v>
      </c>
      <c r="K52" s="3565" t="s">
        <v>877</v>
      </c>
      <c r="L52" s="3565"/>
      <c r="M52" s="2525">
        <f ca="1">D48</f>
        <v>11008</v>
      </c>
      <c r="N52" s="626" t="str">
        <f>E48</f>
        <v>销售额×税（费）率</v>
      </c>
      <c r="O52" s="2526">
        <f>F48</f>
        <v>5.6000000000000001E-2</v>
      </c>
    </row>
    <row r="53" spans="1:35" ht="12" customHeight="1">
      <c r="A53" s="2491" t="s">
        <v>878</v>
      </c>
      <c r="B53" s="3566" t="s">
        <v>879</v>
      </c>
      <c r="C53" s="3567"/>
      <c r="D53" s="2055">
        <f ca="1">ROUND(D45*'数据-取费表'!B41/(1+'数据-取费表'!C42),0)</f>
        <v>11008</v>
      </c>
      <c r="E53" s="2059" t="s">
        <v>876</v>
      </c>
      <c r="F53" s="2492">
        <f>'数据-取费表'!B41</f>
        <v>5.6000000000000001E-2</v>
      </c>
      <c r="G53" s="2493"/>
      <c r="H53" s="2174"/>
      <c r="I53" s="2524"/>
      <c r="J53" s="626">
        <v>2</v>
      </c>
      <c r="K53" s="3565" t="s">
        <v>880</v>
      </c>
      <c r="L53" s="3565"/>
      <c r="M53" s="2525">
        <f t="shared" ref="M53:O54" ca="1" si="0">D55</f>
        <v>103</v>
      </c>
      <c r="N53" s="626" t="str">
        <f t="shared" si="0"/>
        <v>销售额×税（费）率</v>
      </c>
      <c r="O53" s="2526">
        <f t="shared" si="0"/>
        <v>5.0000000000000001E-4</v>
      </c>
    </row>
    <row r="54" spans="1:35" ht="12" customHeight="1">
      <c r="A54" s="2491" t="s">
        <v>881</v>
      </c>
      <c r="B54" s="3566" t="s">
        <v>882</v>
      </c>
      <c r="C54" s="3567"/>
      <c r="D54" s="2055">
        <f ca="1">C68</f>
        <v>11008</v>
      </c>
      <c r="E54" s="2069" t="s">
        <v>883</v>
      </c>
      <c r="F54" s="2492">
        <f>'数据-取费表'!B41</f>
        <v>5.6000000000000001E-2</v>
      </c>
      <c r="G54" s="2493"/>
      <c r="H54" s="2494"/>
      <c r="I54" s="2524"/>
      <c r="J54" s="626">
        <v>3</v>
      </c>
      <c r="K54" s="3565" t="s">
        <v>884</v>
      </c>
      <c r="L54" s="3565"/>
      <c r="M54" s="2525">
        <f t="shared" ca="1" si="0"/>
        <v>22184</v>
      </c>
      <c r="N54" s="626" t="str">
        <f t="shared" si="0"/>
        <v>增值额×税（费）率</v>
      </c>
      <c r="O54" s="2527" t="str">
        <f t="shared" si="0"/>
        <v>——</v>
      </c>
    </row>
    <row r="55" spans="1:35" ht="24" customHeight="1">
      <c r="A55" s="3568" t="s">
        <v>885</v>
      </c>
      <c r="B55" s="3562"/>
      <c r="C55" s="3562"/>
      <c r="D55" s="2159">
        <f ca="1">IF(H55="个人住宅",0,ROUND(D45*I55,0))</f>
        <v>103</v>
      </c>
      <c r="E55" s="2059" t="s">
        <v>886</v>
      </c>
      <c r="F55" s="2492">
        <f>IF(H55="正常",I55,"免征")</f>
        <v>5.0000000000000001E-4</v>
      </c>
      <c r="G55" s="2493"/>
      <c r="H55" s="2483" t="s">
        <v>887</v>
      </c>
      <c r="I55" s="2528">
        <f>'数据-取费表'!B49</f>
        <v>5.0000000000000001E-4</v>
      </c>
      <c r="J55" s="626" t="str">
        <f>IF(H59="非个人房产","",4)</f>
        <v/>
      </c>
      <c r="K55" s="3565" t="str">
        <f>IF(H59="非个人房产","——","个人所得税")</f>
        <v>——</v>
      </c>
      <c r="L55" s="3565"/>
      <c r="M55" s="2529" t="str">
        <f>D59</f>
        <v>——</v>
      </c>
      <c r="N55" s="607" t="str">
        <f>E59</f>
        <v>——</v>
      </c>
      <c r="O55" s="2530" t="str">
        <f>F59</f>
        <v>——</v>
      </c>
    </row>
    <row r="56" spans="1:35" ht="24.75">
      <c r="A56" s="3568" t="s">
        <v>888</v>
      </c>
      <c r="B56" s="3562"/>
      <c r="C56" s="3562"/>
      <c r="D56" s="2159">
        <f ca="1">IF(H56="个人住宅",D57,D58)</f>
        <v>22184</v>
      </c>
      <c r="E56" s="2059" t="s">
        <v>889</v>
      </c>
      <c r="F56" s="2492" t="str">
        <f>IF(H56="正常",F58,"免征")</f>
        <v>——</v>
      </c>
      <c r="G56" s="2495" t="s">
        <v>890</v>
      </c>
      <c r="H56" s="2496" t="s">
        <v>887</v>
      </c>
      <c r="I56" s="2505"/>
      <c r="J56" s="626"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1"/>
    </row>
    <row r="57" spans="1:35" ht="12.75">
      <c r="A57" s="2491" t="s">
        <v>860</v>
      </c>
      <c r="B57" s="3566" t="s">
        <v>891</v>
      </c>
      <c r="C57" s="3567"/>
      <c r="D57" s="2484">
        <v>0</v>
      </c>
      <c r="E57" s="2065" t="s">
        <v>862</v>
      </c>
      <c r="F57" s="2005"/>
      <c r="G57" s="2493"/>
      <c r="H57" s="2497"/>
      <c r="I57" s="2505"/>
      <c r="J57" s="3565">
        <f>IF(AND(J55="",J56=""),4,IF(项目基本情况!K6="上海银行",结果表!J56+1,结果表!J55+1))</f>
        <v>4</v>
      </c>
      <c r="K57" s="3565" t="s">
        <v>892</v>
      </c>
      <c r="L57" s="2531" t="s">
        <v>893</v>
      </c>
      <c r="M57" s="2532"/>
      <c r="N57" s="2533">
        <f ca="1">SUMIF(M52:M56,"&lt;9e307")</f>
        <v>33295</v>
      </c>
      <c r="O57" s="2534"/>
      <c r="P57" s="2535">
        <f ca="1">N57/M49</f>
        <v>9.0334886169089981E-2</v>
      </c>
    </row>
    <row r="58" spans="1:35" ht="24.75">
      <c r="A58" s="2491" t="s">
        <v>874</v>
      </c>
      <c r="B58" s="3566" t="s">
        <v>894</v>
      </c>
      <c r="C58" s="3564"/>
      <c r="D58" s="2159">
        <f ca="1">IF(H58="转让取得",C81,C97)</f>
        <v>22184</v>
      </c>
      <c r="E58" s="2059" t="s">
        <v>889</v>
      </c>
      <c r="F58" s="2005" t="s">
        <v>124</v>
      </c>
      <c r="G58" s="2493"/>
      <c r="H58" s="2496" t="s">
        <v>895</v>
      </c>
      <c r="I58" s="2505"/>
      <c r="J58" s="3565"/>
      <c r="K58" s="3565"/>
      <c r="L58" s="2531" t="s">
        <v>896</v>
      </c>
      <c r="M58" s="2536"/>
      <c r="N58" s="2537" t="str">
        <f ca="1">NUMBERSTRING(INT(N57*10000),2)&amp;"元整"</f>
        <v>叁亿叁仟贰佰玖拾伍万元整</v>
      </c>
      <c r="O58" s="2538"/>
    </row>
    <row r="59" spans="1:35" ht="24">
      <c r="A59" s="3572" t="s">
        <v>897</v>
      </c>
      <c r="B59" s="3573"/>
      <c r="C59" s="3573"/>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626">
        <f>J57+1</f>
        <v>5</v>
      </c>
      <c r="K59" s="3565" t="s">
        <v>900</v>
      </c>
      <c r="L59" s="626" t="s">
        <v>893</v>
      </c>
      <c r="M59" s="2540"/>
      <c r="N59" s="2541">
        <f ca="1">M49-N57</f>
        <v>335278</v>
      </c>
      <c r="O59" s="2542"/>
    </row>
    <row r="60" spans="1:35" ht="12" customHeight="1">
      <c r="A60" s="2503"/>
      <c r="B60" s="2378"/>
      <c r="C60" s="2378"/>
      <c r="D60" s="2378"/>
      <c r="E60" s="2504"/>
      <c r="F60" s="2505"/>
      <c r="G60" s="2505"/>
      <c r="H60" s="2506"/>
      <c r="I60" s="1000"/>
      <c r="J60" s="3627"/>
      <c r="K60" s="3565"/>
      <c r="L60" s="2531" t="s">
        <v>896</v>
      </c>
      <c r="M60" s="2536"/>
      <c r="N60" s="2537" t="str">
        <f ca="1">NUMBERSTRING(INT(N59*10000),2)&amp;"元整"</f>
        <v>叁拾叁亿伍仟贰佰柒拾捌万元整</v>
      </c>
      <c r="O60" s="2538"/>
    </row>
    <row r="61" spans="1:35" ht="12.75">
      <c r="A61" s="3574" t="s">
        <v>901</v>
      </c>
      <c r="B61" s="3574"/>
      <c r="C61" s="3574"/>
      <c r="D61" s="3574"/>
      <c r="E61" s="3574"/>
      <c r="F61" s="2505"/>
      <c r="G61" s="2505"/>
      <c r="H61" s="2506"/>
      <c r="I61" s="1000"/>
      <c r="J61" s="626">
        <f>J59+1</f>
        <v>6</v>
      </c>
      <c r="K61" s="3565" t="s">
        <v>902</v>
      </c>
      <c r="L61" s="3565"/>
      <c r="M61" s="2543"/>
      <c r="N61" s="2544">
        <f ca="1">ROUND(N59*10000/'数据-汇总表'!E3,0)</f>
        <v>27889</v>
      </c>
      <c r="O61" s="2545"/>
    </row>
    <row r="62" spans="1:35" ht="12.75">
      <c r="A62" s="3575" t="s">
        <v>903</v>
      </c>
      <c r="B62" s="3576"/>
      <c r="C62" s="577"/>
      <c r="D62" s="577" t="s">
        <v>904</v>
      </c>
      <c r="E62" s="2507" t="s">
        <v>854</v>
      </c>
      <c r="F62" s="2505"/>
      <c r="G62" s="2505"/>
      <c r="H62" s="2506"/>
      <c r="I62" s="1000"/>
    </row>
    <row r="63" spans="1:35" ht="12.75">
      <c r="A63" s="2508" t="s">
        <v>905</v>
      </c>
      <c r="B63" s="636" t="s">
        <v>906</v>
      </c>
      <c r="C63" s="2509">
        <f ca="1">ROUND((C64+C65)/(1+'数据-取费表'!C42),0)</f>
        <v>196572</v>
      </c>
      <c r="D63" s="636"/>
      <c r="E63" s="2510"/>
      <c r="F63" s="2505"/>
      <c r="G63" s="2505"/>
      <c r="H63" s="2506"/>
      <c r="I63" s="1000"/>
      <c r="J63" s="3628" t="s">
        <v>907</v>
      </c>
      <c r="K63" s="2546" t="s">
        <v>908</v>
      </c>
      <c r="L63" s="2546">
        <f ca="1">IF(M49&gt;10000,M49*0.5%,IF(AND(M49&gt;1000,M49&lt;=10000),M49*1%,IF(AND(M49&gt;100,M49&lt;=1000),M49*3%,IF(AND(M49&gt;10,M49&lt;=100),M49*5%,M49*8%))))</f>
        <v>1842.865</v>
      </c>
      <c r="M63" s="2005">
        <f ca="1">ROUND(L63,1)</f>
        <v>1842.9</v>
      </c>
      <c r="N63" s="2547"/>
      <c r="Z63" s="2375"/>
      <c r="AI63" s="2376"/>
    </row>
    <row r="64" spans="1:35" ht="14.25" customHeight="1">
      <c r="A64" s="2511" t="s">
        <v>909</v>
      </c>
      <c r="B64" s="563" t="s">
        <v>910</v>
      </c>
      <c r="C64" s="2512">
        <f ca="1">D45</f>
        <v>206401</v>
      </c>
      <c r="D64" s="563" t="s">
        <v>124</v>
      </c>
      <c r="E64" s="2513"/>
      <c r="F64" s="2505"/>
      <c r="G64" s="2505"/>
      <c r="H64" s="2506"/>
      <c r="I64" s="1000"/>
      <c r="J64" s="3628"/>
      <c r="K64" s="2546" t="s">
        <v>911</v>
      </c>
      <c r="L64" s="2546">
        <f ca="1">IF(M49&gt;2000,M49*0.5%,IF(AND(M49&gt;1000,M49&lt;=2000),M49*0.6%,IF(AND(M49&gt;500,M49&lt;=1000),M49*0.7%,IF(AND(M49&gt;200,M49&lt;=500),M49*0.8%,IF(AND(M49&gt;100,M49&lt;=200),M49*0.9%,IF(AND(M49&gt;50,M49&lt;=100),M49*1%,IF(AND(M49&gt;20,M49&lt;=50),M49*1.5%,IF(AND(M49&gt;10,M49&lt;=20),M49*2%,IF(AND(M49&gt;1,M49&lt;=10),M49*2.5%)))))))))</f>
        <v>1842.865</v>
      </c>
      <c r="M64" s="2005">
        <f t="shared" ref="M64:M65" ca="1" si="1">ROUND(L64,1)</f>
        <v>1842.9</v>
      </c>
      <c r="N64" s="2174" t="s">
        <v>912</v>
      </c>
      <c r="Z64" s="2375"/>
      <c r="AI64" s="2376"/>
    </row>
    <row r="65" spans="1:35" ht="14.25" customHeight="1">
      <c r="A65" s="2511" t="s">
        <v>913</v>
      </c>
      <c r="B65" s="563" t="s">
        <v>914</v>
      </c>
      <c r="C65" s="2549"/>
      <c r="D65" s="563"/>
      <c r="E65" s="2513"/>
      <c r="F65" s="2505"/>
      <c r="G65" s="2505"/>
      <c r="H65" s="2506"/>
      <c r="I65" s="1000"/>
      <c r="J65" s="3628"/>
      <c r="K65" s="2546" t="s">
        <v>915</v>
      </c>
      <c r="L65" s="2546">
        <f ca="1">IF(M49&gt;1000,M49*0.1%,IF(AND(M49&gt;500,M49&lt;=1000),M49*0.5%,IF(AND(M49&gt;50,M49&lt;=500),M49*1%,IF(AND(M49&gt;1,M49&lt;=50),M49*1.5%))))</f>
        <v>368.57300000000004</v>
      </c>
      <c r="M65" s="2005">
        <f t="shared" ca="1" si="1"/>
        <v>368.6</v>
      </c>
      <c r="N65" s="2174" t="s">
        <v>912</v>
      </c>
      <c r="Z65" s="2375"/>
      <c r="AI65" s="2376"/>
    </row>
    <row r="66" spans="1:35" ht="14.25" customHeight="1">
      <c r="A66" s="2508" t="s">
        <v>916</v>
      </c>
      <c r="B66" s="2550" t="s">
        <v>917</v>
      </c>
      <c r="C66" s="2551"/>
      <c r="D66" s="2550" t="s">
        <v>124</v>
      </c>
      <c r="E66" s="2552" t="s">
        <v>918</v>
      </c>
      <c r="F66" s="2505"/>
      <c r="G66" s="2505"/>
      <c r="H66" s="2506"/>
      <c r="I66" s="1000"/>
      <c r="J66" s="3628"/>
      <c r="K66" s="2546" t="s">
        <v>919</v>
      </c>
      <c r="L66" s="2546">
        <f ca="1">M49*0.5%</f>
        <v>1842.865</v>
      </c>
      <c r="M66" s="2005">
        <f ca="1">IF(L66&gt;0.5,0.5,ROUND(L66,0))</f>
        <v>0.5</v>
      </c>
      <c r="N66" s="2174" t="s">
        <v>920</v>
      </c>
      <c r="Z66" s="2375"/>
      <c r="AI66" s="2376"/>
    </row>
    <row r="67" spans="1:35" ht="14.25" customHeight="1">
      <c r="A67" s="2508" t="s">
        <v>921</v>
      </c>
      <c r="B67" s="2550" t="s">
        <v>922</v>
      </c>
      <c r="C67" s="2553">
        <f ca="1">C63-C66</f>
        <v>196572</v>
      </c>
      <c r="D67" s="563" t="s">
        <v>124</v>
      </c>
      <c r="E67" s="2513"/>
      <c r="F67" s="2505"/>
      <c r="G67" s="2505"/>
      <c r="H67" s="2506"/>
      <c r="I67" s="1000"/>
      <c r="J67" s="3628"/>
      <c r="K67" s="2546" t="s">
        <v>923</v>
      </c>
      <c r="L67" s="2546">
        <f ca="1">IF(M49&gt;=10000,(8.25+(M49-10000)*0.01%),IF(AND(M49&gt;=8000,M49&lt;10000),(7.85+(M49-8000)*0.02%),IF(AND(M49&gt;=5000,M49&lt;8000),(6.65+(M49-5000)*0.04%),IF(AND(M49&gt;=2000,M49&lt;5000),(4.25+(PM49-2000)*0.08%),IF(AND(M49&gt;=1000,M49&lt;2000),(2.75+(M49-1000)*0.15%),IF(AND(M49&gt;=100,M49&lt;1000),(0.5+(M49-100)*0.25%),IF(AND(M49&gt;0,M49&lt;100),M49*0.5%)))))))</f>
        <v>44.107300000000002</v>
      </c>
      <c r="M67" s="2005">
        <f ca="1">ROUND(L67*0.9,1)</f>
        <v>39.700000000000003</v>
      </c>
      <c r="N67" s="2547"/>
      <c r="Z67" s="2375"/>
      <c r="AI67" s="2376"/>
    </row>
    <row r="68" spans="1:35" ht="14.25" customHeight="1">
      <c r="A68" s="2554" t="s">
        <v>924</v>
      </c>
      <c r="B68" s="2555" t="s">
        <v>925</v>
      </c>
      <c r="C68" s="2556">
        <f ca="1">IF(C67&lt;=0,0,ROUND(C67*D68,0))</f>
        <v>11008</v>
      </c>
      <c r="D68" s="829">
        <f>'数据-取费表'!B41</f>
        <v>5.6000000000000001E-2</v>
      </c>
      <c r="E68" s="2557"/>
      <c r="F68" s="2505"/>
      <c r="G68" s="2505"/>
      <c r="H68" s="2506"/>
      <c r="I68" s="1000"/>
      <c r="J68" s="3628"/>
      <c r="K68" s="2546" t="s">
        <v>926</v>
      </c>
      <c r="L68" s="2546">
        <f ca="1">IF(M49&gt;10000,M49*0.5%,IF(AND(M49&gt;5000,M49&lt;=10000),M49*1%,IF(AND(M49&gt;1000,M49&lt;=5000),M49*2%,IF(AND(M49&gt;200,M49&lt;=1000),M49*3%,M49*5%))))</f>
        <v>1842.865</v>
      </c>
      <c r="M68" s="2005">
        <f ca="1">ROUND(L68,1)</f>
        <v>1842.9</v>
      </c>
      <c r="N68" s="2547"/>
      <c r="Z68" s="2375"/>
      <c r="AI68" s="2376"/>
    </row>
    <row r="69" spans="1:35" s="2373" customFormat="1" ht="16.5" customHeight="1">
      <c r="A69" s="2558"/>
      <c r="B69" s="2559"/>
      <c r="C69" s="2560"/>
      <c r="D69" s="746"/>
      <c r="E69" s="2561"/>
      <c r="F69" s="2504"/>
      <c r="G69" s="2504"/>
      <c r="H69" s="2464"/>
      <c r="I69" s="2378"/>
      <c r="J69" s="3628"/>
      <c r="K69" s="2546" t="s">
        <v>927</v>
      </c>
      <c r="L69" s="2546"/>
      <c r="M69" s="2005">
        <f ca="1">ROUND(SUM(M63:M68),0)</f>
        <v>5938</v>
      </c>
      <c r="N69" s="2624">
        <f ca="1">M69/M49</f>
        <v>1.6110784023789047E-2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577" t="s">
        <v>928</v>
      </c>
      <c r="B70" s="3578"/>
      <c r="C70" s="3578"/>
      <c r="D70" s="3578"/>
      <c r="E70" s="3578"/>
      <c r="F70" s="3578"/>
      <c r="G70" s="3578"/>
      <c r="H70" s="3578"/>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5" t="s">
        <v>903</v>
      </c>
      <c r="B71" s="3576"/>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196572</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1179</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66" t="s">
        <v>938</v>
      </c>
      <c r="F76" s="3564"/>
      <c r="G76" s="3564"/>
      <c r="H76" s="3579"/>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1179</v>
      </c>
      <c r="D78" s="2577">
        <f>'数据-取费表'!B43</f>
        <v>6.0000000000000001E-3</v>
      </c>
      <c r="E78" s="3580" t="s">
        <v>943</v>
      </c>
      <c r="F78" s="3581"/>
      <c r="G78" s="3581"/>
      <c r="H78" s="3582"/>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195393</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165.72773536895673</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116823</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7" t="s">
        <v>948</v>
      </c>
      <c r="B83" s="3578"/>
      <c r="C83" s="3578"/>
      <c r="D83" s="3578"/>
      <c r="E83" s="3578"/>
      <c r="F83" s="3578"/>
      <c r="G83" s="3578"/>
      <c r="H83" s="3578"/>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5" t="s">
        <v>903</v>
      </c>
      <c r="B84" s="3576"/>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196572</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125433.06969999999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c>
      <c r="F90" s="2579"/>
      <c r="G90" s="3583" t="s">
        <v>957</v>
      </c>
      <c r="H90" s="3584"/>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580" t="s">
        <v>961</v>
      </c>
      <c r="F91" s="3581"/>
      <c r="G91" s="3581"/>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580" t="s">
        <v>964</v>
      </c>
      <c r="F92" s="3581"/>
      <c r="G92" s="3581"/>
      <c r="H92" s="3582"/>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1179</v>
      </c>
      <c r="D93" s="2577">
        <f>'数据-取费表'!B43</f>
        <v>6.0000000000000001E-3</v>
      </c>
      <c r="E93" s="3580" t="s">
        <v>943</v>
      </c>
      <c r="F93" s="3581"/>
      <c r="G93" s="3581"/>
      <c r="H93" s="3582"/>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585" t="s">
        <v>969</v>
      </c>
      <c r="F94" s="3586"/>
      <c r="G94" s="3586"/>
      <c r="H94" s="3587"/>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71139</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0.56714708625200783</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22184</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26" t="s">
        <v>971</v>
      </c>
      <c r="B100" s="3527"/>
      <c r="C100" s="3527"/>
      <c r="D100" s="3588"/>
      <c r="E100" s="3527" t="s">
        <v>972</v>
      </c>
      <c r="F100" s="3527"/>
      <c r="G100" s="3527"/>
      <c r="H100" s="3588"/>
      <c r="I100" s="1000"/>
    </row>
    <row r="101" spans="1:35" ht="18.75" customHeight="1">
      <c r="A101" s="3589" t="s">
        <v>973</v>
      </c>
      <c r="B101" s="3590"/>
      <c r="C101" s="2601" t="str">
        <f>C4</f>
        <v>比较法-办公</v>
      </c>
      <c r="D101" s="2602" t="str">
        <f>D4</f>
        <v>收益法（汇总）</v>
      </c>
      <c r="E101" s="3634" t="s">
        <v>974</v>
      </c>
      <c r="F101" s="3630"/>
      <c r="G101" s="2604" t="s">
        <v>975</v>
      </c>
      <c r="H101" s="2605">
        <f ca="1">H118</f>
        <v>368573</v>
      </c>
      <c r="I101" s="1000"/>
    </row>
    <row r="102" spans="1:35" ht="18.75" customHeight="1">
      <c r="A102" s="3614" t="s">
        <v>976</v>
      </c>
      <c r="B102" s="2606" t="s">
        <v>975</v>
      </c>
      <c r="C102" s="2601">
        <f ca="1">IF(D32="楼面单价",ROUND(C19,0),C19)</f>
        <v>340150</v>
      </c>
      <c r="D102" s="2602">
        <f ca="1">IF(D32="楼面单价",ROUND(D19,0),D19)</f>
        <v>396996</v>
      </c>
      <c r="E102" s="3634"/>
      <c r="F102" s="3630"/>
      <c r="G102" s="2604" t="s">
        <v>99</v>
      </c>
      <c r="H102" s="2493">
        <f ca="1">I118</f>
        <v>30659</v>
      </c>
      <c r="I102" s="1000"/>
    </row>
    <row r="103" spans="1:35" ht="42.75" customHeight="1">
      <c r="A103" s="3614"/>
      <c r="B103" s="2606" t="s">
        <v>99</v>
      </c>
      <c r="C103" s="2607">
        <f ca="1">C20</f>
        <v>28294</v>
      </c>
      <c r="D103" s="2608">
        <f ca="1">D20</f>
        <v>33023</v>
      </c>
      <c r="E103" s="3591" t="s">
        <v>977</v>
      </c>
      <c r="F103" s="3592"/>
      <c r="G103" s="2609" t="s">
        <v>102</v>
      </c>
      <c r="H103" s="2605">
        <f>IF(D36="正常操作",H104+H105+H106,H105+H106)</f>
        <v>0</v>
      </c>
      <c r="I103" s="1000"/>
    </row>
    <row r="104" spans="1:35" ht="18.75" customHeight="1">
      <c r="A104" s="3614" t="s">
        <v>978</v>
      </c>
      <c r="B104" s="2610" t="s">
        <v>975</v>
      </c>
      <c r="C104" s="2611">
        <f ca="1">H118</f>
        <v>368573</v>
      </c>
      <c r="D104" s="2612"/>
      <c r="E104" s="2449" t="s">
        <v>979</v>
      </c>
      <c r="F104" s="2613"/>
      <c r="G104" s="2609" t="s">
        <v>102</v>
      </c>
      <c r="H104" s="2614">
        <f>IF(D36="同一抵押权人同一抵押物续贷",C36&amp;"（续贷，未扣减，详见特别提示）",C36)</f>
        <v>0</v>
      </c>
      <c r="I104" s="1000"/>
    </row>
    <row r="105" spans="1:35" ht="18.75" customHeight="1">
      <c r="A105" s="3615"/>
      <c r="B105" s="2615" t="s">
        <v>99</v>
      </c>
      <c r="C105" s="2616">
        <f ca="1">I118</f>
        <v>30659</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629" t="str">
        <f>IF(项目基本情况!E8="已注销","——","3.房地产抵押价值")</f>
        <v>3.房地产抵押价值</v>
      </c>
      <c r="F107" s="3630"/>
      <c r="G107" s="2604" t="s">
        <v>975</v>
      </c>
      <c r="H107" s="2605">
        <f ca="1">IF(E107="——","——",H101-H103)</f>
        <v>368573</v>
      </c>
      <c r="I107" s="1000"/>
    </row>
    <row r="108" spans="1:35" ht="18.75" customHeight="1">
      <c r="A108" s="1000"/>
      <c r="B108" s="1000"/>
      <c r="C108" s="1000"/>
      <c r="D108" s="1000"/>
      <c r="E108" s="3629"/>
      <c r="F108" s="3630"/>
      <c r="G108" s="2604" t="s">
        <v>99</v>
      </c>
      <c r="H108" s="2493">
        <f ca="1">IF(H107=H101,H102,ROUND(H107*10000/'数据-汇总表'!E3,0))</f>
        <v>30659</v>
      </c>
      <c r="I108" s="1000"/>
    </row>
    <row r="109" spans="1:35" ht="18.75" customHeight="1">
      <c r="A109" s="1000"/>
      <c r="B109" s="1000"/>
      <c r="C109" s="1000"/>
      <c r="D109" s="1000"/>
      <c r="E109" s="3629" t="str">
        <f>IF(项目基本情况!E8="已注销及未注销","4.抵押担保权已注销时的房地产抵押价值",IF(项目基本情况!E8="已注销","3.抵押担保权已注销时的房地产抵押价值","——"))</f>
        <v>——</v>
      </c>
      <c r="F109" s="3630"/>
      <c r="G109" s="2604" t="s">
        <v>975</v>
      </c>
      <c r="H109" s="2620" t="str">
        <f>IF(E109="——","——",H101-H105-H106)</f>
        <v>——</v>
      </c>
      <c r="I109" s="1000"/>
    </row>
    <row r="110" spans="1:35" ht="18.75" customHeight="1">
      <c r="A110" s="1000"/>
      <c r="B110" s="1000"/>
      <c r="C110" s="1000"/>
      <c r="D110" s="1000"/>
      <c r="E110" s="3629"/>
      <c r="F110" s="3630"/>
      <c r="G110" s="2604" t="s">
        <v>99</v>
      </c>
      <c r="H110" s="2493" t="str">
        <f>IF(H109="——","——",ROUND(H109*10000/'数据-汇总表'!E3,0))</f>
        <v>——</v>
      </c>
      <c r="I110" s="1000"/>
    </row>
    <row r="111" spans="1:35" ht="18.75" customHeight="1">
      <c r="A111" s="1000"/>
      <c r="B111" s="1000"/>
      <c r="C111" s="1000"/>
      <c r="D111" s="1000"/>
      <c r="E111" s="3631" t="str">
        <f>IF(项目基本情况!E9="抵押净值",IF(OR(项目基本情况!E8="已注销",项目基本情况!E8="房地产抵押价值"),"4.抵押净值","5.抵押净值"),"——")</f>
        <v>——</v>
      </c>
      <c r="F111" s="3607"/>
      <c r="G111" s="2604" t="s">
        <v>975</v>
      </c>
      <c r="H111" s="2605" t="str">
        <f>IF(E111="——","——",N59)</f>
        <v>——</v>
      </c>
      <c r="I111" s="1000"/>
    </row>
    <row r="112" spans="1:35" ht="18.75" customHeight="1">
      <c r="A112" s="1000"/>
      <c r="B112" s="1000"/>
      <c r="C112" s="1000"/>
      <c r="D112" s="1000"/>
      <c r="E112" s="3632"/>
      <c r="F112" s="3633"/>
      <c r="G112" s="2621" t="s">
        <v>99</v>
      </c>
      <c r="H112" s="2622" t="str">
        <f>IF(E111="——","——",N61)</f>
        <v>——</v>
      </c>
      <c r="I112" s="1000"/>
    </row>
    <row r="113" spans="1:27" ht="18.75" customHeight="1">
      <c r="A113" s="1000"/>
      <c r="B113" s="1000"/>
      <c r="C113" s="1000"/>
      <c r="D113" s="1000"/>
      <c r="E113" s="3593" t="s">
        <v>981</v>
      </c>
      <c r="F113" s="3593"/>
      <c r="G113" s="3593"/>
      <c r="H113" s="3593"/>
      <c r="I113" s="1000"/>
    </row>
    <row r="114" spans="1:27" ht="3.75" customHeight="1">
      <c r="A114" s="2378"/>
      <c r="B114" s="2378"/>
      <c r="C114" s="2378"/>
      <c r="D114" s="2378"/>
      <c r="E114" s="2503"/>
      <c r="F114" s="2503"/>
      <c r="G114" s="2503"/>
      <c r="H114" s="2503"/>
      <c r="I114" s="2378"/>
    </row>
    <row r="115" spans="1:27" ht="18.75" customHeight="1">
      <c r="A115" s="3594" t="s">
        <v>983</v>
      </c>
      <c r="B115" s="3595"/>
      <c r="C115" s="3595"/>
      <c r="D115" s="3595"/>
      <c r="E115" s="3595"/>
      <c r="F115" s="3595"/>
      <c r="G115" s="3595"/>
      <c r="H115" s="3595"/>
      <c r="I115" s="3596"/>
    </row>
    <row r="116" spans="1:27" ht="27" customHeight="1">
      <c r="A116" s="3600" t="s">
        <v>984</v>
      </c>
      <c r="B116" s="3617" t="s">
        <v>985</v>
      </c>
      <c r="C116" s="3617" t="s">
        <v>986</v>
      </c>
      <c r="D116" s="3597" t="s">
        <v>987</v>
      </c>
      <c r="E116" s="3598"/>
      <c r="F116" s="3599" t="s">
        <v>988</v>
      </c>
      <c r="G116" s="3599"/>
      <c r="H116" s="3600" t="s">
        <v>989</v>
      </c>
      <c r="I116" s="3600"/>
    </row>
    <row r="117" spans="1:27" ht="18.75" customHeight="1">
      <c r="A117" s="3600"/>
      <c r="B117" s="3618"/>
      <c r="C117" s="3618"/>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216721</v>
      </c>
      <c r="E118" s="2388">
        <f ca="1">ROUND(IF(C33="自定义",IF(D32="楼面单价",C34,D118*10000/B118),I118-G118),0)</f>
        <v>18028</v>
      </c>
      <c r="F118" s="2388">
        <f ca="1">ROUND(IF(D32="总价",C35,G118*B118/10000),0)</f>
        <v>151852</v>
      </c>
      <c r="G118" s="2388">
        <f ca="1">ROUND(IF(D32="楼面单价",C35,F118*10000/B118),0)</f>
        <v>12631</v>
      </c>
      <c r="H118" s="2388">
        <f ca="1">ROUND(IF(D32="总价",C32,I118*B118/10000),0)</f>
        <v>368573</v>
      </c>
      <c r="I118" s="2388">
        <f ca="1">ROUND(IF(D32="楼面单价",C32,H118*10000/B118),0)</f>
        <v>30659</v>
      </c>
    </row>
    <row r="119" spans="1:27" ht="18.75" customHeight="1">
      <c r="A119" s="3600" t="s">
        <v>991</v>
      </c>
      <c r="B119" s="3600"/>
      <c r="C119" s="3600"/>
      <c r="D119" s="3601" t="str">
        <f ca="1">NUMBERSTRING(INT(D118*10000),2)&amp;"元整"</f>
        <v>贰拾壹亿陆仟柒佰贰拾壹万元整</v>
      </c>
      <c r="E119" s="3602"/>
      <c r="F119" s="3601" t="str">
        <f ca="1">NUMBERSTRING(INT(F118*10000),2)&amp;"元整"</f>
        <v>壹拾伍亿壹仟捌佰伍拾贰万元整</v>
      </c>
      <c r="G119" s="3602"/>
      <c r="H119" s="3601" t="str">
        <f ca="1">NUMBERSTRING(INT(H118*10000),2)&amp;"元整"</f>
        <v>叁拾陆亿捌仟伍佰柒拾叁万元整</v>
      </c>
      <c r="I119" s="3602"/>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601" t="s">
        <v>991</v>
      </c>
      <c r="B121" s="3606"/>
      <c r="C121" s="3602"/>
      <c r="D121" s="3601" t="str">
        <f>IF(D120=0,"零元整",NUMBERSTRING(INT(D120*10000),2)&amp;"元整")</f>
        <v>零元整</v>
      </c>
      <c r="E121" s="3606"/>
      <c r="F121" s="3606"/>
      <c r="G121" s="3606"/>
      <c r="H121" s="3606"/>
      <c r="I121" s="3602"/>
      <c r="AA121" s="958"/>
    </row>
    <row r="122" spans="1:27" ht="18.75" customHeight="1">
      <c r="A122" s="3607" t="str">
        <f>IF(项目基本情况!B9="房地产市场价值","",MID(E107,3,LEN(E107)-2))</f>
        <v>房地产抵押价值</v>
      </c>
      <c r="B122" s="3607"/>
      <c r="C122" s="3607"/>
      <c r="D122" s="3603">
        <f ca="1">H107</f>
        <v>368573</v>
      </c>
      <c r="E122" s="3604"/>
      <c r="F122" s="3604"/>
      <c r="G122" s="3604"/>
      <c r="H122" s="3604"/>
      <c r="I122" s="3605"/>
      <c r="AA122" s="958"/>
    </row>
    <row r="123" spans="1:27" ht="18.75" customHeight="1">
      <c r="A123" s="3600" t="s">
        <v>991</v>
      </c>
      <c r="B123" s="3600"/>
      <c r="C123" s="3600"/>
      <c r="D123" s="3601" t="str">
        <f ca="1">NUMBERSTRING(INT(D122*10000),2)&amp;"元整"</f>
        <v>叁拾陆亿捌仟伍佰柒拾叁万元整</v>
      </c>
      <c r="E123" s="3606"/>
      <c r="F123" s="3606"/>
      <c r="G123" s="3606"/>
      <c r="H123" s="3606"/>
      <c r="I123" s="3602"/>
      <c r="AA123" s="958"/>
    </row>
    <row r="124" spans="1:27" ht="18.75" customHeight="1">
      <c r="A124" s="3607" t="str">
        <f>IF(项目基本情况!B9="房地产市场价值","",MID(E109,3,LEN(E109)-2))</f>
        <v/>
      </c>
      <c r="B124" s="3607"/>
      <c r="C124" s="3607"/>
      <c r="D124" s="3603" t="str">
        <f>H109</f>
        <v>——</v>
      </c>
      <c r="E124" s="3604"/>
      <c r="F124" s="3604"/>
      <c r="G124" s="3604"/>
      <c r="H124" s="3604"/>
      <c r="I124" s="3605"/>
      <c r="AA124" s="958"/>
    </row>
    <row r="125" spans="1:27" ht="18.75" customHeight="1">
      <c r="A125" s="3600" t="s">
        <v>991</v>
      </c>
      <c r="B125" s="3600"/>
      <c r="C125" s="3600"/>
      <c r="D125" s="3601" t="e">
        <f>NUMBERSTRING(INT(D124*10000),2)&amp;"元整"</f>
        <v>#VALUE!</v>
      </c>
      <c r="E125" s="3606"/>
      <c r="F125" s="3606"/>
      <c r="G125" s="3606"/>
      <c r="H125" s="3606"/>
      <c r="I125" s="3602"/>
      <c r="AA125" s="958"/>
    </row>
    <row r="126" spans="1:27" ht="18.75" customHeight="1">
      <c r="A126" s="3607" t="str">
        <f>IF(项目基本情况!B9="房地产市场价值","",MID(E111,3,LEN(E111)-2))</f>
        <v/>
      </c>
      <c r="B126" s="3607"/>
      <c r="C126" s="3607"/>
      <c r="D126" s="3603" t="str">
        <f>H111</f>
        <v>——</v>
      </c>
      <c r="E126" s="3604"/>
      <c r="F126" s="3604"/>
      <c r="G126" s="3604"/>
      <c r="H126" s="3604"/>
      <c r="I126" s="3605"/>
      <c r="AA126" s="958"/>
    </row>
    <row r="127" spans="1:27" ht="18.75" customHeight="1">
      <c r="A127" s="3600" t="s">
        <v>991</v>
      </c>
      <c r="B127" s="3600"/>
      <c r="C127" s="3600"/>
      <c r="D127" s="3601" t="e">
        <f>NUMBERSTRING(INT(D126*10000),2)&amp;"元整"</f>
        <v>#VALUE!</v>
      </c>
      <c r="E127" s="3606"/>
      <c r="F127" s="3606"/>
      <c r="G127" s="3606"/>
      <c r="H127" s="3606"/>
      <c r="I127" s="3602"/>
      <c r="AA127" s="958"/>
    </row>
    <row r="128" spans="1:27" ht="21.75" customHeight="1">
      <c r="A128" s="3608" t="s">
        <v>113</v>
      </c>
      <c r="B128" s="3608"/>
      <c r="C128" s="3608"/>
      <c r="D128" s="3608"/>
      <c r="E128" s="3608"/>
      <c r="F128" s="3608"/>
      <c r="G128" s="3608"/>
      <c r="H128" s="3608"/>
      <c r="I128" s="3608"/>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2" sqref="E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176155</v>
      </c>
      <c r="C2" s="377" t="s">
        <v>1001</v>
      </c>
      <c r="D2" s="2361" t="s">
        <v>1002</v>
      </c>
      <c r="E2" s="2362">
        <f ca="1">SUMIF(INDIRECT("'"&amp;G2&amp;"'"&amp;"!A:A"),"承租人权益价值",INDIRECT("'"&amp;G2&amp;"'"&amp;"!c:c"))</f>
        <v>73047</v>
      </c>
      <c r="F2" s="2363" t="s">
        <v>1001</v>
      </c>
      <c r="G2" s="2364" t="s">
        <v>656</v>
      </c>
    </row>
    <row r="3" spans="1:9" s="366" customFormat="1" ht="18" customHeight="1">
      <c r="A3" s="381" t="s">
        <v>1003</v>
      </c>
      <c r="B3" s="382">
        <f ca="1">ROUND(B2*10000/(IF(B1="",'数据-汇总表'!E3,INDIRECT("'数据-取费表'!k"&amp;$G$1))),0)</f>
        <v>14653</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102023</v>
      </c>
      <c r="D5" s="388" t="s">
        <v>1008</v>
      </c>
      <c r="E5" s="389" t="s">
        <v>1009</v>
      </c>
      <c r="F5" s="389" t="s">
        <v>904</v>
      </c>
      <c r="G5" s="390"/>
    </row>
    <row r="6" spans="1:9" s="368" customFormat="1" ht="13.5" customHeight="1">
      <c r="A6" s="391" t="s">
        <v>1010</v>
      </c>
      <c r="B6" s="392" t="s">
        <v>1011</v>
      </c>
      <c r="C6" s="393">
        <f>基准地价修正!E33+基准地价修正!E40+基准地价修正!E42</f>
        <v>96671</v>
      </c>
      <c r="D6" s="394"/>
      <c r="E6" s="395"/>
      <c r="F6" s="395"/>
      <c r="G6" s="396"/>
    </row>
    <row r="7" spans="1:9" s="368" customFormat="1" ht="13.5" customHeight="1">
      <c r="A7" s="391" t="s">
        <v>1012</v>
      </c>
      <c r="B7" s="392" t="s">
        <v>1013</v>
      </c>
      <c r="C7" s="397">
        <f>ROUND(C6*F7,0)</f>
        <v>2948</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2040</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13364</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13236</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128</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17691</v>
      </c>
      <c r="D27" s="417">
        <f ca="1">C29</f>
        <v>3.3999999999999998E-3</v>
      </c>
      <c r="E27" s="418" t="s">
        <v>1047</v>
      </c>
      <c r="F27" s="432">
        <f ca="1">IF(B1="",'数据-取费表'!Q16,INDIRECT("'数据-取费表'!q"&amp;$G$1))</f>
        <v>0.17</v>
      </c>
      <c r="G27" s="433" t="s">
        <v>1061</v>
      </c>
    </row>
    <row r="28" spans="1:7" s="368" customFormat="1" ht="13.5" customHeight="1">
      <c r="A28" s="422" t="s">
        <v>1010</v>
      </c>
      <c r="B28" s="434" t="s">
        <v>1062</v>
      </c>
      <c r="C28" s="435">
        <f ca="1">ROUND((C5+C19+C20)*F27*'数据-取费表'!B21/'数据-取费表'!B20,0)</f>
        <v>17691</v>
      </c>
      <c r="D28" s="417"/>
      <c r="E28" s="418"/>
      <c r="F28" s="432"/>
      <c r="G28" s="433"/>
    </row>
    <row r="29" spans="1:7" s="368" customFormat="1" ht="13.5" customHeight="1">
      <c r="A29" s="422" t="s">
        <v>1012</v>
      </c>
      <c r="B29" s="434" t="s">
        <v>1063</v>
      </c>
      <c r="C29" s="424">
        <f ca="1">ROUND(C21*F27*'数据-取费表'!B21/'数据-取费表'!B20,4)</f>
        <v>3.3999999999999998E-3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146549</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5" t="s">
        <v>1083</v>
      </c>
    </row>
    <row r="43" spans="1:7" ht="13.5" customHeight="1">
      <c r="A43" s="422" t="s">
        <v>1012</v>
      </c>
      <c r="B43" s="392" t="s">
        <v>1053</v>
      </c>
      <c r="C43" s="424">
        <f ca="1">ROUND(IF('数据-取费表'!B22&lt;=1,C39*F22*'数据-取费表'!B21/2,C39*(POWER((1+F22),'数据-取费表'!B21/2)-1)),0)</f>
        <v>100</v>
      </c>
      <c r="D43" s="424"/>
      <c r="E43" s="424"/>
      <c r="F43" s="425"/>
      <c r="G43" s="3636"/>
    </row>
    <row r="44" spans="1:7" ht="13.5" customHeight="1">
      <c r="A44" s="422" t="s">
        <v>1014</v>
      </c>
      <c r="B44" s="392" t="s">
        <v>1055</v>
      </c>
      <c r="C44" s="424">
        <f ca="1">ROUND(IF('数据-取费表'!B22&lt;=1,C40*F22*'数据-取费表'!B21/2,C40*(POWER((1+F22),'数据-取费表'!B21/2)-1)),4)</f>
        <v>1.2999999999999999E-3</v>
      </c>
      <c r="D44" s="424"/>
      <c r="E44" s="424"/>
      <c r="F44" s="425"/>
      <c r="G44" s="3637"/>
    </row>
    <row r="45" spans="1:7" s="368" customFormat="1" ht="13.5" customHeight="1">
      <c r="A45" s="386" t="s">
        <v>1049</v>
      </c>
      <c r="B45" s="430" t="s">
        <v>1060</v>
      </c>
      <c r="C45" s="431">
        <f ca="1">C46</f>
        <v>13737</v>
      </c>
      <c r="D45" s="417">
        <f ca="1">C47</f>
        <v>3.3999999999999998E-3</v>
      </c>
      <c r="E45" s="418" t="s">
        <v>1081</v>
      </c>
      <c r="F45" s="432">
        <f ca="1">F27</f>
        <v>0.17</v>
      </c>
      <c r="G45" s="433" t="s">
        <v>1084</v>
      </c>
    </row>
    <row r="46" spans="1:7" s="368" customFormat="1" ht="13.5" customHeight="1">
      <c r="A46" s="422" t="s">
        <v>1010</v>
      </c>
      <c r="B46" s="434" t="s">
        <v>1085</v>
      </c>
      <c r="C46" s="435">
        <f ca="1">ROUND((C33+C39)*F27,0)</f>
        <v>13737</v>
      </c>
      <c r="D46" s="448"/>
      <c r="E46" s="418"/>
      <c r="F46" s="432"/>
      <c r="G46" s="433"/>
    </row>
    <row r="47" spans="1:7" s="368" customFormat="1" ht="13.5" customHeight="1">
      <c r="A47" s="422" t="s">
        <v>1012</v>
      </c>
      <c r="B47" s="434" t="s">
        <v>1086</v>
      </c>
      <c r="C47" s="424">
        <f ca="1">ROUND(C40*F27,4)</f>
        <v>3.3999999999999998E-3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108056</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102653</v>
      </c>
      <c r="D51" s="414"/>
      <c r="E51" s="414"/>
      <c r="F51" s="449"/>
      <c r="G51" s="419" t="s">
        <v>1095</v>
      </c>
    </row>
    <row r="52" spans="1:7" s="367" customFormat="1" ht="15.75">
      <c r="A52" s="450" t="s">
        <v>1096</v>
      </c>
      <c r="B52" s="451"/>
      <c r="C52" s="452">
        <f ca="1">C31+C51</f>
        <v>249202</v>
      </c>
      <c r="D52" s="451"/>
      <c r="E52" s="451"/>
      <c r="F52" s="451"/>
      <c r="G52" s="453"/>
    </row>
    <row r="55" spans="1:7" ht="15">
      <c r="B55" s="454" t="s">
        <v>1097</v>
      </c>
      <c r="C55" s="455"/>
    </row>
    <row r="56" spans="1:7">
      <c r="B56" s="456" t="s">
        <v>1098</v>
      </c>
      <c r="C56" s="458">
        <f ca="1">1-C57</f>
        <v>0.58800000000000008</v>
      </c>
    </row>
    <row r="57" spans="1:7">
      <c r="B57" s="456" t="s">
        <v>1099</v>
      </c>
      <c r="C57" s="457">
        <f ca="1">ROUND(C51/C52,3)</f>
        <v>0.41199999999999998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109561.03969999999</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9113</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8338350</v>
      </c>
      <c r="D27" s="417">
        <f ca="1">C29</f>
        <v>3.3999999999999998E-3</v>
      </c>
      <c r="E27" s="418" t="s">
        <v>1047</v>
      </c>
      <c r="F27" s="432">
        <f ca="1">IF(B1="",'数据-取费表'!Q16,INDIRECT("'数据-取费表'!q"&amp;$G$1))</f>
        <v>0.17</v>
      </c>
      <c r="G27" s="433" t="s">
        <v>1061</v>
      </c>
    </row>
    <row r="28" spans="1:7" s="368" customFormat="1" ht="13.5" customHeight="1">
      <c r="A28" s="422" t="s">
        <v>1010</v>
      </c>
      <c r="B28" s="434" t="s">
        <v>1062</v>
      </c>
      <c r="C28" s="435">
        <f ca="1">ROUND((C5+C19+C20)*F27,0)</f>
        <v>8338350</v>
      </c>
      <c r="D28" s="417"/>
      <c r="E28" s="418"/>
      <c r="F28" s="432"/>
      <c r="G28" s="433"/>
    </row>
    <row r="29" spans="1:7" s="368" customFormat="1" ht="13.5" customHeight="1">
      <c r="A29" s="422" t="s">
        <v>1012</v>
      </c>
      <c r="B29" s="434" t="s">
        <v>1063</v>
      </c>
      <c r="C29" s="424">
        <f ca="1">ROUND(C21*F27,4)</f>
        <v>3.3999999999999998E-3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69074535</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5" t="s">
        <v>1103</v>
      </c>
    </row>
    <row r="43" spans="1:7" ht="13.5" customHeight="1">
      <c r="A43" s="422" t="s">
        <v>1012</v>
      </c>
      <c r="B43" s="392" t="s">
        <v>1053</v>
      </c>
      <c r="C43" s="424">
        <f ca="1">ROUND(IF('数据-取费表'!B22&lt;=1,C39*F22*'数据-取费表'!B20/2,C39*(POWER((1+F22),'数据-取费表'!B20/2)-1)),0)</f>
        <v>996502</v>
      </c>
      <c r="D43" s="424"/>
      <c r="E43" s="424"/>
      <c r="F43" s="425"/>
      <c r="G43" s="3636"/>
    </row>
    <row r="44" spans="1:7" ht="13.5" customHeight="1">
      <c r="A44" s="422" t="s">
        <v>1014</v>
      </c>
      <c r="B44" s="392" t="s">
        <v>1055</v>
      </c>
      <c r="C44" s="424">
        <f ca="1">ROUND(IF('数据-取费表'!B22&lt;=1,C40*F22*'数据-取费表'!B20/2,C40*(POWER((1+F22),'数据-取费表'!B20/2)-1)),4)</f>
        <v>1.2999999999999999E-3</v>
      </c>
      <c r="D44" s="424"/>
      <c r="E44" s="424"/>
      <c r="F44" s="425"/>
      <c r="G44" s="3637"/>
    </row>
    <row r="45" spans="1:7" s="368" customFormat="1" ht="13.5" customHeight="1">
      <c r="A45" s="386" t="s">
        <v>1049</v>
      </c>
      <c r="B45" s="430" t="s">
        <v>1060</v>
      </c>
      <c r="C45" s="431">
        <f ca="1">C46</f>
        <v>137374310</v>
      </c>
      <c r="D45" s="417">
        <f ca="1">C47</f>
        <v>3.3999999999999998E-3</v>
      </c>
      <c r="E45" s="418" t="s">
        <v>1081</v>
      </c>
      <c r="F45" s="432">
        <f ca="1">F27</f>
        <v>0.17</v>
      </c>
      <c r="G45" s="433" t="s">
        <v>1084</v>
      </c>
    </row>
    <row r="46" spans="1:7" s="368" customFormat="1" ht="13.5" customHeight="1">
      <c r="A46" s="422" t="s">
        <v>1010</v>
      </c>
      <c r="B46" s="434" t="s">
        <v>1085</v>
      </c>
      <c r="C46" s="435">
        <f ca="1">ROUND((C33+C39)*F27,0)</f>
        <v>137374310</v>
      </c>
      <c r="D46" s="448"/>
      <c r="E46" s="418"/>
      <c r="F46" s="432"/>
      <c r="G46" s="433"/>
    </row>
    <row r="47" spans="1:7" s="368" customFormat="1" ht="13.5" customHeight="1">
      <c r="A47" s="422" t="s">
        <v>1012</v>
      </c>
      <c r="B47" s="434" t="s">
        <v>1086</v>
      </c>
      <c r="C47" s="424">
        <f ca="1">ROUND(C40*F27,4)</f>
        <v>3.3999999999999998E-3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1080564065</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1026535862</v>
      </c>
      <c r="D51" s="414"/>
      <c r="E51" s="414"/>
      <c r="F51" s="449"/>
      <c r="G51" s="419" t="s">
        <v>1095</v>
      </c>
    </row>
    <row r="52" spans="1:7" s="367" customFormat="1" ht="15.75">
      <c r="A52" s="450" t="s">
        <v>1096</v>
      </c>
      <c r="B52" s="451"/>
      <c r="C52" s="452">
        <f ca="1">C31+C51</f>
        <v>1095610397</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0.17</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37.729999999999997</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389300</v>
      </c>
      <c r="C2" s="1983" t="s">
        <v>1162</v>
      </c>
      <c r="D2" s="1983"/>
      <c r="E2" s="1985"/>
      <c r="F2" s="1986"/>
      <c r="G2" s="1987"/>
      <c r="H2" s="1988"/>
      <c r="I2" s="1988"/>
      <c r="J2" s="1988"/>
      <c r="K2" s="2147"/>
      <c r="L2" s="1988"/>
      <c r="M2" s="1988"/>
    </row>
    <row r="3" spans="1:37" ht="18" customHeight="1">
      <c r="A3" s="1989" t="s">
        <v>1163</v>
      </c>
      <c r="B3" s="1990">
        <f ca="1">IF(ISERROR(B2*10000/F43),0,ROUND(B2*10000/F43,0))</f>
        <v>42268</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13127</v>
      </c>
      <c r="D5" s="1999" t="s">
        <v>1172</v>
      </c>
      <c r="E5" s="2000"/>
      <c r="F5" s="2001"/>
      <c r="G5" s="769"/>
      <c r="H5" s="1996">
        <v>1</v>
      </c>
      <c r="I5" s="1997" t="s">
        <v>1171</v>
      </c>
      <c r="J5" s="1998">
        <f ca="1">J6+J10+J12</f>
        <v>30991</v>
      </c>
      <c r="K5" s="1999" t="s">
        <v>1172</v>
      </c>
      <c r="L5" s="2000"/>
      <c r="M5" s="2001"/>
    </row>
    <row r="6" spans="1:37" ht="18" customHeight="1">
      <c r="A6" s="2002" t="s">
        <v>909</v>
      </c>
      <c r="B6" s="3640" t="s">
        <v>1173</v>
      </c>
      <c r="C6" s="2003">
        <f ca="1">ROUND(F6*F8*F7*(1-F9)/10000,0)</f>
        <v>13111</v>
      </c>
      <c r="D6" s="2004" t="s">
        <v>1174</v>
      </c>
      <c r="E6" s="2005" t="s">
        <v>1175</v>
      </c>
      <c r="F6" s="2006">
        <f ca="1">INDIRECT("'数据-取费表'!u"&amp;$G$1)</f>
        <v>3.9</v>
      </c>
      <c r="G6" s="769"/>
      <c r="H6" s="2002" t="s">
        <v>909</v>
      </c>
      <c r="I6" s="3640" t="s">
        <v>1173</v>
      </c>
      <c r="J6" s="2077">
        <f ca="1">ROUND(M6*M8*M7*(1-M9)/10000,0)</f>
        <v>30952</v>
      </c>
      <c r="K6" s="2004" t="s">
        <v>1176</v>
      </c>
      <c r="L6" s="2005" t="s">
        <v>1175</v>
      </c>
      <c r="M6" s="2006">
        <f ca="1">INDIRECT("'数据-取费表'!z"&amp;$G$1)</f>
        <v>10.23</v>
      </c>
    </row>
    <row r="7" spans="1:37" ht="18" customHeight="1">
      <c r="A7" s="2007"/>
      <c r="B7" s="3641"/>
      <c r="C7" s="2008"/>
      <c r="D7" s="2009"/>
      <c r="E7" s="2010" t="s">
        <v>1177</v>
      </c>
      <c r="F7" s="2006">
        <f ca="1">IF(INDIRECT("'数据-取费表'!ah"&amp;$G$1)="",INDIRECT("'数据-取费表'!k"&amp;$G$1),INDIRECT("'数据-取费表'!ah"&amp;$G$1))</f>
        <v>92103.41</v>
      </c>
      <c r="G7" s="769"/>
      <c r="H7" s="2011"/>
      <c r="I7" s="3641"/>
      <c r="J7" s="2012"/>
      <c r="K7" s="2009"/>
      <c r="L7" s="2005" t="s">
        <v>1177</v>
      </c>
      <c r="M7" s="2006">
        <f ca="1">F7</f>
        <v>92103.41</v>
      </c>
    </row>
    <row r="8" spans="1:37" ht="18" customHeight="1">
      <c r="A8" s="2011"/>
      <c r="B8" s="3641"/>
      <c r="C8" s="2012"/>
      <c r="D8" s="2009"/>
      <c r="E8" s="2005" t="s">
        <v>1178</v>
      </c>
      <c r="F8" s="2006">
        <f ca="1">INDIRECT("'数据-取费表'!ai"&amp;$G$1)</f>
        <v>365</v>
      </c>
      <c r="G8" s="769"/>
      <c r="H8" s="2011"/>
      <c r="I8" s="3641"/>
      <c r="J8" s="2012"/>
      <c r="K8" s="2009"/>
      <c r="L8" s="2005" t="s">
        <v>1178</v>
      </c>
      <c r="M8" s="2006">
        <f ca="1">INDIRECT("'数据-取费表'!ai"&amp;$G$1)</f>
        <v>365</v>
      </c>
    </row>
    <row r="9" spans="1:37" ht="18" customHeight="1">
      <c r="A9" s="2011"/>
      <c r="B9" s="3642"/>
      <c r="C9" s="2012"/>
      <c r="D9" s="2009"/>
      <c r="E9" s="2005" t="s">
        <v>1179</v>
      </c>
      <c r="F9" s="2013">
        <f ca="1">INDIRECT("'数据-取费表'!w"&amp;$G$1)</f>
        <v>0</v>
      </c>
      <c r="G9" s="769"/>
      <c r="H9" s="2011"/>
      <c r="I9" s="3642"/>
      <c r="J9" s="2012"/>
      <c r="K9" s="2009"/>
      <c r="L9" s="2016" t="s">
        <v>1179</v>
      </c>
      <c r="M9" s="2021">
        <f ca="1">INDIRECT("'数据-取费表'!ab"&amp;$G$1)</f>
        <v>0.1</v>
      </c>
    </row>
    <row r="10" spans="1:37" ht="18" customHeight="1">
      <c r="A10" s="2002" t="s">
        <v>913</v>
      </c>
      <c r="B10" s="2014" t="s">
        <v>1180</v>
      </c>
      <c r="C10" s="1010">
        <f ca="1">ROUND(IF(F10="押一",C6/12*F11,IF(F10="押二",C6/12*2*F11,IF(F10="押三",C6/12*3*F11,C11*F11))),0)</f>
        <v>16</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87229</v>
      </c>
      <c r="D13" s="2032" t="s">
        <v>1188</v>
      </c>
      <c r="E13" s="2032" t="s">
        <v>1189</v>
      </c>
      <c r="F13" s="2033">
        <f ca="1">INDIRECT("'数据-取费表'!y"&amp;$G$1)</f>
        <v>0.95</v>
      </c>
      <c r="G13" s="769"/>
      <c r="H13" s="2029">
        <v>2</v>
      </c>
      <c r="I13" s="2030" t="s">
        <v>1187</v>
      </c>
      <c r="J13" s="2156">
        <f ca="1">ROUND(J14*J15,0)</f>
        <v>75292</v>
      </c>
      <c r="K13" s="2055" t="s">
        <v>1188</v>
      </c>
      <c r="L13" s="2157"/>
      <c r="M13" s="2158"/>
    </row>
    <row r="14" spans="1:37" ht="18" customHeight="1">
      <c r="A14" s="2034" t="s">
        <v>932</v>
      </c>
      <c r="B14" s="2005" t="s">
        <v>1190</v>
      </c>
      <c r="C14" s="2035">
        <f ca="1">INDIRECT("'数据-取费表'!m"&amp;$G$1)+INDIRECT("'数据-取费表'!t"&amp;$G$1)</f>
        <v>59797</v>
      </c>
      <c r="D14" s="2036" t="s">
        <v>1191</v>
      </c>
      <c r="E14" s="2037"/>
      <c r="F14" s="2038"/>
      <c r="G14" s="769"/>
      <c r="H14" s="2034" t="s">
        <v>909</v>
      </c>
      <c r="I14" s="2005" t="s">
        <v>1192</v>
      </c>
      <c r="J14" s="1011">
        <f ca="1">C29</f>
        <v>91820</v>
      </c>
      <c r="K14" s="2159"/>
      <c r="L14" s="2160"/>
      <c r="M14" s="2161"/>
    </row>
    <row r="15" spans="1:37" s="1973" customFormat="1" ht="18" customHeight="1">
      <c r="A15" s="2034" t="s">
        <v>936</v>
      </c>
      <c r="B15" s="2005" t="s">
        <v>1120</v>
      </c>
      <c r="C15" s="1011">
        <f ca="1">ROUND(C14*F15,0)</f>
        <v>2990</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6232</v>
      </c>
      <c r="K16" s="2055" t="s">
        <v>1197</v>
      </c>
      <c r="L16" s="2056"/>
      <c r="M16" s="2001"/>
    </row>
    <row r="17" spans="1:37" s="1973" customFormat="1" ht="18" customHeight="1">
      <c r="A17" s="2034" t="s">
        <v>1198</v>
      </c>
      <c r="B17" s="2005" t="s">
        <v>1199</v>
      </c>
      <c r="C17" s="1011">
        <f ca="1">ROUND(F17*(F43+INDIRECT("'数据-取费表'!S"&amp;$G$1))/10000,0)</f>
        <v>1993</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5203.6499999999996</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897</v>
      </c>
      <c r="D18" s="2005" t="s">
        <v>1193</v>
      </c>
      <c r="E18" s="2005" t="s">
        <v>1194</v>
      </c>
      <c r="F18" s="2043">
        <f>'数据-取费表'!B36</f>
        <v>1.4999999999999999E-2</v>
      </c>
      <c r="G18" s="2041"/>
      <c r="H18" s="2034" t="s">
        <v>932</v>
      </c>
      <c r="I18" s="2005" t="s">
        <v>1206</v>
      </c>
      <c r="J18" s="1011">
        <f ca="1">ROUND(J6*M18/(1+'数据-取费表'!C42),2)</f>
        <v>1650.77</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65677</v>
      </c>
      <c r="D19" s="2045" t="s">
        <v>1209</v>
      </c>
      <c r="E19" s="1013"/>
      <c r="F19" s="2044"/>
      <c r="G19" s="769"/>
      <c r="H19" s="2034" t="s">
        <v>936</v>
      </c>
      <c r="I19" s="2005" t="s">
        <v>1210</v>
      </c>
      <c r="J19" s="1011">
        <f ca="1">IF(K19="按租金收入计税",ROUND(J6*M19/(1+'数据-取费表'!C42),2),ROUND(C29*M19*0.7,2))</f>
        <v>3537.37</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1314</v>
      </c>
      <c r="D20" s="2046" t="s">
        <v>1213</v>
      </c>
      <c r="E20" s="2005" t="s">
        <v>1194</v>
      </c>
      <c r="F20" s="2043">
        <f>'数据-取费表'!B37</f>
        <v>0.02</v>
      </c>
      <c r="G20" s="2041"/>
      <c r="H20" s="2034" t="s">
        <v>939</v>
      </c>
      <c r="I20" s="2004" t="s">
        <v>1214</v>
      </c>
      <c r="J20" s="2064">
        <f ca="1">ROUND(M20*M21/10000,2)</f>
        <v>15.51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12926.28</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642.74</v>
      </c>
      <c r="K22" s="2059" t="s">
        <v>1223</v>
      </c>
      <c r="L22" s="2005" t="s">
        <v>1194</v>
      </c>
      <c r="M22" s="2071">
        <f ca="1">INDIRECT("'数据-取费表'!Ak"&amp;$G$1)</f>
        <v>7.0000000000000001E-3</v>
      </c>
    </row>
    <row r="23" spans="1:37" s="1973" customFormat="1" ht="18" customHeight="1">
      <c r="A23" s="2034" t="s">
        <v>932</v>
      </c>
      <c r="B23" s="2005" t="s">
        <v>1224</v>
      </c>
      <c r="C23" s="1011">
        <f ca="1">IF('数据-取费表'!B22&lt;=1,ROUND(C19*F24*F23/2,0)+ROUND(C20*F24*F23/2,0),ROUND(C19*(POWER((1+F24),F23/2)-1),0)+ROUND(C20*(POWER((1+F24),F23/2)-1),0))</f>
        <v>4214</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75.290000000000006</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309.91000000000003</v>
      </c>
      <c r="K24" s="2052" t="s">
        <v>1230</v>
      </c>
      <c r="L24" s="2027" t="s">
        <v>1194</v>
      </c>
      <c r="M24" s="2028">
        <f ca="1">INDIRECT("'数据-取费表'!Am"&amp;$G$1)</f>
        <v>0.01</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24759</v>
      </c>
      <c r="K25" s="2074" t="s">
        <v>1235</v>
      </c>
      <c r="L25" s="2075"/>
      <c r="M25" s="2076"/>
    </row>
    <row r="26" spans="1:37">
      <c r="A26" s="2034" t="s">
        <v>932</v>
      </c>
      <c r="B26" s="2005" t="s">
        <v>1236</v>
      </c>
      <c r="C26" s="1011">
        <f ca="1">ROUND((C19+C20)*F26,0)</f>
        <v>13398</v>
      </c>
      <c r="D26" s="2046" t="s">
        <v>1237</v>
      </c>
      <c r="E26" s="2016" t="s">
        <v>1238</v>
      </c>
      <c r="F26" s="2013">
        <f ca="1">INDIRECT("'数据-取费表'!q"&amp;$G$1)</f>
        <v>0.2</v>
      </c>
      <c r="G26" s="769"/>
      <c r="H26" s="1996" t="s">
        <v>1239</v>
      </c>
      <c r="I26" s="1997" t="s">
        <v>1240</v>
      </c>
      <c r="J26" s="2077">
        <f ca="1">IF(J5&lt;&gt;0,ROUND(J25*(1-((1+M28)/(1+M26))^M27)/(M26-M28),0),0)</f>
        <v>501283</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29.419999999999995</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91820</v>
      </c>
      <c r="D29" s="2052"/>
      <c r="E29" s="2027"/>
      <c r="F29" s="2053"/>
      <c r="G29" s="2041"/>
      <c r="H29" s="2054" t="s">
        <v>1251</v>
      </c>
      <c r="I29" s="2084" t="s">
        <v>1252</v>
      </c>
      <c r="J29" s="2085">
        <f ca="1">ROUND(J26/(1+F40)^F41,0)</f>
        <v>321259</v>
      </c>
      <c r="K29" s="2086" t="s">
        <v>1253</v>
      </c>
      <c r="L29" s="2087"/>
      <c r="M29" s="2088">
        <f ca="1">INDIRECT("'数据-取费表'!k"&amp;$G$1)</f>
        <v>92103.41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3074</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2213.16</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699.25</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1498.4</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15.51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12926.28</v>
      </c>
      <c r="G35" s="769"/>
      <c r="H35" s="2057"/>
      <c r="I35" s="2166"/>
      <c r="J35" s="2167"/>
      <c r="K35" s="2171"/>
      <c r="L35" s="2063"/>
      <c r="M35" s="2063"/>
    </row>
    <row r="36" spans="1:18" ht="18" customHeight="1">
      <c r="A36" s="2070" t="s">
        <v>913</v>
      </c>
      <c r="B36" s="2005" t="s">
        <v>1222</v>
      </c>
      <c r="C36" s="1011">
        <f ca="1">ROUND(C29*F36,2)</f>
        <v>642.74</v>
      </c>
      <c r="D36" s="2059" t="s">
        <v>1255</v>
      </c>
      <c r="E36" s="2005" t="s">
        <v>1194</v>
      </c>
      <c r="F36" s="2071">
        <f ca="1">INDIRECT("'数据-取费表'!Ak"&amp;$G$1)</f>
        <v>7.0000000000000001E-3</v>
      </c>
      <c r="G36" s="769"/>
      <c r="H36" s="2063"/>
      <c r="I36" s="2166"/>
      <c r="J36" s="2167"/>
      <c r="K36" s="2174"/>
      <c r="L36" s="2063"/>
      <c r="M36" s="2063"/>
    </row>
    <row r="37" spans="1:18" ht="18" customHeight="1">
      <c r="A37" s="2034" t="s">
        <v>959</v>
      </c>
      <c r="B37" s="2005" t="s">
        <v>1226</v>
      </c>
      <c r="C37" s="1011">
        <f ca="1">ROUND(C13*F37,2)</f>
        <v>87.23</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131.27000000000001</v>
      </c>
      <c r="D38" s="2052" t="s">
        <v>1230</v>
      </c>
      <c r="E38" s="2027" t="s">
        <v>1194</v>
      </c>
      <c r="F38" s="2028">
        <f ca="1">INDIRECT("'数据-取费表'!Am"&amp;$G$1)</f>
        <v>0.01</v>
      </c>
      <c r="G38" s="769"/>
      <c r="H38" s="2063"/>
      <c r="I38" s="2166"/>
      <c r="J38" s="2167"/>
      <c r="K38" s="2175"/>
      <c r="L38" s="2063"/>
      <c r="M38" s="2063"/>
    </row>
    <row r="39" spans="1:18" ht="24.6" customHeight="1">
      <c r="A39" s="2029" t="s">
        <v>1233</v>
      </c>
      <c r="B39" s="2073" t="s">
        <v>1234</v>
      </c>
      <c r="C39" s="2031">
        <f ca="1">C5-C30</f>
        <v>10053</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65642</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8.31</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7127</v>
      </c>
      <c r="D43" s="2086" t="s">
        <v>1258</v>
      </c>
      <c r="E43" s="2087" t="s">
        <v>1259</v>
      </c>
      <c r="F43" s="2088">
        <f ca="1">INDIRECT("'数据-取费表'!k"&amp;$G$1)</f>
        <v>92103.41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73047</v>
      </c>
      <c r="D46" s="2096" t="str">
        <f>C2</f>
        <v>万元</v>
      </c>
      <c r="E46" s="2089"/>
      <c r="F46" s="2089"/>
      <c r="I46" s="2178" t="s">
        <v>1262</v>
      </c>
      <c r="J46" s="2179"/>
      <c r="K46" s="2180"/>
      <c r="L46" s="2181">
        <f ca="1">IF(M47="住宅",0,IF(L48&gt;J51,L60,J60))</f>
        <v>2399</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386901</v>
      </c>
      <c r="R47" s="2229" t="s">
        <v>1271</v>
      </c>
    </row>
    <row r="48" spans="1:18" s="769" customFormat="1" ht="27.75">
      <c r="A48" s="2101" t="s">
        <v>1272</v>
      </c>
      <c r="B48" s="1997" t="s">
        <v>1171</v>
      </c>
      <c r="C48" s="1012">
        <f ca="1">C49+C53+C55</f>
        <v>24235</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2399</v>
      </c>
      <c r="R48" s="2229" t="s">
        <v>1277</v>
      </c>
    </row>
    <row r="49" spans="1:18" s="769" customFormat="1">
      <c r="A49" s="2106" t="s">
        <v>1278</v>
      </c>
      <c r="B49" s="2107" t="s">
        <v>1279</v>
      </c>
      <c r="C49" s="2108">
        <f ca="1">ROUND(F49*F51*F50*(1-F52)/10000,0)</f>
        <v>24205</v>
      </c>
      <c r="D49" s="2109" t="s">
        <v>1176</v>
      </c>
      <c r="E49" s="2110" t="s">
        <v>1280</v>
      </c>
      <c r="F49" s="2111">
        <v>8</v>
      </c>
      <c r="G49" s="2112"/>
      <c r="H49" s="2105"/>
      <c r="I49" s="2191" t="s">
        <v>1281</v>
      </c>
      <c r="J49" s="2195">
        <v>2020</v>
      </c>
      <c r="K49" s="2193" t="s">
        <v>1282</v>
      </c>
      <c r="L49" s="2196"/>
      <c r="O49" s="2197" t="s">
        <v>1283</v>
      </c>
      <c r="P49" s="2190" t="s">
        <v>1284</v>
      </c>
      <c r="Q49" s="2229">
        <f ca="1">C29</f>
        <v>91820</v>
      </c>
      <c r="R49" s="2229" t="s">
        <v>1271</v>
      </c>
    </row>
    <row r="50" spans="1:18" s="769" customFormat="1">
      <c r="A50" s="2113"/>
      <c r="B50" s="2114"/>
      <c r="C50" s="2257"/>
      <c r="D50" s="2116"/>
      <c r="E50" s="2117" t="s">
        <v>1177</v>
      </c>
      <c r="F50" s="2118">
        <f ca="1">F7</f>
        <v>92103.41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74047</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37.729999999999997</v>
      </c>
      <c r="K53" s="3638" t="s">
        <v>1300</v>
      </c>
      <c r="L53" s="3639"/>
      <c r="O53" s="2189" t="s">
        <v>1122</v>
      </c>
      <c r="P53" s="2190" t="s">
        <v>1301</v>
      </c>
      <c r="Q53" s="2229">
        <f ca="1">Q47+Q48</f>
        <v>389300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0.32100000000000001</v>
      </c>
      <c r="K55" s="2214" t="s">
        <v>1305</v>
      </c>
      <c r="L55" s="2215"/>
      <c r="O55" s="2182" t="s">
        <v>1263</v>
      </c>
      <c r="P55" s="2183" t="s">
        <v>1264</v>
      </c>
      <c r="Q55" s="2228" t="s">
        <v>1265</v>
      </c>
      <c r="R55" s="2228" t="s">
        <v>1266</v>
      </c>
    </row>
    <row r="56" spans="1:18" s="769" customFormat="1" ht="24">
      <c r="A56" s="2126">
        <v>2</v>
      </c>
      <c r="B56" s="2127" t="s">
        <v>1187</v>
      </c>
      <c r="C56" s="414">
        <f ca="1">C13</f>
        <v>87229</v>
      </c>
      <c r="D56" s="2128"/>
      <c r="E56" s="2129"/>
      <c r="F56" s="2125"/>
      <c r="I56" s="2216" t="s">
        <v>1306</v>
      </c>
      <c r="J56" s="2217" t="s">
        <v>1307</v>
      </c>
      <c r="K56" s="2191" t="s">
        <v>1308</v>
      </c>
      <c r="L56" s="2194" t="str">
        <f ca="1">IF(L48&lt;J51,"——",L48-J53)</f>
        <v>——</v>
      </c>
      <c r="O56" s="2189" t="s">
        <v>1017</v>
      </c>
      <c r="P56" s="2190" t="s">
        <v>1270</v>
      </c>
      <c r="Q56" s="2229">
        <f ca="1">C40+J29</f>
        <v>386901</v>
      </c>
      <c r="R56" s="2229" t="s">
        <v>1271</v>
      </c>
    </row>
    <row r="57" spans="1:18" s="769" customFormat="1" ht="24">
      <c r="A57" s="2130"/>
      <c r="B57" s="2131" t="s">
        <v>1250</v>
      </c>
      <c r="C57" s="424">
        <f ca="1">C29</f>
        <v>91820</v>
      </c>
      <c r="D57" s="2132"/>
      <c r="E57" s="2133"/>
      <c r="F57" s="2134"/>
      <c r="I57" s="2218" t="s">
        <v>1309</v>
      </c>
      <c r="J57" s="2219">
        <f ca="1">IF(OR(M47="住宅",J51&lt;L48,J56="是"),"——",J51-L48)</f>
        <v>19.270000000000003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5046</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4074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36728</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1292.53</v>
      </c>
      <c r="D60" s="2139" t="s">
        <v>1207</v>
      </c>
      <c r="E60" s="2131" t="s">
        <v>1194</v>
      </c>
      <c r="F60" s="2050">
        <f t="shared" ref="F60:F66" si="0">F32</f>
        <v>5.6000000000000001E-2</v>
      </c>
      <c r="I60" s="2221" t="s">
        <v>1318</v>
      </c>
      <c r="J60" s="2222">
        <f ca="1">IF(OR(M47="住宅",J51&lt;L48,J56="是"),"0",ROUND(J59/(1+J52)^J53,0))</f>
        <v>2399</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2766.29</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15.51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386901</v>
      </c>
      <c r="R62" s="2229" t="s">
        <v>1302</v>
      </c>
    </row>
    <row r="63" spans="1:18" s="769" customFormat="1">
      <c r="A63" s="2047"/>
      <c r="B63" s="2142"/>
      <c r="C63" s="2068"/>
      <c r="D63" s="2143"/>
      <c r="E63" s="2131" t="s">
        <v>1220</v>
      </c>
      <c r="F63" s="2006">
        <f t="shared" ca="1" si="0"/>
        <v>12926.28</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642.74</v>
      </c>
      <c r="D64" s="2139" t="s">
        <v>1255</v>
      </c>
      <c r="E64" s="2131" t="s">
        <v>1194</v>
      </c>
      <c r="F64" s="2071">
        <f t="shared" ca="1" si="0"/>
        <v>7.0000000000000001E-3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87.23</v>
      </c>
      <c r="D65" s="2139" t="s">
        <v>1227</v>
      </c>
      <c r="E65" s="2131" t="s">
        <v>1194</v>
      </c>
      <c r="F65" s="2072">
        <f t="shared" ca="1" si="0"/>
        <v>1E-3</v>
      </c>
      <c r="I65" s="2224" t="s">
        <v>1331</v>
      </c>
      <c r="J65" s="2225">
        <v>40</v>
      </c>
      <c r="K65" s="2225">
        <v>30</v>
      </c>
      <c r="L65" s="2225">
        <v>50</v>
      </c>
      <c r="M65" s="2227">
        <v>0.02</v>
      </c>
      <c r="O65" s="2189" t="s">
        <v>1017</v>
      </c>
      <c r="P65" s="2190" t="s">
        <v>1270</v>
      </c>
      <c r="Q65" s="2229">
        <f ca="1">C40+J29</f>
        <v>386901</v>
      </c>
      <c r="R65" s="2229" t="s">
        <v>1271</v>
      </c>
    </row>
    <row r="66" spans="1:18" s="769" customFormat="1" ht="15.75">
      <c r="A66" s="2034" t="s">
        <v>962</v>
      </c>
      <c r="B66" s="2131" t="s">
        <v>1212</v>
      </c>
      <c r="C66" s="1011">
        <f ca="1">ROUND(C48*F66,2)</f>
        <v>242.35</v>
      </c>
      <c r="D66" s="2139" t="s">
        <v>1230</v>
      </c>
      <c r="E66" s="2131" t="s">
        <v>1194</v>
      </c>
      <c r="F66" s="2013">
        <f t="shared" ca="1" si="0"/>
        <v>0.01</v>
      </c>
      <c r="O66" s="2189" t="s">
        <v>1021</v>
      </c>
      <c r="P66" s="2190" t="s">
        <v>1311</v>
      </c>
      <c r="Q66" s="2229">
        <f ca="1">L60</f>
        <v>0</v>
      </c>
      <c r="R66" s="2229" t="s">
        <v>1312</v>
      </c>
    </row>
    <row r="67" spans="1:18" s="769" customFormat="1" ht="15.75">
      <c r="A67" s="2126" t="s">
        <v>1233</v>
      </c>
      <c r="B67" s="2231" t="s">
        <v>1234</v>
      </c>
      <c r="C67" s="1010">
        <f ca="1">C48-C58</f>
        <v>19189</v>
      </c>
      <c r="D67" s="2138" t="s">
        <v>1235</v>
      </c>
      <c r="E67" s="2232"/>
      <c r="F67" s="2233"/>
      <c r="O67" s="2197" t="s">
        <v>1283</v>
      </c>
      <c r="P67" s="2190" t="s">
        <v>1315</v>
      </c>
      <c r="Q67" s="2253">
        <f ca="1">L51</f>
        <v>74047</v>
      </c>
      <c r="R67" s="2229" t="s">
        <v>1332</v>
      </c>
    </row>
    <row r="68" spans="1:18" s="769" customFormat="1" ht="15.75">
      <c r="A68" s="2234" t="s">
        <v>1239</v>
      </c>
      <c r="B68" s="2235" t="s">
        <v>1256</v>
      </c>
      <c r="C68" s="2077">
        <f ca="1">ROUND(C67*(1-((1+F70)/(1+F68))^F69)/(F68-F70),0)</f>
        <v>138689</v>
      </c>
      <c r="D68" s="2141" t="s">
        <v>1241</v>
      </c>
      <c r="E68" s="2131" t="s">
        <v>1242</v>
      </c>
      <c r="F68" s="2013">
        <f ca="1">F40</f>
        <v>5.5E-2</v>
      </c>
      <c r="O68" s="2197" t="s">
        <v>1287</v>
      </c>
      <c r="P68" s="2252" t="s">
        <v>1333</v>
      </c>
      <c r="Q68" s="2229">
        <f ca="1">ROUND(Q69-Q70*Q71,0)</f>
        <v>3947</v>
      </c>
      <c r="R68" s="2229" t="s">
        <v>1334</v>
      </c>
    </row>
    <row r="69" spans="1:18" s="769" customFormat="1">
      <c r="A69" s="2236"/>
      <c r="B69" s="2237"/>
      <c r="C69" s="2012"/>
      <c r="D69" s="2238" t="s">
        <v>1245</v>
      </c>
      <c r="E69" s="2131" t="s">
        <v>1246</v>
      </c>
      <c r="F69" s="2081">
        <f ca="1">F41</f>
        <v>8.31</v>
      </c>
      <c r="O69" s="2197" t="s">
        <v>1335</v>
      </c>
      <c r="P69" s="2252" t="s">
        <v>1336</v>
      </c>
      <c r="Q69" s="2229">
        <f ca="1">C39</f>
        <v>10053</v>
      </c>
      <c r="R69" s="2229" t="s">
        <v>1271</v>
      </c>
    </row>
    <row r="70" spans="1:18" s="769" customFormat="1">
      <c r="A70" s="2239"/>
      <c r="B70" s="2240"/>
      <c r="C70" s="2031"/>
      <c r="D70" s="2143"/>
      <c r="E70" s="2131" t="s">
        <v>1249</v>
      </c>
      <c r="F70" s="2121">
        <v>0.03</v>
      </c>
      <c r="O70" s="2197" t="s">
        <v>1337</v>
      </c>
      <c r="P70" s="2252" t="s">
        <v>1338</v>
      </c>
      <c r="Q70" s="2229">
        <f ca="1">C13</f>
        <v>87229</v>
      </c>
      <c r="R70" s="2229" t="s">
        <v>1271</v>
      </c>
    </row>
    <row r="71" spans="1:18" s="769" customFormat="1">
      <c r="A71" s="2241" t="s">
        <v>1251</v>
      </c>
      <c r="B71" s="2242" t="s">
        <v>1257</v>
      </c>
      <c r="C71" s="2085">
        <f ca="1">ROUND(C68*10000/F71,0)</f>
        <v>15058</v>
      </c>
      <c r="D71" s="2243" t="s">
        <v>1258</v>
      </c>
      <c r="E71" s="2244" t="s">
        <v>1259</v>
      </c>
      <c r="F71" s="2088">
        <f ca="1">F43</f>
        <v>92103.41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6106</v>
      </c>
      <c r="D75" s="769"/>
      <c r="E75" s="769"/>
      <c r="F75" s="769"/>
      <c r="K75" s="2176"/>
      <c r="L75" s="769"/>
      <c r="O75" s="2189" t="s">
        <v>1122</v>
      </c>
      <c r="P75" s="2190" t="s">
        <v>1301</v>
      </c>
      <c r="Q75" s="2229">
        <f ca="1">Q65+Q66</f>
        <v>386901</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0.39300000000000002</v>
      </c>
    </row>
    <row r="80" spans="1:18">
      <c r="B80" s="2246" t="s">
        <v>1348</v>
      </c>
      <c r="C80" s="457">
        <f ca="1">ROUND(C75/C39,3)</f>
        <v>0.60699999999999998</v>
      </c>
    </row>
    <row r="81" spans="2:3">
      <c r="B81" s="454" t="s">
        <v>1349</v>
      </c>
      <c r="C81" s="424"/>
    </row>
    <row r="82" spans="2:3">
      <c r="B82" s="456" t="s">
        <v>1098</v>
      </c>
      <c r="C82" s="458">
        <f ca="1">1-C83</f>
        <v>-0.32899999999999996</v>
      </c>
    </row>
    <row r="83" spans="2:3">
      <c r="B83" s="456" t="s">
        <v>1099</v>
      </c>
      <c r="C83" s="457">
        <f ca="1">ROUND(C13/C40,3)</f>
        <v>1.329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37.729999999999997</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7696</v>
      </c>
      <c r="C2" s="1983" t="s">
        <v>1162</v>
      </c>
      <c r="D2" s="1983"/>
      <c r="E2" s="1985"/>
      <c r="F2" s="1986"/>
      <c r="G2" s="1987"/>
      <c r="H2" s="1988"/>
      <c r="I2" s="1988"/>
      <c r="J2" s="1988"/>
      <c r="K2" s="2147"/>
      <c r="L2" s="1988"/>
      <c r="M2" s="1988"/>
    </row>
    <row r="3" spans="1:37" ht="18" customHeight="1">
      <c r="A3" s="1989" t="s">
        <v>1163</v>
      </c>
      <c r="B3" s="1990">
        <f ca="1">IF(ISERROR(B2*10000/F43),0,ROUND(B2*10000/F43,0))</f>
        <v>4051</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341</v>
      </c>
      <c r="D5" s="1999" t="s">
        <v>1172</v>
      </c>
      <c r="E5" s="2000"/>
      <c r="F5" s="2001"/>
      <c r="G5" s="769"/>
      <c r="H5" s="1996">
        <v>1</v>
      </c>
      <c r="I5" s="1997" t="s">
        <v>1171</v>
      </c>
      <c r="J5" s="1998">
        <f ca="1">J6+J10+J12</f>
        <v>613</v>
      </c>
      <c r="K5" s="1999" t="s">
        <v>1172</v>
      </c>
      <c r="L5" s="2000"/>
      <c r="M5" s="2001"/>
    </row>
    <row r="6" spans="1:37" ht="18" customHeight="1">
      <c r="A6" s="2002" t="s">
        <v>909</v>
      </c>
      <c r="B6" s="3640" t="s">
        <v>1173</v>
      </c>
      <c r="C6" s="2003">
        <f ca="1">ROUND(F6*F8*F7*(1-F9)/10000,0)</f>
        <v>341</v>
      </c>
      <c r="D6" s="2004" t="s">
        <v>1174</v>
      </c>
      <c r="E6" s="2005" t="s">
        <v>1175</v>
      </c>
      <c r="F6" s="2006">
        <f ca="1">INDIRECT("'数据-取费表'!u"&amp;$G$1)</f>
        <v>500</v>
      </c>
      <c r="G6" s="769"/>
      <c r="H6" s="2002" t="s">
        <v>909</v>
      </c>
      <c r="I6" s="3640" t="s">
        <v>1173</v>
      </c>
      <c r="J6" s="2077">
        <f ca="1">ROUND(M6*M8*M7*(1-M9)/10000,0)</f>
        <v>613</v>
      </c>
      <c r="K6" s="2004" t="s">
        <v>1176</v>
      </c>
      <c r="L6" s="2005" t="s">
        <v>1175</v>
      </c>
      <c r="M6" s="2006">
        <f ca="1">INDIRECT("'数据-取费表'!z"&amp;$G$1)</f>
        <v>1000</v>
      </c>
    </row>
    <row r="7" spans="1:37" ht="18" customHeight="1">
      <c r="A7" s="2007"/>
      <c r="B7" s="3641"/>
      <c r="C7" s="2008"/>
      <c r="D7" s="2009"/>
      <c r="E7" s="2010" t="s">
        <v>1177</v>
      </c>
      <c r="F7" s="2006">
        <f ca="1">IF(INDIRECT("'数据-取费表'!ah"&amp;$G$1)="",INDIRECT("'数据-取费表'!k"&amp;$G$1),INDIRECT("'数据-取费表'!ah"&amp;$G$1))</f>
        <v>568</v>
      </c>
      <c r="G7" s="769"/>
      <c r="H7" s="2011"/>
      <c r="I7" s="3641"/>
      <c r="J7" s="2012"/>
      <c r="K7" s="2009"/>
      <c r="L7" s="2005" t="s">
        <v>1177</v>
      </c>
      <c r="M7" s="2006">
        <f ca="1">F7</f>
        <v>568</v>
      </c>
    </row>
    <row r="8" spans="1:37" ht="18" customHeight="1">
      <c r="A8" s="2011"/>
      <c r="B8" s="3641"/>
      <c r="C8" s="2012"/>
      <c r="D8" s="2009"/>
      <c r="E8" s="2005" t="s">
        <v>1178</v>
      </c>
      <c r="F8" s="2006">
        <f ca="1">INDIRECT("'数据-取费表'!ai"&amp;$G$1)</f>
        <v>12</v>
      </c>
      <c r="G8" s="769"/>
      <c r="H8" s="2011"/>
      <c r="I8" s="3641"/>
      <c r="J8" s="2012"/>
      <c r="K8" s="2009"/>
      <c r="L8" s="2005" t="s">
        <v>1178</v>
      </c>
      <c r="M8" s="2006">
        <f ca="1">INDIRECT("'数据-取费表'!ai"&amp;$G$1)</f>
        <v>12</v>
      </c>
    </row>
    <row r="9" spans="1:37" ht="18" customHeight="1">
      <c r="A9" s="2011"/>
      <c r="B9" s="3642"/>
      <c r="C9" s="2012"/>
      <c r="D9" s="2009"/>
      <c r="E9" s="2005" t="s">
        <v>1179</v>
      </c>
      <c r="F9" s="2013">
        <f ca="1">INDIRECT("'数据-取费表'!w"&amp;$G$1)</f>
        <v>0</v>
      </c>
      <c r="G9" s="769"/>
      <c r="H9" s="2011"/>
      <c r="I9" s="3642"/>
      <c r="J9" s="2012"/>
      <c r="K9" s="2009"/>
      <c r="L9" s="2016" t="s">
        <v>1179</v>
      </c>
      <c r="M9" s="2021">
        <f ca="1">INDIRECT("'数据-取费表'!ab"&amp;$G$1)</f>
        <v>0.1</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15804</v>
      </c>
      <c r="D13" s="2032" t="s">
        <v>1188</v>
      </c>
      <c r="E13" s="2032" t="s">
        <v>1189</v>
      </c>
      <c r="F13" s="2033">
        <f ca="1">INDIRECT("'数据-取费表'!y"&amp;$G$1)</f>
        <v>0.95</v>
      </c>
      <c r="G13" s="769"/>
      <c r="H13" s="2029">
        <v>2</v>
      </c>
      <c r="I13" s="2030" t="s">
        <v>1187</v>
      </c>
      <c r="J13" s="2156">
        <f ca="1">ROUND(J14*J15,0)</f>
        <v>14640</v>
      </c>
      <c r="K13" s="2055" t="s">
        <v>1188</v>
      </c>
      <c r="L13" s="2157"/>
      <c r="M13" s="2158"/>
    </row>
    <row r="14" spans="1:37" ht="18" customHeight="1">
      <c r="A14" s="2034" t="s">
        <v>932</v>
      </c>
      <c r="B14" s="2005" t="s">
        <v>1190</v>
      </c>
      <c r="C14" s="2035">
        <f ca="1">INDIRECT("'数据-取费表'!m"&amp;$G$1)+INDIRECT("'数据-取费表'!t"&amp;$G$1)</f>
        <v>12334</v>
      </c>
      <c r="D14" s="2036" t="s">
        <v>1191</v>
      </c>
      <c r="E14" s="2037"/>
      <c r="F14" s="2038"/>
      <c r="G14" s="769"/>
      <c r="H14" s="2034" t="s">
        <v>909</v>
      </c>
      <c r="I14" s="2005" t="s">
        <v>1192</v>
      </c>
      <c r="J14" s="1011">
        <f ca="1">C29</f>
        <v>16636</v>
      </c>
      <c r="K14" s="2159"/>
      <c r="L14" s="2160"/>
      <c r="M14" s="2161"/>
    </row>
    <row r="15" spans="1:37" s="1973" customFormat="1" ht="18" customHeight="1">
      <c r="A15" s="2034" t="s">
        <v>936</v>
      </c>
      <c r="B15" s="2005" t="s">
        <v>1120</v>
      </c>
      <c r="C15" s="1011">
        <f ca="1">ROUND(C14*F15,0)</f>
        <v>617</v>
      </c>
      <c r="D15" s="2039" t="s">
        <v>1193</v>
      </c>
      <c r="E15" s="2039" t="s">
        <v>1194</v>
      </c>
      <c r="F15" s="2040">
        <f>'数据-取费表'!B33</f>
        <v>0.05</v>
      </c>
      <c r="G15" s="2041"/>
      <c r="H15" s="2042" t="s">
        <v>913</v>
      </c>
      <c r="I15" s="2027" t="s">
        <v>1189</v>
      </c>
      <c r="J15" s="2155">
        <f ca="1">INDIRECT("'数据-取费表'!ad"&amp;$G$1)</f>
        <v>0.88</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243</v>
      </c>
      <c r="K16" s="2055" t="s">
        <v>1197</v>
      </c>
      <c r="L16" s="2056"/>
      <c r="M16" s="2001"/>
    </row>
    <row r="17" spans="1:37" s="1973" customFormat="1" ht="18" customHeight="1">
      <c r="A17" s="2034" t="s">
        <v>1198</v>
      </c>
      <c r="B17" s="2005" t="s">
        <v>1199</v>
      </c>
      <c r="C17" s="1011">
        <f ca="1">ROUND(F17*(F43+INDIRECT("'数据-取费表'!S"&amp;$G$1))/10000,0)</f>
        <v>411</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105.95</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185</v>
      </c>
      <c r="D18" s="2005" t="s">
        <v>1193</v>
      </c>
      <c r="E18" s="2005" t="s">
        <v>1194</v>
      </c>
      <c r="F18" s="2043">
        <f>'数据-取费表'!B36</f>
        <v>1.4999999999999999E-2</v>
      </c>
      <c r="G18" s="2041"/>
      <c r="H18" s="2034" t="s">
        <v>932</v>
      </c>
      <c r="I18" s="2005" t="s">
        <v>1206</v>
      </c>
      <c r="J18" s="1011">
        <f ca="1">ROUND(J6*M18/(1+'数据-取费表'!C42),2)</f>
        <v>32.69</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13547</v>
      </c>
      <c r="D19" s="2045" t="s">
        <v>1209</v>
      </c>
      <c r="E19" s="1013"/>
      <c r="F19" s="2044"/>
      <c r="G19" s="769"/>
      <c r="H19" s="2034" t="s">
        <v>936</v>
      </c>
      <c r="I19" s="2005" t="s">
        <v>1210</v>
      </c>
      <c r="J19" s="1011">
        <f ca="1">IF(K19="按租金收入计税",ROUND(J6*M19/(1+'数据-取费表'!C42),2),ROUND(C29*M19*0.7,2))</f>
        <v>70.06</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271</v>
      </c>
      <c r="D20" s="2046" t="s">
        <v>1213</v>
      </c>
      <c r="E20" s="2005" t="s">
        <v>1194</v>
      </c>
      <c r="F20" s="2043">
        <f>'数据-取费表'!B37</f>
        <v>0.02</v>
      </c>
      <c r="G20" s="2041"/>
      <c r="H20" s="2034" t="s">
        <v>939</v>
      </c>
      <c r="I20" s="2004" t="s">
        <v>1214</v>
      </c>
      <c r="J20" s="2064">
        <f ca="1">ROUND(M20*M21/10000,2)</f>
        <v>3.2</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2666.26</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116.45</v>
      </c>
      <c r="K22" s="2059" t="s">
        <v>1223</v>
      </c>
      <c r="L22" s="2005" t="s">
        <v>1194</v>
      </c>
      <c r="M22" s="2071">
        <f ca="1">INDIRECT("'数据-取费表'!Ak"&amp;$G$1)</f>
        <v>7.0000000000000001E-3</v>
      </c>
    </row>
    <row r="23" spans="1:37" s="1973" customFormat="1" ht="18" customHeight="1">
      <c r="A23" s="2034" t="s">
        <v>932</v>
      </c>
      <c r="B23" s="2005" t="s">
        <v>1224</v>
      </c>
      <c r="C23" s="1011">
        <f ca="1">IF('数据-取费表'!B22&lt;=1,ROUND(C19*F24*F23/2,0)+ROUND(C20*F24*F23/2,0),ROUND(C19*(POWER((1+F24),F23/2)-1),0)+ROUND(C20*(POWER((1+F24),F23/2)-1),0))</f>
        <v>869</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14.64</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6.13</v>
      </c>
      <c r="K24" s="2052" t="s">
        <v>1230</v>
      </c>
      <c r="L24" s="2027" t="s">
        <v>1194</v>
      </c>
      <c r="M24" s="2028">
        <f ca="1">INDIRECT("'数据-取费表'!Am"&amp;$G$1)</f>
        <v>0.01</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370</v>
      </c>
      <c r="K25" s="2074" t="s">
        <v>1235</v>
      </c>
      <c r="L25" s="2075"/>
      <c r="M25" s="2076"/>
    </row>
    <row r="26" spans="1:37">
      <c r="A26" s="2034" t="s">
        <v>932</v>
      </c>
      <c r="B26" s="2005" t="s">
        <v>1236</v>
      </c>
      <c r="C26" s="1011">
        <f ca="1">ROUND((C19+C20)*F26,0)</f>
        <v>691</v>
      </c>
      <c r="D26" s="2046" t="s">
        <v>1237</v>
      </c>
      <c r="E26" s="2016" t="s">
        <v>1238</v>
      </c>
      <c r="F26" s="2013">
        <f ca="1">INDIRECT("'数据-取费表'!q"&amp;$G$1)</f>
        <v>0.05</v>
      </c>
      <c r="G26" s="769"/>
      <c r="H26" s="1996" t="s">
        <v>1239</v>
      </c>
      <c r="I26" s="1997" t="s">
        <v>1240</v>
      </c>
      <c r="J26" s="2077">
        <f ca="1">IF(J5&lt;&gt;0,ROUND(J25*(1-((1+M28)/(1+M26))^M27)/(M26-M28),0),0)</f>
        <v>8222</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33.65</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2.5000000000000001E-2</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16636</v>
      </c>
      <c r="D29" s="2052"/>
      <c r="E29" s="2027"/>
      <c r="F29" s="2053"/>
      <c r="G29" s="2041"/>
      <c r="H29" s="2054" t="s">
        <v>1251</v>
      </c>
      <c r="I29" s="2084" t="s">
        <v>1252</v>
      </c>
      <c r="J29" s="2085">
        <f ca="1">ROUND(J26/(1+F40)^F41,0)</f>
        <v>6738</v>
      </c>
      <c r="K29" s="2086" t="s">
        <v>1253</v>
      </c>
      <c r="L29" s="2087"/>
      <c r="M29" s="2088">
        <f ca="1">INDIRECT("'数据-取费表'!k"&amp;$G$1)</f>
        <v>18997.900000000001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196</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60.36</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18.190000000000001</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38.97</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3.2</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2666.26</v>
      </c>
      <c r="G35" s="769"/>
      <c r="H35" s="2057"/>
      <c r="I35" s="2166"/>
      <c r="J35" s="2167"/>
      <c r="K35" s="2171"/>
      <c r="L35" s="2063"/>
      <c r="M35" s="2063"/>
    </row>
    <row r="36" spans="1:18" ht="18" customHeight="1">
      <c r="A36" s="2070" t="s">
        <v>913</v>
      </c>
      <c r="B36" s="2005" t="s">
        <v>1222</v>
      </c>
      <c r="C36" s="1011">
        <f ca="1">ROUND(C29*F36,2)</f>
        <v>116.45</v>
      </c>
      <c r="D36" s="2059" t="s">
        <v>1255</v>
      </c>
      <c r="E36" s="2005" t="s">
        <v>1194</v>
      </c>
      <c r="F36" s="2071">
        <f ca="1">INDIRECT("'数据-取费表'!Ak"&amp;$G$1)</f>
        <v>7.0000000000000001E-3</v>
      </c>
      <c r="G36" s="769"/>
      <c r="H36" s="2063"/>
      <c r="I36" s="2166"/>
      <c r="J36" s="2167"/>
      <c r="K36" s="2174"/>
      <c r="L36" s="2063"/>
      <c r="M36" s="2063"/>
    </row>
    <row r="37" spans="1:18" ht="18" customHeight="1">
      <c r="A37" s="2034" t="s">
        <v>959</v>
      </c>
      <c r="B37" s="2005" t="s">
        <v>1226</v>
      </c>
      <c r="C37" s="1011">
        <f ca="1">ROUND(C13*F37,2)</f>
        <v>15.8</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3.41</v>
      </c>
      <c r="D38" s="2052" t="s">
        <v>1230</v>
      </c>
      <c r="E38" s="2027" t="s">
        <v>1194</v>
      </c>
      <c r="F38" s="2028">
        <f ca="1">INDIRECT("'数据-取费表'!Am"&amp;$G$1)</f>
        <v>0.01</v>
      </c>
      <c r="G38" s="769"/>
      <c r="H38" s="2063"/>
      <c r="I38" s="2166"/>
      <c r="J38" s="2167"/>
      <c r="K38" s="2175"/>
      <c r="L38" s="2063"/>
      <c r="M38" s="2063"/>
    </row>
    <row r="39" spans="1:18" ht="24.6" customHeight="1">
      <c r="A39" s="2029" t="s">
        <v>1233</v>
      </c>
      <c r="B39" s="2073" t="s">
        <v>1234</v>
      </c>
      <c r="C39" s="2031">
        <f ca="1">C5-C30</f>
        <v>145</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523</v>
      </c>
      <c r="D40" s="2065" t="s">
        <v>1241</v>
      </c>
      <c r="E40" s="2005" t="s">
        <v>1242</v>
      </c>
      <c r="F40" s="2013">
        <f ca="1">INDIRECT("'数据-取费表'!I"&amp;$G$1)</f>
        <v>0.05</v>
      </c>
      <c r="G40" s="769"/>
      <c r="H40" s="2078">
        <f ca="1">C40/82</f>
        <v>6.3780487804878048</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4.08</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275</v>
      </c>
      <c r="D43" s="2086" t="s">
        <v>1258</v>
      </c>
      <c r="E43" s="2087" t="s">
        <v>1259</v>
      </c>
      <c r="F43" s="2088">
        <f ca="1">INDIRECT("'数据-取费表'!k"&amp;$G$1)</f>
        <v>18997.900000000001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859</v>
      </c>
      <c r="D46" s="2096" t="str">
        <f>C2</f>
        <v>万元</v>
      </c>
      <c r="E46" s="2089"/>
      <c r="F46" s="2089"/>
      <c r="I46" s="2178" t="s">
        <v>1262</v>
      </c>
      <c r="J46" s="2179"/>
      <c r="K46" s="2180"/>
      <c r="L46" s="2181">
        <f ca="1">IF(M47="住宅",0,IF(L48&gt;J51,L60,J60))</f>
        <v>435</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7261</v>
      </c>
      <c r="R47" s="2229" t="s">
        <v>1271</v>
      </c>
    </row>
    <row r="48" spans="1:18" s="769" customFormat="1" ht="27.75">
      <c r="A48" s="2101" t="s">
        <v>1272</v>
      </c>
      <c r="B48" s="1997" t="s">
        <v>1171</v>
      </c>
      <c r="C48" s="1012">
        <f ca="1">C49+C53+C55</f>
        <v>613</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435</v>
      </c>
      <c r="R48" s="2229" t="s">
        <v>1277</v>
      </c>
    </row>
    <row r="49" spans="1:18" s="769" customFormat="1">
      <c r="A49" s="2106" t="s">
        <v>1278</v>
      </c>
      <c r="B49" s="2107" t="s">
        <v>1279</v>
      </c>
      <c r="C49" s="2108">
        <f ca="1">ROUND(F49*F51*F50*(1-F52)/10000,0)</f>
        <v>613</v>
      </c>
      <c r="D49" s="2109" t="s">
        <v>1176</v>
      </c>
      <c r="E49" s="2110" t="s">
        <v>1280</v>
      </c>
      <c r="F49" s="2111">
        <v>1000</v>
      </c>
      <c r="G49" s="2112"/>
      <c r="H49" s="2105"/>
      <c r="I49" s="2191" t="s">
        <v>1281</v>
      </c>
      <c r="J49" s="2195">
        <v>2016</v>
      </c>
      <c r="K49" s="2193" t="s">
        <v>1282</v>
      </c>
      <c r="L49" s="2196"/>
      <c r="O49" s="2197" t="s">
        <v>1283</v>
      </c>
      <c r="P49" s="2190" t="s">
        <v>1284</v>
      </c>
      <c r="Q49" s="2229">
        <f ca="1">C29</f>
        <v>16636</v>
      </c>
      <c r="R49" s="2229" t="s">
        <v>1271</v>
      </c>
    </row>
    <row r="50" spans="1:18" s="769" customFormat="1">
      <c r="A50" s="2113"/>
      <c r="B50" s="2114"/>
      <c r="C50" s="2257"/>
      <c r="D50" s="2116"/>
      <c r="E50" s="2117" t="s">
        <v>1177</v>
      </c>
      <c r="F50" s="2118">
        <f ca="1">F7</f>
        <v>568</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12</v>
      </c>
      <c r="I51" s="2200" t="s">
        <v>1289</v>
      </c>
      <c r="J51" s="2201">
        <f>IF(J49="",J50,J49+J50-YEAR('数据-取费表'!B2))</f>
        <v>53</v>
      </c>
      <c r="K51" s="2202" t="s">
        <v>1290</v>
      </c>
      <c r="L51" s="2203">
        <f ca="1">ROUND(-PV(INDIRECT("'数据-取费表'!h"&amp;$G$1),J51,(C39-C13*C76),0),0)</f>
        <v>-19289</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37.729999999999997</v>
      </c>
      <c r="K53" s="3638" t="s">
        <v>1300</v>
      </c>
      <c r="L53" s="3639"/>
      <c r="O53" s="2189" t="s">
        <v>1122</v>
      </c>
      <c r="P53" s="2190" t="s">
        <v>1301</v>
      </c>
      <c r="Q53" s="2229">
        <f ca="1">Q47+Q48</f>
        <v>7696</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0.255</v>
      </c>
      <c r="K55" s="2214" t="s">
        <v>1305</v>
      </c>
      <c r="L55" s="2215"/>
      <c r="O55" s="2182" t="s">
        <v>1263</v>
      </c>
      <c r="P55" s="2183" t="s">
        <v>1264</v>
      </c>
      <c r="Q55" s="2228" t="s">
        <v>1265</v>
      </c>
      <c r="R55" s="2228" t="s">
        <v>1266</v>
      </c>
    </row>
    <row r="56" spans="1:18" s="769" customFormat="1" ht="24">
      <c r="A56" s="2126">
        <v>2</v>
      </c>
      <c r="B56" s="2127" t="s">
        <v>1187</v>
      </c>
      <c r="C56" s="414">
        <f ca="1">C13</f>
        <v>15804</v>
      </c>
      <c r="D56" s="2128"/>
      <c r="E56" s="2129"/>
      <c r="F56" s="2125"/>
      <c r="I56" s="2216" t="s">
        <v>1306</v>
      </c>
      <c r="J56" s="2217" t="s">
        <v>1307</v>
      </c>
      <c r="K56" s="2191" t="s">
        <v>1308</v>
      </c>
      <c r="L56" s="2194" t="str">
        <f ca="1">IF(L48&lt;J51,"——",L48-J53)</f>
        <v>——</v>
      </c>
      <c r="O56" s="2189" t="s">
        <v>1017</v>
      </c>
      <c r="P56" s="2190" t="s">
        <v>1270</v>
      </c>
      <c r="Q56" s="2229">
        <f ca="1">C40+J29</f>
        <v>7261</v>
      </c>
      <c r="R56" s="2229" t="s">
        <v>1271</v>
      </c>
    </row>
    <row r="57" spans="1:18" s="769" customFormat="1" ht="24">
      <c r="A57" s="2130"/>
      <c r="B57" s="2131" t="s">
        <v>1250</v>
      </c>
      <c r="C57" s="424">
        <f ca="1">C29</f>
        <v>16636</v>
      </c>
      <c r="D57" s="2132"/>
      <c r="E57" s="2133"/>
      <c r="F57" s="2134"/>
      <c r="I57" s="2218" t="s">
        <v>1309</v>
      </c>
      <c r="J57" s="2219">
        <f ca="1">IF(OR(M47="住宅",J51&lt;L48,J56="是"),"——",J51-L48)</f>
        <v>15.270000000000003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244</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106</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6654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32.69</v>
      </c>
      <c r="D60" s="2139" t="s">
        <v>1207</v>
      </c>
      <c r="E60" s="2131" t="s">
        <v>1194</v>
      </c>
      <c r="F60" s="2050">
        <f t="shared" ref="F60:F66" si="0">F32</f>
        <v>5.6000000000000001E-2</v>
      </c>
      <c r="I60" s="2221" t="s">
        <v>1318</v>
      </c>
      <c r="J60" s="2222">
        <f ca="1">IF(OR(M47="住宅",J51&lt;L48,J56="是"),"0",ROUND(J59/(1+J52)^J53,0))</f>
        <v>435</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70.06</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3.2</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7261</v>
      </c>
      <c r="R62" s="2229" t="s">
        <v>1302</v>
      </c>
    </row>
    <row r="63" spans="1:18" s="769" customFormat="1">
      <c r="A63" s="2047"/>
      <c r="B63" s="2142"/>
      <c r="C63" s="2068"/>
      <c r="D63" s="2143"/>
      <c r="E63" s="2131" t="s">
        <v>1220</v>
      </c>
      <c r="F63" s="2006">
        <f t="shared" ca="1" si="0"/>
        <v>2666.26</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116.45</v>
      </c>
      <c r="D64" s="2139" t="s">
        <v>1255</v>
      </c>
      <c r="E64" s="2131" t="s">
        <v>1194</v>
      </c>
      <c r="F64" s="2071">
        <f t="shared" ca="1" si="0"/>
        <v>7.0000000000000001E-3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15.8</v>
      </c>
      <c r="D65" s="2139" t="s">
        <v>1227</v>
      </c>
      <c r="E65" s="2131" t="s">
        <v>1194</v>
      </c>
      <c r="F65" s="2072">
        <f t="shared" ca="1" si="0"/>
        <v>1E-3</v>
      </c>
      <c r="I65" s="2224" t="s">
        <v>1331</v>
      </c>
      <c r="J65" s="2225">
        <v>40</v>
      </c>
      <c r="K65" s="2225">
        <v>30</v>
      </c>
      <c r="L65" s="2225">
        <v>50</v>
      </c>
      <c r="M65" s="2227">
        <v>0.02</v>
      </c>
      <c r="O65" s="2189" t="s">
        <v>1017</v>
      </c>
      <c r="P65" s="2190" t="s">
        <v>1270</v>
      </c>
      <c r="Q65" s="2229">
        <f ca="1">C40+J29</f>
        <v>7261</v>
      </c>
      <c r="R65" s="2229" t="s">
        <v>1271</v>
      </c>
    </row>
    <row r="66" spans="1:18" s="769" customFormat="1" ht="15.75">
      <c r="A66" s="2034" t="s">
        <v>962</v>
      </c>
      <c r="B66" s="2131" t="s">
        <v>1212</v>
      </c>
      <c r="C66" s="1011">
        <f ca="1">ROUND(C48*F66,2)</f>
        <v>6.13</v>
      </c>
      <c r="D66" s="2139" t="s">
        <v>1230</v>
      </c>
      <c r="E66" s="2131" t="s">
        <v>1194</v>
      </c>
      <c r="F66" s="2013">
        <f t="shared" ca="1" si="0"/>
        <v>0.01</v>
      </c>
      <c r="O66" s="2189" t="s">
        <v>1021</v>
      </c>
      <c r="P66" s="2190" t="s">
        <v>1311</v>
      </c>
      <c r="Q66" s="2229">
        <f ca="1">L60</f>
        <v>0</v>
      </c>
      <c r="R66" s="2229" t="s">
        <v>1312</v>
      </c>
    </row>
    <row r="67" spans="1:18" s="769" customFormat="1" ht="15.75">
      <c r="A67" s="2126" t="s">
        <v>1233</v>
      </c>
      <c r="B67" s="2231" t="s">
        <v>1234</v>
      </c>
      <c r="C67" s="1010">
        <f ca="1">C48-C58</f>
        <v>369</v>
      </c>
      <c r="D67" s="2138" t="s">
        <v>1235</v>
      </c>
      <c r="E67" s="2232"/>
      <c r="F67" s="2233"/>
      <c r="O67" s="2197" t="s">
        <v>1283</v>
      </c>
      <c r="P67" s="2190" t="s">
        <v>1315</v>
      </c>
      <c r="Q67" s="2253">
        <f ca="1">L51</f>
        <v>-19289</v>
      </c>
      <c r="R67" s="2229" t="s">
        <v>1332</v>
      </c>
    </row>
    <row r="68" spans="1:18" s="769" customFormat="1" ht="15.75">
      <c r="A68" s="2234" t="s">
        <v>1239</v>
      </c>
      <c r="B68" s="2235" t="s">
        <v>1256</v>
      </c>
      <c r="C68" s="2077">
        <f ca="1">ROUND(C67*(1-((1+F70)/(1+F68))^F69)/(F68-F70),0)</f>
        <v>1382</v>
      </c>
      <c r="D68" s="2141" t="s">
        <v>1241</v>
      </c>
      <c r="E68" s="2131" t="s">
        <v>1242</v>
      </c>
      <c r="F68" s="2013">
        <f ca="1">F40</f>
        <v>0.05</v>
      </c>
      <c r="O68" s="2197" t="s">
        <v>1287</v>
      </c>
      <c r="P68" s="2252" t="s">
        <v>1333</v>
      </c>
      <c r="Q68" s="2229">
        <f ca="1">ROUND(Q69-Q70*Q71,0)</f>
        <v>-961</v>
      </c>
      <c r="R68" s="2229" t="s">
        <v>1334</v>
      </c>
    </row>
    <row r="69" spans="1:18" s="769" customFormat="1">
      <c r="A69" s="2236"/>
      <c r="B69" s="2237"/>
      <c r="C69" s="2012"/>
      <c r="D69" s="2238" t="s">
        <v>1245</v>
      </c>
      <c r="E69" s="2131" t="s">
        <v>1246</v>
      </c>
      <c r="F69" s="2081">
        <f ca="1">F41</f>
        <v>4.08</v>
      </c>
      <c r="O69" s="2197" t="s">
        <v>1335</v>
      </c>
      <c r="P69" s="2252" t="s">
        <v>1336</v>
      </c>
      <c r="Q69" s="2229">
        <f ca="1">C39</f>
        <v>145</v>
      </c>
      <c r="R69" s="2229" t="s">
        <v>1271</v>
      </c>
    </row>
    <row r="70" spans="1:18" s="769" customFormat="1">
      <c r="A70" s="2239"/>
      <c r="B70" s="2240"/>
      <c r="C70" s="2031"/>
      <c r="D70" s="2143"/>
      <c r="E70" s="2131" t="s">
        <v>1249</v>
      </c>
      <c r="F70" s="2121">
        <v>2.5000000000000001E-2</v>
      </c>
      <c r="O70" s="2197" t="s">
        <v>1337</v>
      </c>
      <c r="P70" s="2252" t="s">
        <v>1338</v>
      </c>
      <c r="Q70" s="2229">
        <f ca="1">C13</f>
        <v>15804</v>
      </c>
      <c r="R70" s="2229" t="s">
        <v>1271</v>
      </c>
    </row>
    <row r="71" spans="1:18" s="769" customFormat="1">
      <c r="A71" s="2241" t="s">
        <v>1251</v>
      </c>
      <c r="B71" s="2242" t="s">
        <v>1257</v>
      </c>
      <c r="C71" s="2085">
        <f ca="1">ROUND(C68*10000/F71,0)</f>
        <v>727</v>
      </c>
      <c r="D71" s="2243" t="s">
        <v>1258</v>
      </c>
      <c r="E71" s="2244" t="s">
        <v>1259</v>
      </c>
      <c r="F71" s="2088">
        <f ca="1">F43</f>
        <v>18997.900000000001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1106</v>
      </c>
      <c r="D75" s="769"/>
      <c r="E75" s="769"/>
      <c r="F75" s="769"/>
      <c r="K75" s="2176"/>
      <c r="L75" s="769"/>
      <c r="O75" s="2189" t="s">
        <v>1122</v>
      </c>
      <c r="P75" s="2190" t="s">
        <v>1301</v>
      </c>
      <c r="Q75" s="2229">
        <f ca="1">Q65+Q66</f>
        <v>7261</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-6.6280000000000001</v>
      </c>
    </row>
    <row r="80" spans="1:18">
      <c r="B80" s="2246" t="s">
        <v>1348</v>
      </c>
      <c r="C80" s="457">
        <f ca="1">ROUND(C75/C39,3)</f>
        <v>7.6280000000000001</v>
      </c>
    </row>
    <row r="81" spans="2:3">
      <c r="B81" s="454" t="s">
        <v>1349</v>
      </c>
      <c r="C81" s="424"/>
    </row>
    <row r="82" spans="2:3">
      <c r="B82" s="456" t="s">
        <v>1098</v>
      </c>
      <c r="C82" s="458">
        <f ca="1">1-C83</f>
        <v>-29.218</v>
      </c>
    </row>
    <row r="83" spans="2:3">
      <c r="B83" s="456" t="s">
        <v>1099</v>
      </c>
      <c r="C83" s="457">
        <f ca="1">ROUND(C13/C40,3)</f>
        <v>30.218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0" t="s">
        <v>1173</v>
      </c>
      <c r="C6" s="2003">
        <f ca="1">ROUND(F6*F8*F7*(1-F9),0)</f>
        <v>0</v>
      </c>
      <c r="D6" s="2004" t="s">
        <v>1352</v>
      </c>
      <c r="E6" s="2005" t="s">
        <v>1175</v>
      </c>
      <c r="F6" s="2006">
        <f ca="1">INDIRECT("'数据-取费表'!u"&amp;$G$1)</f>
        <v>0</v>
      </c>
      <c r="G6" s="769"/>
      <c r="H6" s="2002" t="s">
        <v>909</v>
      </c>
      <c r="I6" s="3640" t="s">
        <v>1173</v>
      </c>
      <c r="J6" s="2077">
        <f ca="1">ROUND(M6*M8*M7*(1-M9),0)</f>
        <v>0</v>
      </c>
      <c r="K6" s="2150" t="s">
        <v>1353</v>
      </c>
      <c r="L6" s="2005" t="s">
        <v>1175</v>
      </c>
      <c r="M6" s="2006">
        <f ca="1">INDIRECT("'数据-取费表'!z"&amp;$G$1)</f>
        <v>0</v>
      </c>
    </row>
    <row r="7" spans="1:37" ht="18" customHeight="1">
      <c r="A7" s="2007"/>
      <c r="B7" s="3641"/>
      <c r="C7" s="2008"/>
      <c r="D7" s="2009"/>
      <c r="E7" s="2010" t="s">
        <v>1177</v>
      </c>
      <c r="F7" s="2006">
        <f ca="1">IF(INDIRECT("'数据-取费表'!ah"&amp;$G$1)="",INDIRECT("'数据-取费表'!k"&amp;$G$1),INDIRECT("'数据-取费表'!ah"&amp;$G$1))</f>
        <v>0</v>
      </c>
      <c r="G7" s="769"/>
      <c r="H7" s="2011"/>
      <c r="I7" s="3641"/>
      <c r="J7" s="2012"/>
      <c r="K7" s="2009"/>
      <c r="L7" s="2005" t="s">
        <v>1177</v>
      </c>
      <c r="M7" s="2006">
        <f ca="1">F7</f>
        <v>0</v>
      </c>
    </row>
    <row r="8" spans="1:37" ht="18" customHeight="1">
      <c r="A8" s="2011"/>
      <c r="B8" s="3641"/>
      <c r="C8" s="2012"/>
      <c r="D8" s="2009"/>
      <c r="E8" s="2005" t="s">
        <v>1178</v>
      </c>
      <c r="F8" s="2006">
        <f ca="1">INDIRECT("'数据-取费表'!ai"&amp;$G$1)</f>
        <v>0</v>
      </c>
      <c r="G8" s="769"/>
      <c r="H8" s="2011"/>
      <c r="I8" s="3641"/>
      <c r="J8" s="2012"/>
      <c r="K8" s="2009"/>
      <c r="L8" s="2005" t="s">
        <v>1178</v>
      </c>
      <c r="M8" s="2006">
        <f ca="1">INDIRECT("'数据-取费表'!ai"&amp;$G$1)</f>
        <v>0</v>
      </c>
    </row>
    <row r="9" spans="1:37" ht="18" customHeight="1">
      <c r="A9" s="2011"/>
      <c r="B9" s="3642"/>
      <c r="C9" s="2012"/>
      <c r="D9" s="2009"/>
      <c r="E9" s="2005" t="s">
        <v>1179</v>
      </c>
      <c r="F9" s="2013">
        <f ca="1">INDIRECT("'数据-取费表'!w"&amp;$G$1)</f>
        <v>0</v>
      </c>
      <c r="G9" s="769"/>
      <c r="H9" s="2011"/>
      <c r="I9" s="3642"/>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38" t="s">
        <v>1300</v>
      </c>
      <c r="L53" s="3639"/>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643" t="s">
        <v>1366</v>
      </c>
      <c r="K2" s="3644"/>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645" t="s">
        <v>1374</v>
      </c>
      <c r="K3" s="3646"/>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645" t="s">
        <v>1375</v>
      </c>
      <c r="K4" s="3646"/>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647" t="s">
        <v>1379</v>
      </c>
      <c r="B6" s="3648"/>
      <c r="C6" s="3649"/>
      <c r="D6" s="1823"/>
      <c r="E6" s="1824"/>
      <c r="F6" s="1825"/>
      <c r="G6" s="1826"/>
      <c r="H6" s="1814"/>
      <c r="I6" s="1911"/>
      <c r="J6" s="3656">
        <v>1</v>
      </c>
      <c r="K6" s="3659"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656"/>
      <c r="K7" s="3660"/>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650" t="s">
        <v>1393</v>
      </c>
      <c r="C8" s="3651"/>
      <c r="D8" s="1837" t="s">
        <v>1394</v>
      </c>
      <c r="E8" s="1838" t="s">
        <v>1395</v>
      </c>
      <c r="F8" s="1839" t="s">
        <v>1396</v>
      </c>
      <c r="G8" s="1840"/>
      <c r="H8" s="1814"/>
      <c r="I8" s="1911"/>
      <c r="J8" s="3656"/>
      <c r="K8" s="3660"/>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650" t="s">
        <v>1399</v>
      </c>
      <c r="C9" s="3651"/>
      <c r="D9" s="1837">
        <f>ROUND(D6*E9,0)</f>
        <v>0</v>
      </c>
      <c r="E9" s="1841"/>
      <c r="F9" s="1842" t="s">
        <v>1400</v>
      </c>
      <c r="G9" s="1826"/>
      <c r="H9" s="1814"/>
      <c r="I9" s="1911"/>
      <c r="J9" s="3656"/>
      <c r="K9" s="3660"/>
      <c r="L9" s="1921" t="s">
        <v>1401</v>
      </c>
      <c r="M9" s="1922"/>
      <c r="N9" s="1819"/>
      <c r="O9" s="1923"/>
      <c r="P9" s="1923"/>
      <c r="Q9" s="1852">
        <v>365</v>
      </c>
      <c r="R9" s="1957">
        <f t="shared" si="0"/>
        <v>0</v>
      </c>
      <c r="S9" s="1950"/>
      <c r="T9" s="1950"/>
      <c r="U9" s="1950"/>
      <c r="V9" s="1911"/>
    </row>
    <row r="10" spans="1:22" s="1795" customFormat="1" ht="13.15" customHeight="1">
      <c r="A10" s="1834">
        <v>2</v>
      </c>
      <c r="B10" s="3650" t="s">
        <v>1402</v>
      </c>
      <c r="C10" s="3651"/>
      <c r="D10" s="1837">
        <f>ROUND(D6*E10,0)</f>
        <v>0</v>
      </c>
      <c r="E10" s="1841"/>
      <c r="F10" s="1842" t="s">
        <v>1403</v>
      </c>
      <c r="G10" s="1826"/>
      <c r="H10" s="1814"/>
      <c r="I10" s="1911"/>
      <c r="J10" s="3656"/>
      <c r="K10" s="3660"/>
      <c r="L10" s="1921" t="s">
        <v>1404</v>
      </c>
      <c r="M10" s="1922"/>
      <c r="N10" s="1819"/>
      <c r="O10" s="1923"/>
      <c r="P10" s="1923"/>
      <c r="Q10" s="1852">
        <v>365</v>
      </c>
      <c r="R10" s="1957">
        <f t="shared" si="0"/>
        <v>0</v>
      </c>
      <c r="S10" s="1950"/>
      <c r="T10" s="1950"/>
      <c r="U10" s="1950"/>
      <c r="V10" s="1911"/>
    </row>
    <row r="11" spans="1:22" s="1795" customFormat="1" ht="13.15" customHeight="1">
      <c r="A11" s="1834">
        <v>3</v>
      </c>
      <c r="B11" s="3650" t="s">
        <v>1405</v>
      </c>
      <c r="C11" s="3651"/>
      <c r="D11" s="1837">
        <f>D12+D14+D15+D16</f>
        <v>0</v>
      </c>
      <c r="E11" s="1843" t="e">
        <f>D11/D6</f>
        <v>#DIV/0!</v>
      </c>
      <c r="F11" s="1839"/>
      <c r="G11" s="1840"/>
      <c r="H11" s="1814"/>
      <c r="I11" s="1911"/>
      <c r="J11" s="3656"/>
      <c r="K11" s="3660"/>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652" t="s">
        <v>1408</v>
      </c>
      <c r="C12" s="3653"/>
      <c r="D12" s="1847">
        <f>ROUND(D13*1.2%*(1-30%),0)</f>
        <v>0</v>
      </c>
      <c r="E12" s="1848">
        <v>1.2E-2</v>
      </c>
      <c r="F12" s="1839" t="s">
        <v>1409</v>
      </c>
      <c r="G12" s="1840"/>
      <c r="H12" s="1814"/>
      <c r="I12" s="1911"/>
      <c r="J12" s="3656"/>
      <c r="K12" s="3660"/>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656"/>
      <c r="K13" s="3660"/>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652" t="s">
        <v>1414</v>
      </c>
      <c r="C14" s="3653"/>
      <c r="D14" s="1847">
        <f>ROUND(E14*B5/10000,0)</f>
        <v>0</v>
      </c>
      <c r="E14" s="1852"/>
      <c r="F14" s="1839" t="s">
        <v>1415</v>
      </c>
      <c r="G14" s="1840"/>
      <c r="H14" s="1814"/>
      <c r="I14" s="1911"/>
      <c r="J14" s="3656"/>
      <c r="K14" s="3661"/>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652" t="s">
        <v>1418</v>
      </c>
      <c r="C15" s="3653"/>
      <c r="D15" s="1847">
        <f>ROUND(D6*E15,0)</f>
        <v>0</v>
      </c>
      <c r="E15" s="1848">
        <v>5.5E-2</v>
      </c>
      <c r="F15" s="1839" t="s">
        <v>1419</v>
      </c>
      <c r="G15" s="1826"/>
      <c r="H15" s="1814"/>
      <c r="I15" s="1911"/>
      <c r="J15" s="3656">
        <v>2</v>
      </c>
      <c r="K15" s="3659"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652" t="s">
        <v>1426</v>
      </c>
      <c r="C16" s="3653"/>
      <c r="D16" s="1853">
        <f>D6*E16</f>
        <v>0</v>
      </c>
      <c r="E16" s="1854"/>
      <c r="F16" s="1842" t="s">
        <v>1427</v>
      </c>
      <c r="G16" s="1826"/>
      <c r="H16" s="1814"/>
      <c r="I16" s="1911"/>
      <c r="J16" s="3656"/>
      <c r="K16" s="3660"/>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654" t="s">
        <v>1429</v>
      </c>
      <c r="C17" s="3655"/>
      <c r="D17" s="1856">
        <f>ROUND(D6*E17,0)</f>
        <v>0</v>
      </c>
      <c r="E17" s="1857"/>
      <c r="F17" s="1858" t="s">
        <v>1430</v>
      </c>
      <c r="G17" s="1826"/>
      <c r="H17" s="1814"/>
      <c r="I17" s="1911"/>
      <c r="J17" s="3656"/>
      <c r="K17" s="3660"/>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656"/>
      <c r="K18" s="3660"/>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656"/>
      <c r="K19" s="3661"/>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56">
        <v>3</v>
      </c>
      <c r="K20" s="3659"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656"/>
      <c r="K21" s="3660"/>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656"/>
      <c r="K22" s="3660"/>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656"/>
      <c r="K23" s="3660"/>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656"/>
      <c r="K24" s="3661"/>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657">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658"/>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643" t="s">
        <v>1366</v>
      </c>
      <c r="K32" s="3644"/>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645" t="s">
        <v>1374</v>
      </c>
      <c r="K33" s="3646"/>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645" t="s">
        <v>1375</v>
      </c>
      <c r="K34" s="3646"/>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656">
        <v>1</v>
      </c>
      <c r="K36" s="3659"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656"/>
      <c r="K37" s="3660"/>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56"/>
      <c r="K38" s="3660"/>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656"/>
      <c r="K39" s="3660"/>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656"/>
      <c r="K40" s="3661"/>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657">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658"/>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396996</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33023</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662" t="s">
        <v>1480</v>
      </c>
      <c r="C5" s="3663"/>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389300</v>
      </c>
      <c r="C6" s="1778" t="s">
        <v>1476</v>
      </c>
      <c r="D6" s="1782"/>
      <c r="E6" s="1790">
        <f>IF(OR(A6=0,F6="否"),0,'数据-取费表'!K6+'数据-取费表'!S6)</f>
        <v>99661.53</v>
      </c>
      <c r="F6" s="1791" t="s">
        <v>1483</v>
      </c>
      <c r="G6" s="1775"/>
      <c r="H6" s="1775"/>
      <c r="I6" s="1775"/>
      <c r="J6" s="1775"/>
      <c r="K6" s="1775"/>
      <c r="L6" s="1775"/>
      <c r="M6" s="1775"/>
      <c r="N6" s="1775"/>
      <c r="O6" s="1775"/>
      <c r="P6" s="1775"/>
      <c r="Q6" s="1775"/>
      <c r="R6" s="1775"/>
      <c r="S6" s="1775"/>
    </row>
    <row r="7" spans="1:22">
      <c r="A7" s="1789" t="str">
        <f>'数据-取费表'!AN7</f>
        <v>收益法-车库</v>
      </c>
      <c r="B7" s="942">
        <f ca="1">IF(F7="是",'数据-取费表'!AO7,0)</f>
        <v>7696</v>
      </c>
      <c r="C7" s="1778" t="s">
        <v>1476</v>
      </c>
      <c r="D7" s="1782"/>
      <c r="E7" s="1790">
        <f>IF(OR(A7=0,F7="否"),0,'数据-取费表'!K7+'数据-取费表'!S7)</f>
        <v>20556.89</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664" t="s">
        <v>1490</v>
      </c>
      <c r="D4" s="3665"/>
      <c r="E4" s="3666" t="s">
        <v>1491</v>
      </c>
      <c r="F4" s="3667"/>
      <c r="G4" s="3664" t="s">
        <v>1492</v>
      </c>
      <c r="H4" s="3665"/>
      <c r="I4" s="3664" t="s">
        <v>1493</v>
      </c>
      <c r="J4" s="3665"/>
      <c r="K4" s="1706"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694" t="s">
        <v>1492</v>
      </c>
      <c r="AC4" s="3694" t="s">
        <v>1493</v>
      </c>
    </row>
    <row r="5" spans="1:29" ht="15">
      <c r="A5" s="1098"/>
      <c r="B5" s="1099"/>
      <c r="C5" s="3668" t="s">
        <v>1496</v>
      </c>
      <c r="D5" s="3669"/>
      <c r="E5" s="3670" t="s">
        <v>1497</v>
      </c>
      <c r="F5" s="3671"/>
      <c r="G5" s="3668" t="s">
        <v>1498</v>
      </c>
      <c r="H5" s="3669"/>
      <c r="I5" s="3668" t="s">
        <v>1499</v>
      </c>
      <c r="J5" s="3669"/>
      <c r="K5" s="1707"/>
      <c r="L5" s="1244"/>
      <c r="M5" s="1245"/>
      <c r="N5" s="1245"/>
      <c r="O5" s="1245"/>
      <c r="P5" s="3699"/>
      <c r="Q5" s="3700"/>
      <c r="R5" s="3705"/>
      <c r="S5" s="3706"/>
      <c r="T5" s="3705"/>
      <c r="U5" s="3706"/>
      <c r="V5" s="3709"/>
      <c r="W5" s="3709"/>
      <c r="X5" s="1287"/>
      <c r="Y5" s="3705"/>
      <c r="Z5" s="3706"/>
      <c r="AA5" s="3695"/>
      <c r="AB5" s="3695"/>
      <c r="AC5" s="3695"/>
    </row>
    <row r="6" spans="1:29" ht="15">
      <c r="A6" s="1100"/>
      <c r="B6" s="1101"/>
      <c r="C6" s="3672" t="s">
        <v>1500</v>
      </c>
      <c r="D6" s="3673"/>
      <c r="E6" s="3674" t="s">
        <v>1500</v>
      </c>
      <c r="F6" s="3675"/>
      <c r="G6" s="3672" t="s">
        <v>1500</v>
      </c>
      <c r="H6" s="3673"/>
      <c r="I6" s="3672" t="s">
        <v>1500</v>
      </c>
      <c r="J6" s="3673"/>
      <c r="K6" s="1707" t="s">
        <v>1501</v>
      </c>
      <c r="L6" s="1244"/>
      <c r="M6" s="1245"/>
      <c r="N6" s="1245"/>
      <c r="O6" s="1245"/>
      <c r="P6" s="3701"/>
      <c r="Q6" s="3702"/>
      <c r="R6" s="3705"/>
      <c r="S6" s="3706"/>
      <c r="T6" s="3707"/>
      <c r="U6" s="3708"/>
      <c r="V6" s="3709"/>
      <c r="W6" s="3709"/>
      <c r="X6" s="1287"/>
      <c r="Y6" s="3707"/>
      <c r="Z6" s="3708"/>
      <c r="AA6" s="3696"/>
      <c r="AB6" s="3696"/>
      <c r="AC6" s="3696"/>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76" t="s">
        <v>1503</v>
      </c>
      <c r="Q7" s="3677"/>
      <c r="R7" s="1288" t="s">
        <v>1504</v>
      </c>
      <c r="S7" s="1289">
        <f t="shared" ref="S7:S15" si="0">F7</f>
        <v>0</v>
      </c>
      <c r="T7" s="1288" t="s">
        <v>1504</v>
      </c>
      <c r="U7" s="1289">
        <f t="shared" ref="U7:U15" si="1">H7</f>
        <v>0</v>
      </c>
      <c r="V7" s="1288" t="s">
        <v>1504</v>
      </c>
      <c r="W7" s="1289">
        <f t="shared" ref="W7:W15" si="2">J7</f>
        <v>0</v>
      </c>
      <c r="X7" s="1290"/>
      <c r="Y7" s="3676" t="s">
        <v>1503</v>
      </c>
      <c r="Z7" s="3678"/>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76" t="s">
        <v>1506</v>
      </c>
      <c r="Q8" s="3678"/>
      <c r="R8" s="1288" t="s">
        <v>1504</v>
      </c>
      <c r="S8" s="1289">
        <f t="shared" si="0"/>
        <v>100</v>
      </c>
      <c r="T8" s="1288" t="s">
        <v>1504</v>
      </c>
      <c r="U8" s="1289">
        <f t="shared" si="1"/>
        <v>100</v>
      </c>
      <c r="V8" s="1288" t="s">
        <v>1504</v>
      </c>
      <c r="W8" s="1289">
        <f t="shared" si="2"/>
        <v>100</v>
      </c>
      <c r="X8" s="1290"/>
      <c r="Y8" s="3676" t="s">
        <v>1506</v>
      </c>
      <c r="Z8" s="3678"/>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84"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84"/>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84"/>
      <c r="Q11" s="1292" t="str">
        <f t="shared" si="6"/>
        <v>容积率</v>
      </c>
      <c r="R11" s="1288" t="s">
        <v>1504</v>
      </c>
      <c r="S11" s="1289" t="e">
        <f t="shared" si="0"/>
        <v>#N/A</v>
      </c>
      <c r="T11" s="1288" t="s">
        <v>1504</v>
      </c>
      <c r="U11" s="1289" t="e">
        <f t="shared" si="1"/>
        <v>#N/A</v>
      </c>
      <c r="V11" s="1288" t="s">
        <v>1504</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84"/>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84"/>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84"/>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85" t="s">
        <v>1515</v>
      </c>
      <c r="Q15" s="672" t="str">
        <f t="shared" si="6"/>
        <v>居住社区成熟度</v>
      </c>
      <c r="R15" s="1293" t="s">
        <v>1504</v>
      </c>
      <c r="S15" s="1294">
        <f t="shared" si="0"/>
        <v>100</v>
      </c>
      <c r="T15" s="1293" t="s">
        <v>1504</v>
      </c>
      <c r="U15" s="1294">
        <f t="shared" si="1"/>
        <v>100</v>
      </c>
      <c r="V15" s="1293" t="s">
        <v>1504</v>
      </c>
      <c r="W15" s="1294">
        <f t="shared" si="2"/>
        <v>100</v>
      </c>
      <c r="X15" s="1287"/>
      <c r="Y15" s="3690"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86"/>
      <c r="Q16" s="672"/>
      <c r="R16" s="1293"/>
      <c r="S16" s="1294"/>
      <c r="T16" s="1293"/>
      <c r="U16" s="1294"/>
      <c r="V16" s="1293"/>
      <c r="W16" s="1294"/>
      <c r="X16" s="1287"/>
      <c r="Y16" s="3691"/>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86"/>
      <c r="Q17" s="672" t="str">
        <f>B17</f>
        <v>交通便捷度</v>
      </c>
      <c r="R17" s="1293" t="s">
        <v>1504</v>
      </c>
      <c r="S17" s="1294">
        <f>F17</f>
        <v>100</v>
      </c>
      <c r="T17" s="1293" t="s">
        <v>1504</v>
      </c>
      <c r="U17" s="1294">
        <f>H17</f>
        <v>100</v>
      </c>
      <c r="V17" s="1293" t="s">
        <v>1504</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86"/>
      <c r="Q18" s="672"/>
      <c r="R18" s="1293"/>
      <c r="S18" s="1294"/>
      <c r="T18" s="1293"/>
      <c r="U18" s="1294"/>
      <c r="V18" s="1293"/>
      <c r="W18" s="1294"/>
      <c r="X18" s="1287"/>
      <c r="Y18" s="3691"/>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86"/>
      <c r="Q19" s="672" t="str">
        <f>B19</f>
        <v>公共配套设施</v>
      </c>
      <c r="R19" s="1293" t="s">
        <v>1504</v>
      </c>
      <c r="S19" s="1294">
        <f>F19</f>
        <v>100</v>
      </c>
      <c r="T19" s="1293" t="s">
        <v>1504</v>
      </c>
      <c r="U19" s="1294">
        <f>H19</f>
        <v>100</v>
      </c>
      <c r="V19" s="1293" t="s">
        <v>1504</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86"/>
      <c r="Q20" s="672"/>
      <c r="R20" s="1293"/>
      <c r="S20" s="1294"/>
      <c r="T20" s="1293"/>
      <c r="U20" s="1294"/>
      <c r="V20" s="1293"/>
      <c r="W20" s="1294"/>
      <c r="X20" s="1287"/>
      <c r="Y20" s="3691"/>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86"/>
      <c r="Q21" s="672" t="str">
        <f>B21</f>
        <v>基础设施水平</v>
      </c>
      <c r="R21" s="1293" t="s">
        <v>1504</v>
      </c>
      <c r="S21" s="1294">
        <f>F21</f>
        <v>100</v>
      </c>
      <c r="T21" s="1293" t="s">
        <v>1504</v>
      </c>
      <c r="U21" s="1294">
        <f>H21</f>
        <v>100</v>
      </c>
      <c r="V21" s="1293" t="s">
        <v>1504</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86"/>
      <c r="Q22" s="672"/>
      <c r="R22" s="1293"/>
      <c r="S22" s="1294"/>
      <c r="T22" s="1293"/>
      <c r="U22" s="1294"/>
      <c r="V22" s="1293"/>
      <c r="W22" s="1294"/>
      <c r="X22" s="1287"/>
      <c r="Y22" s="3691"/>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86"/>
      <c r="Q23" s="672" t="str">
        <f>B23</f>
        <v>自然及人文环境</v>
      </c>
      <c r="R23" s="1293" t="s">
        <v>1504</v>
      </c>
      <c r="S23" s="1294">
        <f>F23</f>
        <v>100</v>
      </c>
      <c r="T23" s="1293" t="s">
        <v>1504</v>
      </c>
      <c r="U23" s="1294">
        <f>H23</f>
        <v>100</v>
      </c>
      <c r="V23" s="1293" t="s">
        <v>1504</v>
      </c>
      <c r="W23" s="1294">
        <f>J23</f>
        <v>100</v>
      </c>
      <c r="X23" s="1287"/>
      <c r="Y23" s="3691"/>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86"/>
      <c r="Q24" s="672"/>
      <c r="R24" s="1293"/>
      <c r="S24" s="1294"/>
      <c r="T24" s="1293"/>
      <c r="U24" s="1294"/>
      <c r="V24" s="1293"/>
      <c r="W24" s="1294"/>
      <c r="X24" s="1287"/>
      <c r="Y24" s="3691"/>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86"/>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91"/>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86"/>
      <c r="Q26" s="672" t="str">
        <f t="shared" si="11"/>
        <v>朝向</v>
      </c>
      <c r="R26" s="1293" t="s">
        <v>1504</v>
      </c>
      <c r="S26" s="1294">
        <f t="shared" si="12"/>
        <v>100</v>
      </c>
      <c r="T26" s="1293" t="s">
        <v>1504</v>
      </c>
      <c r="U26" s="1294">
        <f t="shared" si="13"/>
        <v>100</v>
      </c>
      <c r="V26" s="1293" t="s">
        <v>1504</v>
      </c>
      <c r="W26" s="1294">
        <f t="shared" si="14"/>
        <v>100</v>
      </c>
      <c r="X26" s="1287"/>
      <c r="Y26" s="3691"/>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86"/>
      <c r="Q27" s="1292">
        <f t="shared" si="11"/>
        <v>111</v>
      </c>
      <c r="R27" s="1288" t="s">
        <v>1504</v>
      </c>
      <c r="S27" s="1289">
        <f t="shared" si="12"/>
        <v>100</v>
      </c>
      <c r="T27" s="1288" t="s">
        <v>1504</v>
      </c>
      <c r="U27" s="1289">
        <f t="shared" si="13"/>
        <v>100</v>
      </c>
      <c r="V27" s="1288" t="s">
        <v>1504</v>
      </c>
      <c r="W27" s="1289">
        <f t="shared" si="14"/>
        <v>100</v>
      </c>
      <c r="X27" s="1290"/>
      <c r="Y27" s="3691"/>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86"/>
      <c r="Q28" s="672">
        <f t="shared" si="11"/>
        <v>111</v>
      </c>
      <c r="R28" s="1293" t="s">
        <v>1504</v>
      </c>
      <c r="S28" s="1294">
        <f t="shared" si="12"/>
        <v>100</v>
      </c>
      <c r="T28" s="1293" t="s">
        <v>1504</v>
      </c>
      <c r="U28" s="1294">
        <f t="shared" si="13"/>
        <v>100</v>
      </c>
      <c r="V28" s="1293" t="s">
        <v>1504</v>
      </c>
      <c r="W28" s="1294">
        <f t="shared" si="14"/>
        <v>100</v>
      </c>
      <c r="X28" s="1287"/>
      <c r="Y28" s="3691"/>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86"/>
      <c r="Q29" s="672">
        <f t="shared" si="11"/>
        <v>111</v>
      </c>
      <c r="R29" s="1293" t="s">
        <v>1504</v>
      </c>
      <c r="S29" s="1294">
        <f t="shared" si="12"/>
        <v>100</v>
      </c>
      <c r="T29" s="1293" t="s">
        <v>1504</v>
      </c>
      <c r="U29" s="1294">
        <f t="shared" si="13"/>
        <v>100</v>
      </c>
      <c r="V29" s="1293" t="s">
        <v>1504</v>
      </c>
      <c r="W29" s="1294">
        <f t="shared" si="14"/>
        <v>100</v>
      </c>
      <c r="X29" s="1287"/>
      <c r="Y29" s="3691"/>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86"/>
      <c r="Q30" s="672">
        <f t="shared" si="11"/>
        <v>111</v>
      </c>
      <c r="R30" s="1293" t="s">
        <v>1504</v>
      </c>
      <c r="S30" s="1294">
        <f t="shared" si="12"/>
        <v>100</v>
      </c>
      <c r="T30" s="1293" t="s">
        <v>1504</v>
      </c>
      <c r="U30" s="1294">
        <f t="shared" si="13"/>
        <v>100</v>
      </c>
      <c r="V30" s="1293" t="s">
        <v>1504</v>
      </c>
      <c r="W30" s="1294">
        <f t="shared" si="14"/>
        <v>100</v>
      </c>
      <c r="X30" s="1287"/>
      <c r="Y30" s="3691"/>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86"/>
      <c r="Q31" s="672">
        <f t="shared" si="11"/>
        <v>111</v>
      </c>
      <c r="R31" s="1293" t="s">
        <v>1504</v>
      </c>
      <c r="S31" s="1294">
        <f t="shared" si="12"/>
        <v>100</v>
      </c>
      <c r="T31" s="1293" t="s">
        <v>1504</v>
      </c>
      <c r="U31" s="1294">
        <f t="shared" si="13"/>
        <v>100</v>
      </c>
      <c r="V31" s="1293" t="s">
        <v>1504</v>
      </c>
      <c r="W31" s="1294">
        <f t="shared" si="14"/>
        <v>100</v>
      </c>
      <c r="X31" s="1287"/>
      <c r="Y31" s="3691"/>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87" t="s">
        <v>1524</v>
      </c>
      <c r="Q32" s="672" t="str">
        <f t="shared" si="11"/>
        <v>建筑类型</v>
      </c>
      <c r="R32" s="1293" t="s">
        <v>1504</v>
      </c>
      <c r="S32" s="1294">
        <f t="shared" si="12"/>
        <v>100</v>
      </c>
      <c r="T32" s="1293" t="s">
        <v>1504</v>
      </c>
      <c r="U32" s="1294">
        <f t="shared" si="13"/>
        <v>100</v>
      </c>
      <c r="V32" s="1293" t="s">
        <v>1504</v>
      </c>
      <c r="W32" s="1294">
        <f t="shared" si="14"/>
        <v>100</v>
      </c>
      <c r="X32" s="1287"/>
      <c r="Y32" s="3692"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88"/>
      <c r="Q33" s="1521" t="str">
        <f t="shared" si="11"/>
        <v>项目建筑规模</v>
      </c>
      <c r="R33" s="1295" t="s">
        <v>1504</v>
      </c>
      <c r="S33" s="1296" t="e">
        <f t="shared" si="12"/>
        <v>#N/A</v>
      </c>
      <c r="T33" s="1295" t="s">
        <v>1504</v>
      </c>
      <c r="U33" s="1296" t="e">
        <f t="shared" si="13"/>
        <v>#N/A</v>
      </c>
      <c r="V33" s="1295" t="s">
        <v>1504</v>
      </c>
      <c r="W33" s="1296" t="e">
        <f t="shared" si="14"/>
        <v>#N/A</v>
      </c>
      <c r="X33" s="1297"/>
      <c r="Y33" s="3692"/>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88"/>
      <c r="Q34" s="672" t="str">
        <f t="shared" si="11"/>
        <v>建筑结构</v>
      </c>
      <c r="R34" s="1293" t="s">
        <v>1504</v>
      </c>
      <c r="S34" s="1294">
        <f t="shared" si="12"/>
        <v>100</v>
      </c>
      <c r="T34" s="1293" t="s">
        <v>1504</v>
      </c>
      <c r="U34" s="1294">
        <f t="shared" si="13"/>
        <v>100</v>
      </c>
      <c r="V34" s="1293" t="s">
        <v>1504</v>
      </c>
      <c r="W34" s="1294">
        <f t="shared" si="14"/>
        <v>100</v>
      </c>
      <c r="X34" s="1287"/>
      <c r="Y34" s="3692"/>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88"/>
      <c r="Q35" s="672" t="str">
        <f t="shared" si="11"/>
        <v>建筑品质</v>
      </c>
      <c r="R35" s="1293" t="s">
        <v>1504</v>
      </c>
      <c r="S35" s="1294">
        <f t="shared" si="12"/>
        <v>100</v>
      </c>
      <c r="T35" s="1293" t="s">
        <v>1504</v>
      </c>
      <c r="U35" s="1294">
        <f t="shared" si="13"/>
        <v>100</v>
      </c>
      <c r="V35" s="1293" t="s">
        <v>1504</v>
      </c>
      <c r="W35" s="1294">
        <f t="shared" si="14"/>
        <v>100</v>
      </c>
      <c r="X35" s="1287"/>
      <c r="Y35" s="3692"/>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88"/>
      <c r="Q36" s="672" t="str">
        <f t="shared" si="11"/>
        <v>公共部分装修</v>
      </c>
      <c r="R36" s="1293" t="s">
        <v>1504</v>
      </c>
      <c r="S36" s="1294">
        <f t="shared" si="12"/>
        <v>100</v>
      </c>
      <c r="T36" s="1293" t="s">
        <v>1504</v>
      </c>
      <c r="U36" s="1294">
        <f t="shared" si="13"/>
        <v>100</v>
      </c>
      <c r="V36" s="1293" t="s">
        <v>1504</v>
      </c>
      <c r="W36" s="1294">
        <f t="shared" si="14"/>
        <v>100</v>
      </c>
      <c r="X36" s="1287"/>
      <c r="Y36" s="3692"/>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88"/>
      <c r="Q37" s="1292" t="str">
        <f t="shared" si="11"/>
        <v>成新度</v>
      </c>
      <c r="R37" s="1288" t="s">
        <v>1504</v>
      </c>
      <c r="S37" s="1289" t="e">
        <f t="shared" si="12"/>
        <v>#N/A</v>
      </c>
      <c r="T37" s="1288" t="s">
        <v>1504</v>
      </c>
      <c r="U37" s="1289" t="e">
        <f t="shared" si="13"/>
        <v>#N/A</v>
      </c>
      <c r="V37" s="1288" t="s">
        <v>1504</v>
      </c>
      <c r="W37" s="1289" t="e">
        <f t="shared" si="14"/>
        <v>#N/A</v>
      </c>
      <c r="X37" s="1290"/>
      <c r="Y37" s="3692"/>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88" t="s">
        <v>1524</v>
      </c>
      <c r="Q38" s="672" t="str">
        <f t="shared" si="11"/>
        <v>物业管理</v>
      </c>
      <c r="R38" s="1293" t="s">
        <v>1504</v>
      </c>
      <c r="S38" s="1294">
        <f t="shared" si="12"/>
        <v>100</v>
      </c>
      <c r="T38" s="1293" t="s">
        <v>1504</v>
      </c>
      <c r="U38" s="1294">
        <f t="shared" si="13"/>
        <v>100</v>
      </c>
      <c r="V38" s="1293" t="s">
        <v>1504</v>
      </c>
      <c r="W38" s="1294">
        <f t="shared" si="14"/>
        <v>100</v>
      </c>
      <c r="X38" s="1287"/>
      <c r="Y38" s="3692"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88"/>
      <c r="Q39" s="672" t="str">
        <f t="shared" si="11"/>
        <v>市政基础设施</v>
      </c>
      <c r="R39" s="1293" t="s">
        <v>1504</v>
      </c>
      <c r="S39" s="1294">
        <f t="shared" si="12"/>
        <v>100</v>
      </c>
      <c r="T39" s="1293" t="s">
        <v>1504</v>
      </c>
      <c r="U39" s="1294">
        <f t="shared" si="13"/>
        <v>100</v>
      </c>
      <c r="V39" s="1293" t="s">
        <v>1504</v>
      </c>
      <c r="W39" s="1294">
        <f t="shared" si="14"/>
        <v>100</v>
      </c>
      <c r="X39" s="1287"/>
      <c r="Y39" s="3692"/>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88"/>
      <c r="Q40" s="672" t="str">
        <f t="shared" si="11"/>
        <v>房型</v>
      </c>
      <c r="R40" s="1293" t="s">
        <v>1504</v>
      </c>
      <c r="S40" s="1294">
        <f t="shared" si="12"/>
        <v>100</v>
      </c>
      <c r="T40" s="1293" t="s">
        <v>1504</v>
      </c>
      <c r="U40" s="1294">
        <f t="shared" si="13"/>
        <v>100</v>
      </c>
      <c r="V40" s="1293" t="s">
        <v>1504</v>
      </c>
      <c r="W40" s="1294">
        <f t="shared" si="14"/>
        <v>100</v>
      </c>
      <c r="X40" s="1287"/>
      <c r="Y40" s="3692"/>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88"/>
      <c r="Q41" s="1521" t="str">
        <f t="shared" si="11"/>
        <v>单套/主力户型建筑面积</v>
      </c>
      <c r="R41" s="1295" t="s">
        <v>1504</v>
      </c>
      <c r="S41" s="1296">
        <f t="shared" si="12"/>
        <v>100</v>
      </c>
      <c r="T41" s="1295" t="s">
        <v>1504</v>
      </c>
      <c r="U41" s="1296">
        <f t="shared" si="13"/>
        <v>100</v>
      </c>
      <c r="V41" s="1295" t="s">
        <v>1504</v>
      </c>
      <c r="W41" s="1296">
        <f t="shared" si="14"/>
        <v>100</v>
      </c>
      <c r="X41" s="1297"/>
      <c r="Y41" s="3692"/>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88"/>
      <c r="Q42" s="672" t="str">
        <f t="shared" si="11"/>
        <v>内部装修</v>
      </c>
      <c r="R42" s="1293" t="s">
        <v>1504</v>
      </c>
      <c r="S42" s="1294">
        <f t="shared" si="12"/>
        <v>100</v>
      </c>
      <c r="T42" s="1293" t="s">
        <v>1504</v>
      </c>
      <c r="U42" s="1294">
        <f t="shared" si="13"/>
        <v>100</v>
      </c>
      <c r="V42" s="1293" t="s">
        <v>1504</v>
      </c>
      <c r="W42" s="1294">
        <f t="shared" si="14"/>
        <v>100</v>
      </c>
      <c r="X42" s="1287"/>
      <c r="Y42" s="3692"/>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88"/>
      <c r="Q43" s="672" t="str">
        <f t="shared" si="11"/>
        <v>内部装修维护情况</v>
      </c>
      <c r="R43" s="1293" t="s">
        <v>1504</v>
      </c>
      <c r="S43" s="1294">
        <f t="shared" si="12"/>
        <v>100</v>
      </c>
      <c r="T43" s="1293" t="s">
        <v>1504</v>
      </c>
      <c r="U43" s="1294">
        <f t="shared" si="13"/>
        <v>100</v>
      </c>
      <c r="V43" s="1293" t="s">
        <v>1504</v>
      </c>
      <c r="W43" s="1294">
        <f t="shared" si="14"/>
        <v>100</v>
      </c>
      <c r="X43" s="1287"/>
      <c r="Y43" s="3692"/>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88"/>
      <c r="Q44" s="1292">
        <f t="shared" si="11"/>
        <v>111</v>
      </c>
      <c r="R44" s="1288" t="s">
        <v>1504</v>
      </c>
      <c r="S44" s="1289">
        <f t="shared" si="12"/>
        <v>100</v>
      </c>
      <c r="T44" s="1288" t="s">
        <v>1504</v>
      </c>
      <c r="U44" s="1289">
        <f t="shared" si="13"/>
        <v>100</v>
      </c>
      <c r="V44" s="1288" t="s">
        <v>1504</v>
      </c>
      <c r="W44" s="1289">
        <f t="shared" si="14"/>
        <v>100</v>
      </c>
      <c r="X44" s="1290"/>
      <c r="Y44" s="3692"/>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88"/>
      <c r="Q45" s="672">
        <f t="shared" si="11"/>
        <v>111</v>
      </c>
      <c r="R45" s="1293" t="s">
        <v>1504</v>
      </c>
      <c r="S45" s="1294">
        <f t="shared" si="12"/>
        <v>100</v>
      </c>
      <c r="T45" s="1293" t="s">
        <v>1504</v>
      </c>
      <c r="U45" s="1294">
        <f t="shared" si="13"/>
        <v>100</v>
      </c>
      <c r="V45" s="1293" t="s">
        <v>1504</v>
      </c>
      <c r="W45" s="1294">
        <f t="shared" si="14"/>
        <v>100</v>
      </c>
      <c r="X45" s="1287"/>
      <c r="Y45" s="3692"/>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89"/>
      <c r="Q46" s="672">
        <f t="shared" si="11"/>
        <v>111</v>
      </c>
      <c r="R46" s="1293" t="s">
        <v>1504</v>
      </c>
      <c r="S46" s="1294">
        <f t="shared" si="12"/>
        <v>100</v>
      </c>
      <c r="T46" s="1293" t="s">
        <v>1504</v>
      </c>
      <c r="U46" s="1294">
        <f t="shared" si="13"/>
        <v>100</v>
      </c>
      <c r="V46" s="1293" t="s">
        <v>1504</v>
      </c>
      <c r="W46" s="1294">
        <f t="shared" si="14"/>
        <v>100</v>
      </c>
      <c r="X46" s="1287"/>
      <c r="Y46" s="3693"/>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79" t="str">
        <f>A47</f>
        <v>成交单价（元/平方米）</v>
      </c>
      <c r="Q47" s="3679"/>
      <c r="R47" s="3680">
        <f>E47</f>
        <v>0</v>
      </c>
      <c r="S47" s="3680"/>
      <c r="T47" s="3680">
        <f>G47</f>
        <v>0</v>
      </c>
      <c r="U47" s="3680"/>
      <c r="V47" s="3680">
        <f>I47</f>
        <v>0</v>
      </c>
      <c r="W47" s="3680"/>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2023-4</v>
      </c>
      <c r="D58" s="1511">
        <f>EDATE(C58,-1)</f>
        <v>44986</v>
      </c>
      <c r="E58" s="1511">
        <f>EDATE(D58,-1)</f>
        <v>44958</v>
      </c>
      <c r="F58" s="1511">
        <f t="shared" ref="F58:O58" si="19">EDATE(E58,-1)</f>
        <v>44927</v>
      </c>
      <c r="G58" s="1511">
        <f t="shared" si="19"/>
        <v>44896</v>
      </c>
      <c r="H58" s="1511">
        <f t="shared" si="19"/>
        <v>44866</v>
      </c>
      <c r="I58" s="1511">
        <f t="shared" si="19"/>
        <v>44835</v>
      </c>
      <c r="J58" s="1511">
        <f t="shared" si="19"/>
        <v>44805</v>
      </c>
      <c r="K58" s="1511">
        <f t="shared" si="19"/>
        <v>44774</v>
      </c>
      <c r="L58" s="1511">
        <f t="shared" si="19"/>
        <v>44743</v>
      </c>
      <c r="M58" s="1511">
        <f t="shared" si="19"/>
        <v>44713</v>
      </c>
      <c r="N58" s="1511">
        <f t="shared" si="19"/>
        <v>44682</v>
      </c>
      <c r="O58" s="1511">
        <f t="shared" si="19"/>
        <v>44652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4.0555555555555596E-3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664" t="s">
        <v>1490</v>
      </c>
      <c r="D4" s="3665"/>
      <c r="E4" s="3666" t="s">
        <v>1491</v>
      </c>
      <c r="F4" s="3667"/>
      <c r="G4" s="3664" t="s">
        <v>1492</v>
      </c>
      <c r="H4" s="3665"/>
      <c r="I4" s="3664" t="s">
        <v>1493</v>
      </c>
      <c r="J4" s="3665"/>
      <c r="K4" s="1243"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709" t="s">
        <v>1492</v>
      </c>
      <c r="AC4" s="3694" t="s">
        <v>1493</v>
      </c>
    </row>
    <row r="5" spans="1:29" ht="15">
      <c r="A5" s="1098"/>
      <c r="B5" s="1099"/>
      <c r="C5" s="3668" t="s">
        <v>1496</v>
      </c>
      <c r="D5" s="3669"/>
      <c r="E5" s="3670" t="s">
        <v>1497</v>
      </c>
      <c r="F5" s="3671"/>
      <c r="G5" s="3668" t="s">
        <v>1498</v>
      </c>
      <c r="H5" s="3669"/>
      <c r="I5" s="3668" t="s">
        <v>1499</v>
      </c>
      <c r="J5" s="3669"/>
      <c r="K5" s="1243"/>
      <c r="L5" s="1244"/>
      <c r="M5" s="1245"/>
      <c r="N5" s="1245"/>
      <c r="O5" s="1245"/>
      <c r="P5" s="3699"/>
      <c r="Q5" s="3700"/>
      <c r="R5" s="3705"/>
      <c r="S5" s="3706"/>
      <c r="T5" s="3705"/>
      <c r="U5" s="3706"/>
      <c r="V5" s="3709"/>
      <c r="W5" s="3709"/>
      <c r="X5" s="1287"/>
      <c r="Y5" s="3705"/>
      <c r="Z5" s="3706"/>
      <c r="AA5" s="3695"/>
      <c r="AB5" s="3709"/>
      <c r="AC5" s="3695"/>
    </row>
    <row r="6" spans="1:29" ht="15">
      <c r="A6" s="1100"/>
      <c r="B6" s="1101"/>
      <c r="C6" s="3672" t="s">
        <v>1500</v>
      </c>
      <c r="D6" s="3673"/>
      <c r="E6" s="3674" t="s">
        <v>1500</v>
      </c>
      <c r="F6" s="3675"/>
      <c r="G6" s="3672" t="s">
        <v>1500</v>
      </c>
      <c r="H6" s="3673"/>
      <c r="I6" s="3672" t="s">
        <v>1500</v>
      </c>
      <c r="J6" s="3673"/>
      <c r="K6" s="1243" t="s">
        <v>1501</v>
      </c>
      <c r="L6" s="1244"/>
      <c r="M6" s="1245"/>
      <c r="N6" s="1245"/>
      <c r="O6" s="1245"/>
      <c r="P6" s="3701"/>
      <c r="Q6" s="3702"/>
      <c r="R6" s="3705"/>
      <c r="S6" s="3706"/>
      <c r="T6" s="3707"/>
      <c r="U6" s="3708"/>
      <c r="V6" s="3709"/>
      <c r="W6" s="3709"/>
      <c r="X6" s="1287"/>
      <c r="Y6" s="3707"/>
      <c r="Z6" s="3708"/>
      <c r="AA6" s="3696"/>
      <c r="AB6" s="3709"/>
      <c r="AC6" s="3696"/>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76" t="s">
        <v>1503</v>
      </c>
      <c r="Q7" s="3677"/>
      <c r="R7" s="1288" t="s">
        <v>1504</v>
      </c>
      <c r="S7" s="1289">
        <f t="shared" ref="S7:S15" si="0">F7</f>
        <v>0</v>
      </c>
      <c r="T7" s="1288" t="s">
        <v>1504</v>
      </c>
      <c r="U7" s="1289">
        <f t="shared" ref="U7:U15" si="1">H7</f>
        <v>0</v>
      </c>
      <c r="V7" s="1288" t="s">
        <v>1504</v>
      </c>
      <c r="W7" s="1289">
        <f t="shared" ref="W7:W15" si="2">J7</f>
        <v>0</v>
      </c>
      <c r="X7" s="1290"/>
      <c r="Y7" s="3676" t="s">
        <v>1503</v>
      </c>
      <c r="Z7" s="3678"/>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76" t="s">
        <v>1506</v>
      </c>
      <c r="Q8" s="3678"/>
      <c r="R8" s="1288" t="s">
        <v>1504</v>
      </c>
      <c r="S8" s="1289">
        <f t="shared" si="0"/>
        <v>100</v>
      </c>
      <c r="T8" s="1288" t="s">
        <v>1504</v>
      </c>
      <c r="U8" s="1289">
        <f t="shared" si="1"/>
        <v>100</v>
      </c>
      <c r="V8" s="1288" t="s">
        <v>1504</v>
      </c>
      <c r="W8" s="1289">
        <f t="shared" si="2"/>
        <v>100</v>
      </c>
      <c r="X8" s="1290"/>
      <c r="Y8" s="3676" t="s">
        <v>1506</v>
      </c>
      <c r="Z8" s="3678"/>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4"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4"/>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4"/>
      <c r="Q11" s="1292" t="str">
        <f t="shared" si="6"/>
        <v>容积率</v>
      </c>
      <c r="R11" s="1288" t="s">
        <v>1504</v>
      </c>
      <c r="S11" s="1289" t="e">
        <f t="shared" si="0"/>
        <v>#N/A</v>
      </c>
      <c r="T11" s="1288" t="s">
        <v>1504</v>
      </c>
      <c r="U11" s="1289" t="e">
        <f t="shared" si="1"/>
        <v>#N/A</v>
      </c>
      <c r="V11" s="1288" t="s">
        <v>1504</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4"/>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4"/>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4"/>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85" t="s">
        <v>1515</v>
      </c>
      <c r="Q15" s="672" t="str">
        <f t="shared" si="6"/>
        <v>商业繁华度</v>
      </c>
      <c r="R15" s="1293" t="s">
        <v>1504</v>
      </c>
      <c r="S15" s="1294">
        <f t="shared" si="0"/>
        <v>100</v>
      </c>
      <c r="T15" s="1293" t="s">
        <v>1504</v>
      </c>
      <c r="U15" s="1294">
        <f t="shared" si="1"/>
        <v>100</v>
      </c>
      <c r="V15" s="1293" t="s">
        <v>1504</v>
      </c>
      <c r="W15" s="1294">
        <f t="shared" si="2"/>
        <v>100</v>
      </c>
      <c r="X15" s="1287"/>
      <c r="Y15" s="3690"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86"/>
      <c r="Q16" s="672"/>
      <c r="R16" s="1293"/>
      <c r="S16" s="1294"/>
      <c r="T16" s="1293"/>
      <c r="U16" s="1294"/>
      <c r="V16" s="1293"/>
      <c r="W16" s="1294"/>
      <c r="X16" s="1287"/>
      <c r="Y16" s="3691"/>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86"/>
      <c r="Q17" s="672" t="str">
        <f>B17</f>
        <v>交通便捷度</v>
      </c>
      <c r="R17" s="1293" t="s">
        <v>1504</v>
      </c>
      <c r="S17" s="1294">
        <f>F17</f>
        <v>100</v>
      </c>
      <c r="T17" s="1293" t="s">
        <v>1504</v>
      </c>
      <c r="U17" s="1294">
        <f>H17</f>
        <v>100</v>
      </c>
      <c r="V17" s="1293" t="s">
        <v>1504</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86"/>
      <c r="Q18" s="672"/>
      <c r="R18" s="1293"/>
      <c r="S18" s="1294"/>
      <c r="T18" s="1293"/>
      <c r="U18" s="1294"/>
      <c r="V18" s="1293"/>
      <c r="W18" s="1294"/>
      <c r="X18" s="1287"/>
      <c r="Y18" s="3691"/>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86"/>
      <c r="Q19" s="672" t="str">
        <f>B19</f>
        <v>公共配套设施</v>
      </c>
      <c r="R19" s="1293" t="s">
        <v>1504</v>
      </c>
      <c r="S19" s="1294">
        <f>F19</f>
        <v>100</v>
      </c>
      <c r="T19" s="1293" t="s">
        <v>1504</v>
      </c>
      <c r="U19" s="1294">
        <f>H19</f>
        <v>100</v>
      </c>
      <c r="V19" s="1293" t="s">
        <v>1504</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86"/>
      <c r="Q20" s="672"/>
      <c r="R20" s="1293"/>
      <c r="S20" s="1294"/>
      <c r="T20" s="1293"/>
      <c r="U20" s="1294"/>
      <c r="V20" s="1293"/>
      <c r="W20" s="1294"/>
      <c r="X20" s="1287"/>
      <c r="Y20" s="3691"/>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86"/>
      <c r="Q21" s="672" t="str">
        <f>B21</f>
        <v>基础设施水平</v>
      </c>
      <c r="R21" s="1293" t="s">
        <v>1504</v>
      </c>
      <c r="S21" s="1294">
        <f>F21</f>
        <v>100</v>
      </c>
      <c r="T21" s="1293" t="s">
        <v>1504</v>
      </c>
      <c r="U21" s="1294">
        <f>H21</f>
        <v>100</v>
      </c>
      <c r="V21" s="1293" t="s">
        <v>1504</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86"/>
      <c r="Q22" s="672"/>
      <c r="R22" s="1293"/>
      <c r="S22" s="1294"/>
      <c r="T22" s="1293"/>
      <c r="U22" s="1294"/>
      <c r="V22" s="1293"/>
      <c r="W22" s="1294"/>
      <c r="X22" s="1287"/>
      <c r="Y22" s="3691"/>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86"/>
      <c r="Q23" s="672" t="str">
        <f>B23</f>
        <v>自然及人文环境</v>
      </c>
      <c r="R23" s="1293" t="s">
        <v>1504</v>
      </c>
      <c r="S23" s="1294">
        <f>F23</f>
        <v>100</v>
      </c>
      <c r="T23" s="1293" t="s">
        <v>1504</v>
      </c>
      <c r="U23" s="1294">
        <f>H23</f>
        <v>100</v>
      </c>
      <c r="V23" s="1293" t="s">
        <v>1504</v>
      </c>
      <c r="W23" s="1294">
        <f>J23</f>
        <v>100</v>
      </c>
      <c r="X23" s="1287"/>
      <c r="Y23" s="3691"/>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86"/>
      <c r="Q24" s="672"/>
      <c r="R24" s="1293"/>
      <c r="S24" s="1294"/>
      <c r="T24" s="1293"/>
      <c r="U24" s="1294"/>
      <c r="V24" s="1293"/>
      <c r="W24" s="1294"/>
      <c r="X24" s="1287"/>
      <c r="Y24" s="3691"/>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86"/>
      <c r="Q25" s="672" t="str">
        <f t="shared" ref="Q25:Q46" si="11">B25</f>
        <v>临街状况</v>
      </c>
      <c r="R25" s="1293" t="s">
        <v>1504</v>
      </c>
      <c r="S25" s="1294">
        <f>F25</f>
        <v>100</v>
      </c>
      <c r="T25" s="1293" t="s">
        <v>1504</v>
      </c>
      <c r="U25" s="1294">
        <f>H25</f>
        <v>100</v>
      </c>
      <c r="V25" s="1293" t="s">
        <v>1504</v>
      </c>
      <c r="W25" s="1294">
        <f>J25</f>
        <v>100</v>
      </c>
      <c r="X25" s="1287"/>
      <c r="Y25" s="3691"/>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86"/>
      <c r="Q26" s="672" t="str">
        <f t="shared" si="11"/>
        <v>平面位置/可视性</v>
      </c>
      <c r="R26" s="1293" t="s">
        <v>1504</v>
      </c>
      <c r="S26" s="1294">
        <f>F26</f>
        <v>100</v>
      </c>
      <c r="T26" s="1293" t="s">
        <v>1504</v>
      </c>
      <c r="U26" s="1294">
        <f>H26</f>
        <v>100</v>
      </c>
      <c r="V26" s="1293" t="s">
        <v>1504</v>
      </c>
      <c r="W26" s="1294">
        <f>J26</f>
        <v>100</v>
      </c>
      <c r="X26" s="1287"/>
      <c r="Y26" s="3691"/>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86"/>
      <c r="Q27" s="1292" t="str">
        <f t="shared" si="11"/>
        <v>人流量</v>
      </c>
      <c r="R27" s="1288" t="s">
        <v>1504</v>
      </c>
      <c r="S27" s="1289">
        <f>F27</f>
        <v>100</v>
      </c>
      <c r="T27" s="1288" t="s">
        <v>1504</v>
      </c>
      <c r="U27" s="1289">
        <f>H27</f>
        <v>100</v>
      </c>
      <c r="V27" s="1288" t="s">
        <v>1504</v>
      </c>
      <c r="W27" s="1289">
        <f>J27</f>
        <v>100</v>
      </c>
      <c r="X27" s="1290"/>
      <c r="Y27" s="3691"/>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86"/>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91"/>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86"/>
      <c r="Q29" s="672">
        <f t="shared" si="11"/>
        <v>111</v>
      </c>
      <c r="R29" s="1293" t="s">
        <v>1504</v>
      </c>
      <c r="S29" s="1294">
        <f t="shared" si="12"/>
        <v>100</v>
      </c>
      <c r="T29" s="1293" t="s">
        <v>1504</v>
      </c>
      <c r="U29" s="1294">
        <f t="shared" si="13"/>
        <v>100</v>
      </c>
      <c r="V29" s="1293" t="s">
        <v>1504</v>
      </c>
      <c r="W29" s="1294">
        <f t="shared" si="14"/>
        <v>100</v>
      </c>
      <c r="X29" s="1287"/>
      <c r="Y29" s="3691"/>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86"/>
      <c r="Q30" s="672">
        <f t="shared" si="11"/>
        <v>111</v>
      </c>
      <c r="R30" s="1293" t="s">
        <v>1504</v>
      </c>
      <c r="S30" s="1294">
        <f t="shared" si="12"/>
        <v>100</v>
      </c>
      <c r="T30" s="1293" t="s">
        <v>1504</v>
      </c>
      <c r="U30" s="1294">
        <f t="shared" si="13"/>
        <v>100</v>
      </c>
      <c r="V30" s="1293" t="s">
        <v>1504</v>
      </c>
      <c r="W30" s="1294">
        <f t="shared" si="14"/>
        <v>100</v>
      </c>
      <c r="X30" s="1287"/>
      <c r="Y30" s="3691"/>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86"/>
      <c r="Q31" s="672">
        <f t="shared" si="11"/>
        <v>111</v>
      </c>
      <c r="R31" s="1293" t="s">
        <v>1504</v>
      </c>
      <c r="S31" s="1294">
        <f t="shared" si="12"/>
        <v>100</v>
      </c>
      <c r="T31" s="1293" t="s">
        <v>1504</v>
      </c>
      <c r="U31" s="1294">
        <f t="shared" si="13"/>
        <v>100</v>
      </c>
      <c r="V31" s="1293" t="s">
        <v>1504</v>
      </c>
      <c r="W31" s="1294">
        <f t="shared" si="14"/>
        <v>100</v>
      </c>
      <c r="X31" s="1287"/>
      <c r="Y31" s="3691"/>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87" t="s">
        <v>1524</v>
      </c>
      <c r="Q32" s="672" t="str">
        <f t="shared" si="11"/>
        <v>商业类型</v>
      </c>
      <c r="R32" s="1293" t="s">
        <v>1504</v>
      </c>
      <c r="S32" s="1294">
        <f t="shared" si="12"/>
        <v>100</v>
      </c>
      <c r="T32" s="1293" t="s">
        <v>1504</v>
      </c>
      <c r="U32" s="1294">
        <f t="shared" si="13"/>
        <v>100</v>
      </c>
      <c r="V32" s="1293" t="s">
        <v>1504</v>
      </c>
      <c r="W32" s="1294">
        <f t="shared" si="14"/>
        <v>100</v>
      </c>
      <c r="X32" s="1287"/>
      <c r="Y32" s="3692"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8"/>
      <c r="Q33" s="1521" t="str">
        <f t="shared" si="11"/>
        <v>项目建筑规模</v>
      </c>
      <c r="R33" s="1295" t="s">
        <v>1504</v>
      </c>
      <c r="S33" s="1296" t="e">
        <f t="shared" si="12"/>
        <v>#N/A</v>
      </c>
      <c r="T33" s="1295" t="s">
        <v>1504</v>
      </c>
      <c r="U33" s="1296" t="e">
        <f t="shared" si="13"/>
        <v>#N/A</v>
      </c>
      <c r="V33" s="1295" t="s">
        <v>1504</v>
      </c>
      <c r="W33" s="1296" t="e">
        <f t="shared" si="14"/>
        <v>#N/A</v>
      </c>
      <c r="X33" s="1297"/>
      <c r="Y33" s="3692"/>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88"/>
      <c r="Q34" s="672" t="str">
        <f t="shared" si="11"/>
        <v>建筑结构</v>
      </c>
      <c r="R34" s="1293" t="s">
        <v>1504</v>
      </c>
      <c r="S34" s="1294">
        <f t="shared" si="12"/>
        <v>100</v>
      </c>
      <c r="T34" s="1293" t="s">
        <v>1504</v>
      </c>
      <c r="U34" s="1294">
        <f t="shared" si="13"/>
        <v>100</v>
      </c>
      <c r="V34" s="1293" t="s">
        <v>1504</v>
      </c>
      <c r="W34" s="1294">
        <f t="shared" si="14"/>
        <v>100</v>
      </c>
      <c r="X34" s="1287"/>
      <c r="Y34" s="3692"/>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8"/>
      <c r="Q35" s="672" t="str">
        <f t="shared" si="11"/>
        <v>公共部分装修</v>
      </c>
      <c r="R35" s="1293" t="s">
        <v>1504</v>
      </c>
      <c r="S35" s="1294">
        <f t="shared" si="12"/>
        <v>100</v>
      </c>
      <c r="T35" s="1293" t="s">
        <v>1504</v>
      </c>
      <c r="U35" s="1294">
        <f t="shared" si="13"/>
        <v>100</v>
      </c>
      <c r="V35" s="1293" t="s">
        <v>1504</v>
      </c>
      <c r="W35" s="1294">
        <f t="shared" si="14"/>
        <v>100</v>
      </c>
      <c r="X35" s="1287"/>
      <c r="Y35" s="3692"/>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88"/>
      <c r="Q36" s="672" t="str">
        <f t="shared" si="11"/>
        <v>成新度</v>
      </c>
      <c r="R36" s="1293" t="s">
        <v>1504</v>
      </c>
      <c r="S36" s="1294" t="e">
        <f t="shared" si="12"/>
        <v>#N/A</v>
      </c>
      <c r="T36" s="1293" t="s">
        <v>1504</v>
      </c>
      <c r="U36" s="1294" t="e">
        <f t="shared" si="13"/>
        <v>#N/A</v>
      </c>
      <c r="V36" s="1293" t="s">
        <v>1504</v>
      </c>
      <c r="W36" s="1294" t="e">
        <f t="shared" si="14"/>
        <v>#N/A</v>
      </c>
      <c r="X36" s="1287"/>
      <c r="Y36" s="3692"/>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8"/>
      <c r="Q37" s="1292" t="str">
        <f t="shared" si="11"/>
        <v>市政基础设施</v>
      </c>
      <c r="R37" s="1288" t="s">
        <v>1504</v>
      </c>
      <c r="S37" s="1289">
        <f t="shared" si="12"/>
        <v>100</v>
      </c>
      <c r="T37" s="1288" t="s">
        <v>1504</v>
      </c>
      <c r="U37" s="1289">
        <f t="shared" si="13"/>
        <v>100</v>
      </c>
      <c r="V37" s="1288" t="s">
        <v>1504</v>
      </c>
      <c r="W37" s="1289">
        <f t="shared" si="14"/>
        <v>100</v>
      </c>
      <c r="X37" s="1290"/>
      <c r="Y37" s="3692"/>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8" t="s">
        <v>1524</v>
      </c>
      <c r="Q38" s="672" t="str">
        <f t="shared" si="11"/>
        <v>业态</v>
      </c>
      <c r="R38" s="1293" t="s">
        <v>1504</v>
      </c>
      <c r="S38" s="1294">
        <f t="shared" si="12"/>
        <v>100</v>
      </c>
      <c r="T38" s="1293" t="s">
        <v>1504</v>
      </c>
      <c r="U38" s="1294">
        <f t="shared" si="13"/>
        <v>100</v>
      </c>
      <c r="V38" s="1293" t="s">
        <v>1504</v>
      </c>
      <c r="W38" s="1294">
        <f t="shared" si="14"/>
        <v>100</v>
      </c>
      <c r="X38" s="1287"/>
      <c r="Y38" s="3692"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8"/>
      <c r="Q39" s="672" t="str">
        <f t="shared" si="11"/>
        <v>层高</v>
      </c>
      <c r="R39" s="1293" t="s">
        <v>1504</v>
      </c>
      <c r="S39" s="1294">
        <f t="shared" si="12"/>
        <v>100</v>
      </c>
      <c r="T39" s="1293" t="s">
        <v>1504</v>
      </c>
      <c r="U39" s="1294">
        <f t="shared" si="13"/>
        <v>100</v>
      </c>
      <c r="V39" s="1293" t="s">
        <v>1504</v>
      </c>
      <c r="W39" s="1294">
        <f t="shared" si="14"/>
        <v>100</v>
      </c>
      <c r="X39" s="1287"/>
      <c r="Y39" s="3692"/>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88"/>
      <c r="Q40" s="672" t="str">
        <f t="shared" si="11"/>
        <v>单套建筑面积</v>
      </c>
      <c r="R40" s="1293" t="s">
        <v>1504</v>
      </c>
      <c r="S40" s="1294">
        <f t="shared" si="12"/>
        <v>100</v>
      </c>
      <c r="T40" s="1293" t="s">
        <v>1504</v>
      </c>
      <c r="U40" s="1294">
        <f t="shared" si="13"/>
        <v>100</v>
      </c>
      <c r="V40" s="1293" t="s">
        <v>1504</v>
      </c>
      <c r="W40" s="1294">
        <f t="shared" si="14"/>
        <v>100</v>
      </c>
      <c r="X40" s="1287"/>
      <c r="Y40" s="3692"/>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8"/>
      <c r="Q41" s="1521" t="str">
        <f t="shared" si="11"/>
        <v>进深比</v>
      </c>
      <c r="R41" s="1295" t="s">
        <v>1504</v>
      </c>
      <c r="S41" s="1296">
        <f t="shared" si="12"/>
        <v>100</v>
      </c>
      <c r="T41" s="1295" t="s">
        <v>1504</v>
      </c>
      <c r="U41" s="1296">
        <f t="shared" si="13"/>
        <v>100</v>
      </c>
      <c r="V41" s="1295" t="s">
        <v>1504</v>
      </c>
      <c r="W41" s="1296">
        <f t="shared" si="14"/>
        <v>100</v>
      </c>
      <c r="X41" s="1297"/>
      <c r="Y41" s="3692"/>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8"/>
      <c r="Q42" s="672" t="str">
        <f t="shared" si="11"/>
        <v>内部装修</v>
      </c>
      <c r="R42" s="1293" t="s">
        <v>1504</v>
      </c>
      <c r="S42" s="1294">
        <f t="shared" si="12"/>
        <v>100</v>
      </c>
      <c r="T42" s="1293" t="s">
        <v>1504</v>
      </c>
      <c r="U42" s="1294">
        <f t="shared" si="13"/>
        <v>100</v>
      </c>
      <c r="V42" s="1293" t="s">
        <v>1504</v>
      </c>
      <c r="W42" s="1294">
        <f t="shared" si="14"/>
        <v>100</v>
      </c>
      <c r="X42" s="1287"/>
      <c r="Y42" s="3692"/>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8"/>
      <c r="Q43" s="672" t="str">
        <f t="shared" si="11"/>
        <v>内部装修维护情况</v>
      </c>
      <c r="R43" s="1293" t="s">
        <v>1504</v>
      </c>
      <c r="S43" s="1294">
        <f t="shared" si="12"/>
        <v>100</v>
      </c>
      <c r="T43" s="1293" t="s">
        <v>1504</v>
      </c>
      <c r="U43" s="1294">
        <f t="shared" si="13"/>
        <v>100</v>
      </c>
      <c r="V43" s="1293" t="s">
        <v>1504</v>
      </c>
      <c r="W43" s="1294">
        <f t="shared" si="14"/>
        <v>100</v>
      </c>
      <c r="X43" s="1287"/>
      <c r="Y43" s="3692"/>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8"/>
      <c r="Q44" s="1292">
        <f t="shared" si="11"/>
        <v>111</v>
      </c>
      <c r="R44" s="1288" t="s">
        <v>1504</v>
      </c>
      <c r="S44" s="1289">
        <f t="shared" si="12"/>
        <v>100</v>
      </c>
      <c r="T44" s="1288" t="s">
        <v>1504</v>
      </c>
      <c r="U44" s="1289">
        <f t="shared" si="13"/>
        <v>100</v>
      </c>
      <c r="V44" s="1288" t="s">
        <v>1504</v>
      </c>
      <c r="W44" s="1289">
        <f t="shared" si="14"/>
        <v>100</v>
      </c>
      <c r="X44" s="1290"/>
      <c r="Y44" s="3692"/>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8"/>
      <c r="Q45" s="672">
        <f t="shared" si="11"/>
        <v>111</v>
      </c>
      <c r="R45" s="1293" t="s">
        <v>1504</v>
      </c>
      <c r="S45" s="1294">
        <f t="shared" si="12"/>
        <v>100</v>
      </c>
      <c r="T45" s="1293" t="s">
        <v>1504</v>
      </c>
      <c r="U45" s="1294">
        <f t="shared" si="13"/>
        <v>100</v>
      </c>
      <c r="V45" s="1293" t="s">
        <v>1504</v>
      </c>
      <c r="W45" s="1294">
        <f t="shared" si="14"/>
        <v>100</v>
      </c>
      <c r="X45" s="1287"/>
      <c r="Y45" s="3692"/>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9"/>
      <c r="Q46" s="672">
        <f t="shared" si="11"/>
        <v>111</v>
      </c>
      <c r="R46" s="1293" t="s">
        <v>1504</v>
      </c>
      <c r="S46" s="1294">
        <f t="shared" si="12"/>
        <v>100</v>
      </c>
      <c r="T46" s="1293" t="s">
        <v>1504</v>
      </c>
      <c r="U46" s="1294">
        <f t="shared" si="13"/>
        <v>100</v>
      </c>
      <c r="V46" s="1293" t="s">
        <v>1504</v>
      </c>
      <c r="W46" s="1294">
        <f t="shared" si="14"/>
        <v>100</v>
      </c>
      <c r="X46" s="1287"/>
      <c r="Y46" s="3693"/>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79" t="str">
        <f>A47</f>
        <v>成交单价（元/平方米）</v>
      </c>
      <c r="Q47" s="3679"/>
      <c r="R47" s="3709">
        <f>E47</f>
        <v>0</v>
      </c>
      <c r="S47" s="3709"/>
      <c r="T47" s="3709">
        <f>G47</f>
        <v>0</v>
      </c>
      <c r="U47" s="3709"/>
      <c r="V47" s="3709">
        <f>I47</f>
        <v>0</v>
      </c>
      <c r="W47" s="3709"/>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2023-4</v>
      </c>
      <c r="D58" s="1511">
        <f>EDATE(C58,-1)</f>
        <v>44986</v>
      </c>
      <c r="E58" s="1511">
        <f t="shared" ref="E58:O58" si="16">EDATE(D58,-1)</f>
        <v>44958</v>
      </c>
      <c r="F58" s="1511">
        <f t="shared" si="16"/>
        <v>44927</v>
      </c>
      <c r="G58" s="1511">
        <f t="shared" si="16"/>
        <v>44896</v>
      </c>
      <c r="H58" s="1511">
        <f t="shared" si="16"/>
        <v>44866</v>
      </c>
      <c r="I58" s="1511">
        <f t="shared" si="16"/>
        <v>44835</v>
      </c>
      <c r="J58" s="1511">
        <f t="shared" si="16"/>
        <v>44805</v>
      </c>
      <c r="K58" s="1511">
        <f t="shared" si="16"/>
        <v>44774</v>
      </c>
      <c r="L58" s="1511">
        <f t="shared" si="16"/>
        <v>44743</v>
      </c>
      <c r="M58" s="1511">
        <f t="shared" si="16"/>
        <v>44713</v>
      </c>
      <c r="N58" s="1511">
        <f t="shared" si="16"/>
        <v>44682</v>
      </c>
      <c r="O58" s="1511">
        <f t="shared" si="16"/>
        <v>44652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2023年4月10日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topLeftCell="A16" zoomScaleNormal="70" zoomScaleSheetLayoutView="100" workbookViewId="0">
      <selection activeCell="N53" sqref="N53"/>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340150</v>
      </c>
      <c r="C2" s="1466" t="s">
        <v>1002</v>
      </c>
      <c r="D2" s="1634">
        <f ca="1">IF(E1="项目模式",SUMIF(INDIRECT("'"&amp;F2&amp;"'"&amp;"!A:A"),"承租人权益价值",INDIRECT("'"&amp;F2&amp;"'"&amp;"!c:c")),SUMIF(INDIRECT("'"&amp;F2&amp;"'"&amp;"!A:A"),"承租人权益价值（单套）",INDIRECT("'"&amp;F2&amp;"'"&amp;"!c:c")))+'收益法-车库'!C46</f>
        <v>73906</v>
      </c>
      <c r="E2" s="1467" t="s">
        <v>1001</v>
      </c>
      <c r="F2" s="1468" t="s">
        <v>656</v>
      </c>
      <c r="G2" s="1092"/>
      <c r="H2" s="1092"/>
      <c r="I2" s="1092"/>
      <c r="J2" s="1092"/>
      <c r="K2" s="1092"/>
      <c r="L2" s="3793">
        <f ca="1">'收益法-车库'!C46+收益法!C46</f>
        <v>73906</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28294</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664" t="s">
        <v>1490</v>
      </c>
      <c r="D4" s="3665"/>
      <c r="E4" s="3666" t="s">
        <v>1491</v>
      </c>
      <c r="F4" s="3667"/>
      <c r="G4" s="3664" t="s">
        <v>1492</v>
      </c>
      <c r="H4" s="3665"/>
      <c r="I4" s="3664" t="s">
        <v>1493</v>
      </c>
      <c r="J4" s="3665"/>
      <c r="K4" s="1243" t="s">
        <v>1494</v>
      </c>
      <c r="L4" s="1244"/>
      <c r="M4" s="1245"/>
      <c r="N4" s="1245"/>
      <c r="O4" s="1245"/>
      <c r="P4" s="3718" t="s">
        <v>1495</v>
      </c>
      <c r="Q4" s="3719"/>
      <c r="R4" s="3722" t="s">
        <v>1491</v>
      </c>
      <c r="S4" s="3723"/>
      <c r="T4" s="3722" t="s">
        <v>1492</v>
      </c>
      <c r="U4" s="3723"/>
      <c r="V4" s="3724" t="s">
        <v>1493</v>
      </c>
      <c r="W4" s="3724"/>
      <c r="X4" s="1653"/>
      <c r="Y4" s="3722" t="s">
        <v>1495</v>
      </c>
      <c r="Z4" s="3723"/>
      <c r="AA4" s="3714" t="s">
        <v>1491</v>
      </c>
      <c r="AB4" s="3714" t="s">
        <v>1492</v>
      </c>
      <c r="AC4" s="3715" t="s">
        <v>1493</v>
      </c>
    </row>
    <row r="5" spans="1:29" ht="15">
      <c r="A5" s="1098"/>
      <c r="B5" s="1099"/>
      <c r="C5" s="3668" t="s">
        <v>1496</v>
      </c>
      <c r="D5" s="3669"/>
      <c r="E5" s="3670" t="str">
        <f>Sheet3!B5</f>
        <v>电子城国际电子总部8-10#</v>
      </c>
      <c r="F5" s="3671"/>
      <c r="G5" s="3668" t="str">
        <f>Sheet3!B6</f>
        <v>中关村西三旗(金隅)科技园T5研发设计楼地上1-7层</v>
      </c>
      <c r="H5" s="3669"/>
      <c r="I5" s="3668" t="str">
        <f>Sheet3!B7</f>
        <v>中关村西三旗(金隅)科技园T4研发设计楼地上1-7层</v>
      </c>
      <c r="J5" s="3669"/>
      <c r="K5" s="1243"/>
      <c r="L5" s="1244"/>
      <c r="M5" s="1245"/>
      <c r="N5" s="1245"/>
      <c r="O5" s="1245"/>
      <c r="P5" s="3720"/>
      <c r="Q5" s="3700"/>
      <c r="R5" s="3705"/>
      <c r="S5" s="3706"/>
      <c r="T5" s="3705"/>
      <c r="U5" s="3706"/>
      <c r="V5" s="3709"/>
      <c r="W5" s="3709"/>
      <c r="X5" s="1287"/>
      <c r="Y5" s="3705"/>
      <c r="Z5" s="3706"/>
      <c r="AA5" s="3695"/>
      <c r="AB5" s="3695"/>
      <c r="AC5" s="3716"/>
    </row>
    <row r="6" spans="1:29" ht="15">
      <c r="A6" s="1100"/>
      <c r="B6" s="1101"/>
      <c r="C6" s="3672" t="s">
        <v>1500</v>
      </c>
      <c r="D6" s="3673"/>
      <c r="E6" s="3674" t="s">
        <v>1500</v>
      </c>
      <c r="F6" s="3675"/>
      <c r="G6" s="3672" t="s">
        <v>1500</v>
      </c>
      <c r="H6" s="3673"/>
      <c r="I6" s="3672" t="s">
        <v>1500</v>
      </c>
      <c r="J6" s="3673"/>
      <c r="K6" s="1243" t="s">
        <v>1501</v>
      </c>
      <c r="L6" s="1244"/>
      <c r="M6" s="1245"/>
      <c r="N6" s="1245"/>
      <c r="O6" s="1245"/>
      <c r="P6" s="3721"/>
      <c r="Q6" s="3702"/>
      <c r="R6" s="3705"/>
      <c r="S6" s="3706"/>
      <c r="T6" s="3707"/>
      <c r="U6" s="3708"/>
      <c r="V6" s="3709"/>
      <c r="W6" s="3709"/>
      <c r="X6" s="1287"/>
      <c r="Y6" s="3707"/>
      <c r="Z6" s="3708"/>
      <c r="AA6" s="3696"/>
      <c r="AB6" s="3696"/>
      <c r="AC6" s="3717"/>
    </row>
    <row r="7" spans="1:29" s="1077" customFormat="1" ht="15">
      <c r="A7" s="1102" t="s">
        <v>1502</v>
      </c>
      <c r="B7" s="1103"/>
      <c r="C7" s="1104">
        <f>'数据-取费表'!B2</f>
        <v>45026</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710" t="s">
        <v>1503</v>
      </c>
      <c r="Q7" s="3677"/>
      <c r="R7" s="1288" t="s">
        <v>1504</v>
      </c>
      <c r="S7" s="1289">
        <f t="shared" ref="S7:S15" si="0">F7</f>
        <v>100</v>
      </c>
      <c r="T7" s="1288" t="s">
        <v>1504</v>
      </c>
      <c r="U7" s="1289">
        <f t="shared" ref="U7:U15" si="1">H7</f>
        <v>100</v>
      </c>
      <c r="V7" s="1288" t="s">
        <v>1504</v>
      </c>
      <c r="W7" s="1289">
        <f t="shared" ref="W7:W15" si="2">J7</f>
        <v>100</v>
      </c>
      <c r="X7" s="1290"/>
      <c r="Y7" s="3676" t="s">
        <v>1503</v>
      </c>
      <c r="Z7" s="3678"/>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710" t="s">
        <v>1506</v>
      </c>
      <c r="Q8" s="3678"/>
      <c r="R8" s="1288" t="s">
        <v>1504</v>
      </c>
      <c r="S8" s="1289">
        <f t="shared" si="0"/>
        <v>100</v>
      </c>
      <c r="T8" s="1288" t="s">
        <v>1504</v>
      </c>
      <c r="U8" s="1289">
        <f t="shared" si="1"/>
        <v>100</v>
      </c>
      <c r="V8" s="1288" t="s">
        <v>1504</v>
      </c>
      <c r="W8" s="1289">
        <f t="shared" si="2"/>
        <v>100</v>
      </c>
      <c r="X8" s="1290"/>
      <c r="Y8" s="3676" t="s">
        <v>1506</v>
      </c>
      <c r="Z8" s="3678"/>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84"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84"/>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4"/>
      <c r="Q11" s="1292" t="str">
        <f t="shared" si="6"/>
        <v>容积率</v>
      </c>
      <c r="R11" s="1288" t="s">
        <v>1504</v>
      </c>
      <c r="S11" s="1289">
        <f t="shared" si="0"/>
        <v>100</v>
      </c>
      <c r="T11" s="1288" t="s">
        <v>1504</v>
      </c>
      <c r="U11" s="1289">
        <f t="shared" si="1"/>
        <v>100</v>
      </c>
      <c r="V11" s="1288" t="s">
        <v>1504</v>
      </c>
      <c r="W11" s="1289">
        <f t="shared" si="2"/>
        <v>100</v>
      </c>
      <c r="X11" s="1290"/>
      <c r="Y11" s="3616"/>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84"/>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84"/>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84"/>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85" t="s">
        <v>1515</v>
      </c>
      <c r="Q15" s="672" t="str">
        <f t="shared" si="6"/>
        <v>办公集聚程度</v>
      </c>
      <c r="R15" s="1293" t="s">
        <v>1504</v>
      </c>
      <c r="S15" s="1294">
        <f t="shared" si="0"/>
        <v>100</v>
      </c>
      <c r="T15" s="1293" t="s">
        <v>1504</v>
      </c>
      <c r="U15" s="1294">
        <f t="shared" si="1"/>
        <v>100</v>
      </c>
      <c r="V15" s="1293" t="s">
        <v>1504</v>
      </c>
      <c r="W15" s="1294">
        <f t="shared" si="2"/>
        <v>100</v>
      </c>
      <c r="X15" s="1287"/>
      <c r="Y15" s="3690"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86"/>
      <c r="Q16" s="672"/>
      <c r="R16" s="1293"/>
      <c r="S16" s="1294"/>
      <c r="T16" s="1293"/>
      <c r="U16" s="1294"/>
      <c r="V16" s="1293"/>
      <c r="W16" s="1294"/>
      <c r="X16" s="1287"/>
      <c r="Y16" s="3691"/>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86"/>
      <c r="Q17" s="672" t="str">
        <f>B17</f>
        <v>交通便捷度</v>
      </c>
      <c r="R17" s="1293" t="s">
        <v>1504</v>
      </c>
      <c r="S17" s="1294">
        <f>F17</f>
        <v>100</v>
      </c>
      <c r="T17" s="1293" t="s">
        <v>1504</v>
      </c>
      <c r="U17" s="1294">
        <f>H17</f>
        <v>100</v>
      </c>
      <c r="V17" s="1293" t="s">
        <v>1504</v>
      </c>
      <c r="W17" s="1294">
        <f>J17</f>
        <v>100</v>
      </c>
      <c r="X17" s="1287"/>
      <c r="Y17" s="3691"/>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86"/>
      <c r="Q18" s="672"/>
      <c r="R18" s="1293"/>
      <c r="S18" s="1294"/>
      <c r="T18" s="1293"/>
      <c r="U18" s="1294"/>
      <c r="V18" s="1293"/>
      <c r="W18" s="1294"/>
      <c r="X18" s="1287"/>
      <c r="Y18" s="3691"/>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97</v>
      </c>
      <c r="I19" s="1431"/>
      <c r="J19" s="1141">
        <f>SUMIF(81:81,I20,82:82)-SUMIF(81:81,C20,82:82)+100</f>
        <v>97</v>
      </c>
      <c r="K19" s="1517">
        <v>3</v>
      </c>
      <c r="L19" s="1257"/>
      <c r="M19" s="1245"/>
      <c r="N19" s="1245"/>
      <c r="O19" s="1245"/>
      <c r="P19" s="3686"/>
      <c r="Q19" s="672" t="str">
        <f>B19</f>
        <v>公共配套设施</v>
      </c>
      <c r="R19" s="1293" t="s">
        <v>1504</v>
      </c>
      <c r="S19" s="1294">
        <f>F19</f>
        <v>100</v>
      </c>
      <c r="T19" s="1293" t="s">
        <v>1504</v>
      </c>
      <c r="U19" s="1294">
        <f>H19</f>
        <v>97</v>
      </c>
      <c r="V19" s="1293" t="s">
        <v>1504</v>
      </c>
      <c r="W19" s="1294">
        <f>J19</f>
        <v>97</v>
      </c>
      <c r="X19" s="1287"/>
      <c r="Y19" s="3691"/>
      <c r="Z19" s="1277" t="str">
        <f>Q19</f>
        <v>公共配套设施</v>
      </c>
      <c r="AA19" s="1304">
        <f t="shared" si="3"/>
        <v>1</v>
      </c>
      <c r="AB19" s="1304">
        <f t="shared" si="4"/>
        <v>1.0309278350515463</v>
      </c>
      <c r="AC19" s="1656">
        <f t="shared" si="5"/>
        <v>1.0309278350515463</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86"/>
      <c r="Q20" s="672"/>
      <c r="R20" s="1293"/>
      <c r="S20" s="1294"/>
      <c r="T20" s="1293"/>
      <c r="U20" s="1294"/>
      <c r="V20" s="1293"/>
      <c r="W20" s="1294"/>
      <c r="X20" s="1287"/>
      <c r="Y20" s="3691"/>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86"/>
      <c r="Q21" s="672" t="str">
        <f>B21</f>
        <v>基础设施水平</v>
      </c>
      <c r="R21" s="1293" t="s">
        <v>1504</v>
      </c>
      <c r="S21" s="1294">
        <f>F21</f>
        <v>100</v>
      </c>
      <c r="T21" s="1293" t="s">
        <v>1504</v>
      </c>
      <c r="U21" s="1294">
        <f>H21</f>
        <v>100</v>
      </c>
      <c r="V21" s="1293" t="s">
        <v>1504</v>
      </c>
      <c r="W21" s="1294">
        <f>J21</f>
        <v>100</v>
      </c>
      <c r="X21" s="1287"/>
      <c r="Y21" s="3691"/>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86"/>
      <c r="Q22" s="672"/>
      <c r="R22" s="1293"/>
      <c r="S22" s="1294"/>
      <c r="T22" s="1293"/>
      <c r="U22" s="1294"/>
      <c r="V22" s="1293"/>
      <c r="W22" s="1294"/>
      <c r="X22" s="1287"/>
      <c r="Y22" s="3691"/>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86"/>
      <c r="Q23" s="672" t="str">
        <f>B23</f>
        <v>环境质量</v>
      </c>
      <c r="R23" s="1293" t="s">
        <v>1504</v>
      </c>
      <c r="S23" s="1294">
        <f>F23</f>
        <v>100</v>
      </c>
      <c r="T23" s="1293" t="s">
        <v>1504</v>
      </c>
      <c r="U23" s="1294">
        <f>H23</f>
        <v>100</v>
      </c>
      <c r="V23" s="1293" t="s">
        <v>1504</v>
      </c>
      <c r="W23" s="1294">
        <f>J23</f>
        <v>100</v>
      </c>
      <c r="X23" s="1287"/>
      <c r="Y23" s="3691"/>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86"/>
      <c r="Q24" s="672"/>
      <c r="R24" s="1293"/>
      <c r="S24" s="1294"/>
      <c r="T24" s="1293"/>
      <c r="U24" s="1294"/>
      <c r="V24" s="1293"/>
      <c r="W24" s="1294"/>
      <c r="X24" s="1287"/>
      <c r="Y24" s="3691"/>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86"/>
      <c r="Q25" s="672" t="str">
        <f>B25</f>
        <v>毗邻道路的类型与等级</v>
      </c>
      <c r="R25" s="1293" t="s">
        <v>1504</v>
      </c>
      <c r="S25" s="1294">
        <f>F25</f>
        <v>100</v>
      </c>
      <c r="T25" s="1293" t="s">
        <v>1504</v>
      </c>
      <c r="U25" s="1294">
        <f>H25</f>
        <v>100</v>
      </c>
      <c r="V25" s="1293" t="s">
        <v>1504</v>
      </c>
      <c r="W25" s="1294">
        <f>J25</f>
        <v>100</v>
      </c>
      <c r="X25" s="1287"/>
      <c r="Y25" s="3691"/>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86"/>
      <c r="Q26" s="672"/>
      <c r="R26" s="1293"/>
      <c r="S26" s="1294"/>
      <c r="T26" s="1293"/>
      <c r="U26" s="1294"/>
      <c r="V26" s="1293"/>
      <c r="W26" s="1294"/>
      <c r="X26" s="1287"/>
      <c r="Y26" s="3691"/>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6"/>
      <c r="Q27" s="672" t="str">
        <f t="shared" ref="Q27:Q47" si="11">B27</f>
        <v>楼层</v>
      </c>
      <c r="R27" s="1293" t="s">
        <v>1504</v>
      </c>
      <c r="S27" s="1294">
        <f>F27</f>
        <v>100</v>
      </c>
      <c r="T27" s="1293" t="s">
        <v>1504</v>
      </c>
      <c r="U27" s="1294">
        <f>H27</f>
        <v>100</v>
      </c>
      <c r="V27" s="1293" t="s">
        <v>1504</v>
      </c>
      <c r="W27" s="1294">
        <f>J27</f>
        <v>100</v>
      </c>
      <c r="X27" s="1287"/>
      <c r="Y27" s="3691"/>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86"/>
      <c r="Q28" s="1292" t="str">
        <f t="shared" si="11"/>
        <v>朝向</v>
      </c>
      <c r="R28" s="1288" t="s">
        <v>1504</v>
      </c>
      <c r="S28" s="1289">
        <f>F28</f>
        <v>100</v>
      </c>
      <c r="T28" s="1288" t="s">
        <v>1504</v>
      </c>
      <c r="U28" s="1289">
        <f>H28</f>
        <v>100</v>
      </c>
      <c r="V28" s="1288" t="s">
        <v>1504</v>
      </c>
      <c r="W28" s="1289">
        <f>J28</f>
        <v>100</v>
      </c>
      <c r="X28" s="1290"/>
      <c r="Y28" s="3691"/>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86"/>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91"/>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86"/>
      <c r="Q30" s="672" t="str">
        <f t="shared" si="11"/>
        <v>研发产业集聚程度</v>
      </c>
      <c r="R30" s="1293" t="s">
        <v>1504</v>
      </c>
      <c r="S30" s="1294">
        <f t="shared" si="12"/>
        <v>105</v>
      </c>
      <c r="T30" s="1293" t="s">
        <v>1504</v>
      </c>
      <c r="U30" s="1294">
        <f t="shared" si="13"/>
        <v>105</v>
      </c>
      <c r="V30" s="1293" t="s">
        <v>1504</v>
      </c>
      <c r="W30" s="1294">
        <f t="shared" si="14"/>
        <v>105</v>
      </c>
      <c r="X30" s="1287"/>
      <c r="Y30" s="3691"/>
      <c r="Z30" s="1277" t="str">
        <f t="shared" si="15"/>
        <v>研发产业集聚程度</v>
      </c>
      <c r="AA30" s="1304">
        <f t="shared" si="3"/>
        <v>0.952380952380952</v>
      </c>
      <c r="AB30" s="1304">
        <f t="shared" si="4"/>
        <v>0.952380952380952</v>
      </c>
      <c r="AC30" s="1656">
        <f t="shared" si="5"/>
        <v>0.952380952380952</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86"/>
      <c r="Q31" s="672">
        <f t="shared" si="11"/>
        <v>111</v>
      </c>
      <c r="R31" s="1293" t="s">
        <v>1504</v>
      </c>
      <c r="S31" s="1294">
        <f t="shared" si="12"/>
        <v>100</v>
      </c>
      <c r="T31" s="1293" t="s">
        <v>1504</v>
      </c>
      <c r="U31" s="1294">
        <f t="shared" si="13"/>
        <v>100</v>
      </c>
      <c r="V31" s="1293" t="s">
        <v>1504</v>
      </c>
      <c r="W31" s="1294">
        <f t="shared" si="14"/>
        <v>100</v>
      </c>
      <c r="X31" s="1287"/>
      <c r="Y31" s="3691"/>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86"/>
      <c r="Q32" s="672">
        <f t="shared" si="11"/>
        <v>111</v>
      </c>
      <c r="R32" s="1293" t="s">
        <v>1504</v>
      </c>
      <c r="S32" s="1294">
        <f t="shared" si="12"/>
        <v>100</v>
      </c>
      <c r="T32" s="1293" t="s">
        <v>1504</v>
      </c>
      <c r="U32" s="1294">
        <f t="shared" si="13"/>
        <v>100</v>
      </c>
      <c r="V32" s="1293" t="s">
        <v>1504</v>
      </c>
      <c r="W32" s="1294">
        <f t="shared" si="14"/>
        <v>100</v>
      </c>
      <c r="X32" s="1287"/>
      <c r="Y32" s="3691"/>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87" t="s">
        <v>1524</v>
      </c>
      <c r="Q33" s="672" t="str">
        <f t="shared" si="11"/>
        <v>建筑类型</v>
      </c>
      <c r="R33" s="1293" t="s">
        <v>1504</v>
      </c>
      <c r="S33" s="1294">
        <f t="shared" si="12"/>
        <v>100</v>
      </c>
      <c r="T33" s="1293" t="s">
        <v>1504</v>
      </c>
      <c r="U33" s="1294">
        <f t="shared" si="13"/>
        <v>100</v>
      </c>
      <c r="V33" s="1293" t="s">
        <v>1504</v>
      </c>
      <c r="W33" s="1294">
        <f t="shared" si="14"/>
        <v>100</v>
      </c>
      <c r="X33" s="1287"/>
      <c r="Y33" s="3692"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88"/>
      <c r="Q34" s="1521" t="str">
        <f t="shared" si="11"/>
        <v>项目建筑规模</v>
      </c>
      <c r="R34" s="1295" t="s">
        <v>1504</v>
      </c>
      <c r="S34" s="1296">
        <f t="shared" si="12"/>
        <v>99</v>
      </c>
      <c r="T34" s="1295" t="s">
        <v>1504</v>
      </c>
      <c r="U34" s="1296">
        <f t="shared" si="13"/>
        <v>98</v>
      </c>
      <c r="V34" s="1295" t="s">
        <v>1504</v>
      </c>
      <c r="W34" s="1296">
        <f t="shared" si="14"/>
        <v>98</v>
      </c>
      <c r="X34" s="1297"/>
      <c r="Y34" s="3692"/>
      <c r="Z34" s="1305" t="str">
        <f t="shared" si="15"/>
        <v>项目建筑规模</v>
      </c>
      <c r="AA34" s="1304">
        <f t="shared" si="3"/>
        <v>1.0101010101010099</v>
      </c>
      <c r="AB34" s="1304">
        <f t="shared" si="4"/>
        <v>1.0204081632653099</v>
      </c>
      <c r="AC34" s="1656">
        <f t="shared" si="5"/>
        <v>1.0204081632653099</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88"/>
      <c r="Q35" s="672" t="str">
        <f t="shared" si="11"/>
        <v>建筑结构</v>
      </c>
      <c r="R35" s="1293" t="s">
        <v>1504</v>
      </c>
      <c r="S35" s="1294">
        <f t="shared" si="12"/>
        <v>100</v>
      </c>
      <c r="T35" s="1293" t="s">
        <v>1504</v>
      </c>
      <c r="U35" s="1294">
        <f t="shared" si="13"/>
        <v>100</v>
      </c>
      <c r="V35" s="1293" t="s">
        <v>1504</v>
      </c>
      <c r="W35" s="1294">
        <f t="shared" si="14"/>
        <v>100</v>
      </c>
      <c r="X35" s="1287"/>
      <c r="Y35" s="3692"/>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88"/>
      <c r="Q36" s="672" t="str">
        <f t="shared" si="11"/>
        <v>公共部分装修</v>
      </c>
      <c r="R36" s="1293" t="s">
        <v>1504</v>
      </c>
      <c r="S36" s="1294">
        <f t="shared" si="12"/>
        <v>100</v>
      </c>
      <c r="T36" s="1293" t="s">
        <v>1504</v>
      </c>
      <c r="U36" s="1294">
        <f t="shared" si="13"/>
        <v>100</v>
      </c>
      <c r="V36" s="1293" t="s">
        <v>1504</v>
      </c>
      <c r="W36" s="1294">
        <f t="shared" si="14"/>
        <v>100</v>
      </c>
      <c r="X36" s="1287"/>
      <c r="Y36" s="3692"/>
      <c r="Z36" s="1277" t="str">
        <f t="shared" si="15"/>
        <v>公共部分装修</v>
      </c>
      <c r="AA36" s="1304">
        <f t="shared" si="3"/>
        <v>1</v>
      </c>
      <c r="AB36" s="1304">
        <f t="shared" si="4"/>
        <v>1</v>
      </c>
      <c r="AC36" s="1656">
        <f t="shared" si="5"/>
        <v>1</v>
      </c>
    </row>
    <row r="37" spans="1:29" ht="15">
      <c r="A37" s="1169"/>
      <c r="B37" s="1115" t="s">
        <v>641</v>
      </c>
      <c r="C37" s="1489">
        <v>0.9</v>
      </c>
      <c r="D37" s="1127">
        <v>100</v>
      </c>
      <c r="E37" s="1489">
        <v>0.9</v>
      </c>
      <c r="F37" s="1482">
        <f>LOOKUP(E37,111:111,112:112)-LOOKUP(C37,111:111,112:112)+100</f>
        <v>100</v>
      </c>
      <c r="G37" s="1489">
        <v>0.9</v>
      </c>
      <c r="H37" s="1482">
        <f>LOOKUP(G37,111:111,112:112)-LOOKUP(C37,111:111,112:112)+100</f>
        <v>100</v>
      </c>
      <c r="I37" s="1489">
        <v>0.9</v>
      </c>
      <c r="J37" s="1127">
        <f>LOOKUP(I37,111:111,112:112)-LOOKUP(C37,111:111,112:112)+100</f>
        <v>100</v>
      </c>
      <c r="K37" s="1263"/>
      <c r="L37" s="1257"/>
      <c r="M37" s="1245"/>
      <c r="N37" s="1245"/>
      <c r="O37" s="1245"/>
      <c r="P37" s="3688"/>
      <c r="Q37" s="672" t="str">
        <f t="shared" si="11"/>
        <v>成新度</v>
      </c>
      <c r="R37" s="1293" t="s">
        <v>1504</v>
      </c>
      <c r="S37" s="1294">
        <f t="shared" si="12"/>
        <v>100</v>
      </c>
      <c r="T37" s="1293" t="s">
        <v>1504</v>
      </c>
      <c r="U37" s="1294">
        <f t="shared" si="13"/>
        <v>100</v>
      </c>
      <c r="V37" s="1293" t="s">
        <v>1504</v>
      </c>
      <c r="W37" s="1294">
        <f t="shared" si="14"/>
        <v>100</v>
      </c>
      <c r="X37" s="1287"/>
      <c r="Y37" s="3692"/>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88"/>
      <c r="Q38" s="1292" t="str">
        <f t="shared" si="11"/>
        <v>写字楼等级</v>
      </c>
      <c r="R38" s="1288" t="s">
        <v>1504</v>
      </c>
      <c r="S38" s="1289">
        <f t="shared" si="12"/>
        <v>100</v>
      </c>
      <c r="T38" s="1288" t="s">
        <v>1504</v>
      </c>
      <c r="U38" s="1289">
        <f t="shared" si="13"/>
        <v>100</v>
      </c>
      <c r="V38" s="1288" t="s">
        <v>1504</v>
      </c>
      <c r="W38" s="1289">
        <f t="shared" si="14"/>
        <v>100</v>
      </c>
      <c r="X38" s="1290"/>
      <c r="Y38" s="3692"/>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88" t="s">
        <v>1524</v>
      </c>
      <c r="Q39" s="672" t="str">
        <f t="shared" si="11"/>
        <v>物业管理</v>
      </c>
      <c r="R39" s="1293" t="s">
        <v>1504</v>
      </c>
      <c r="S39" s="1294">
        <f t="shared" si="12"/>
        <v>100</v>
      </c>
      <c r="T39" s="1293" t="s">
        <v>1504</v>
      </c>
      <c r="U39" s="1294">
        <f t="shared" si="13"/>
        <v>100</v>
      </c>
      <c r="V39" s="1293" t="s">
        <v>1504</v>
      </c>
      <c r="W39" s="1294">
        <f t="shared" si="14"/>
        <v>100</v>
      </c>
      <c r="X39" s="1287"/>
      <c r="Y39" s="3692"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88"/>
      <c r="Q40" s="672" t="str">
        <f t="shared" si="11"/>
        <v>市政基础设施</v>
      </c>
      <c r="R40" s="1293" t="s">
        <v>1504</v>
      </c>
      <c r="S40" s="1294">
        <f t="shared" si="12"/>
        <v>100</v>
      </c>
      <c r="T40" s="1293" t="s">
        <v>1504</v>
      </c>
      <c r="U40" s="1294">
        <f t="shared" si="13"/>
        <v>100</v>
      </c>
      <c r="V40" s="1293" t="s">
        <v>1504</v>
      </c>
      <c r="W40" s="1294">
        <f t="shared" si="14"/>
        <v>100</v>
      </c>
      <c r="X40" s="1287"/>
      <c r="Y40" s="3692"/>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88"/>
      <c r="Q41" s="672" t="str">
        <f t="shared" si="11"/>
        <v>层高</v>
      </c>
      <c r="R41" s="1293" t="s">
        <v>1504</v>
      </c>
      <c r="S41" s="1294">
        <f t="shared" si="12"/>
        <v>100</v>
      </c>
      <c r="T41" s="1293" t="s">
        <v>1504</v>
      </c>
      <c r="U41" s="1294">
        <f t="shared" si="13"/>
        <v>100</v>
      </c>
      <c r="V41" s="1293" t="s">
        <v>1504</v>
      </c>
      <c r="W41" s="1294">
        <f t="shared" si="14"/>
        <v>100</v>
      </c>
      <c r="X41" s="1287"/>
      <c r="Y41" s="3692"/>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8"/>
      <c r="Q42" s="1521" t="str">
        <f t="shared" si="11"/>
        <v>单套建筑面积</v>
      </c>
      <c r="R42" s="1295" t="s">
        <v>1504</v>
      </c>
      <c r="S42" s="1296">
        <f t="shared" si="12"/>
        <v>100</v>
      </c>
      <c r="T42" s="1295" t="s">
        <v>1504</v>
      </c>
      <c r="U42" s="1296">
        <f t="shared" si="13"/>
        <v>100</v>
      </c>
      <c r="V42" s="1295" t="s">
        <v>1504</v>
      </c>
      <c r="W42" s="1296">
        <f t="shared" si="14"/>
        <v>100</v>
      </c>
      <c r="X42" s="1297"/>
      <c r="Y42" s="3692"/>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88"/>
      <c r="Q43" s="672" t="str">
        <f t="shared" si="11"/>
        <v>内部装修</v>
      </c>
      <c r="R43" s="1293" t="s">
        <v>1504</v>
      </c>
      <c r="S43" s="1294">
        <f t="shared" si="12"/>
        <v>100</v>
      </c>
      <c r="T43" s="1293" t="s">
        <v>1504</v>
      </c>
      <c r="U43" s="1294">
        <f t="shared" si="13"/>
        <v>100</v>
      </c>
      <c r="V43" s="1293" t="s">
        <v>1504</v>
      </c>
      <c r="W43" s="1294">
        <f t="shared" si="14"/>
        <v>100</v>
      </c>
      <c r="X43" s="1287"/>
      <c r="Y43" s="3692"/>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8"/>
      <c r="Q44" s="672" t="str">
        <f t="shared" si="11"/>
        <v>内部装修维护情况</v>
      </c>
      <c r="R44" s="1293" t="s">
        <v>1504</v>
      </c>
      <c r="S44" s="1294">
        <f t="shared" si="12"/>
        <v>100</v>
      </c>
      <c r="T44" s="1293" t="s">
        <v>1504</v>
      </c>
      <c r="U44" s="1294">
        <f t="shared" si="13"/>
        <v>100</v>
      </c>
      <c r="V44" s="1293" t="s">
        <v>1504</v>
      </c>
      <c r="W44" s="1294">
        <f t="shared" si="14"/>
        <v>100</v>
      </c>
      <c r="X44" s="1287"/>
      <c r="Y44" s="3692"/>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2019</v>
      </c>
      <c r="F45" s="1475">
        <f>SUMIF(127:127,E45,128:128)-SUMIF(127:127,C45,128:128)+100</f>
        <v>100</v>
      </c>
      <c r="G45" s="1116">
        <v>2022</v>
      </c>
      <c r="H45" s="1117">
        <f>SUMIF(127:127,G45,128:128)-SUMIF(127:127,C45,128:128)+100</f>
        <v>100</v>
      </c>
      <c r="I45" s="1116">
        <v>2022</v>
      </c>
      <c r="J45" s="1117">
        <f>SUMIF(127:127,I45,128:128)-SUMIF(127:127,C45,128:128)+100</f>
        <v>100</v>
      </c>
      <c r="K45" s="1262"/>
      <c r="L45" s="1247"/>
      <c r="M45" s="1248"/>
      <c r="N45" s="1248"/>
      <c r="O45" s="1248"/>
      <c r="P45" s="3688"/>
      <c r="Q45" s="1292" t="str">
        <f t="shared" si="11"/>
        <v>建成年代</v>
      </c>
      <c r="R45" s="1288" t="s">
        <v>1504</v>
      </c>
      <c r="S45" s="1289">
        <f t="shared" si="12"/>
        <v>100</v>
      </c>
      <c r="T45" s="1288" t="s">
        <v>1504</v>
      </c>
      <c r="U45" s="1289">
        <f t="shared" si="13"/>
        <v>100</v>
      </c>
      <c r="V45" s="1288" t="s">
        <v>1504</v>
      </c>
      <c r="W45" s="1289">
        <f t="shared" si="14"/>
        <v>100</v>
      </c>
      <c r="X45" s="1290"/>
      <c r="Y45" s="3692"/>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0.257706098616169</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88"/>
      <c r="Q46" s="672" t="str">
        <f t="shared" si="11"/>
        <v>地下占比</v>
      </c>
      <c r="R46" s="1293" t="s">
        <v>1504</v>
      </c>
      <c r="S46" s="1294">
        <f t="shared" si="12"/>
        <v>117.5</v>
      </c>
      <c r="T46" s="1293" t="s">
        <v>1504</v>
      </c>
      <c r="U46" s="1294">
        <f t="shared" si="13"/>
        <v>117.5</v>
      </c>
      <c r="V46" s="1293" t="s">
        <v>1504</v>
      </c>
      <c r="W46" s="1294">
        <f t="shared" si="14"/>
        <v>117.5</v>
      </c>
      <c r="X46" s="1287"/>
      <c r="Y46" s="3692"/>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89"/>
      <c r="Q47" s="672">
        <f t="shared" si="11"/>
        <v>111</v>
      </c>
      <c r="R47" s="1293" t="s">
        <v>1504</v>
      </c>
      <c r="S47" s="1294">
        <f t="shared" si="12"/>
        <v>100</v>
      </c>
      <c r="T47" s="1293" t="s">
        <v>1504</v>
      </c>
      <c r="U47" s="1294">
        <f t="shared" si="13"/>
        <v>100</v>
      </c>
      <c r="V47" s="1293" t="s">
        <v>1504</v>
      </c>
      <c r="W47" s="1294">
        <f t="shared" si="14"/>
        <v>100</v>
      </c>
      <c r="X47" s="1287"/>
      <c r="Y47" s="3693"/>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84" t="str">
        <f>A48</f>
        <v>成交单价（元/平方米）</v>
      </c>
      <c r="Q48" s="3679"/>
      <c r="R48" s="3680">
        <f>E48</f>
        <v>40000</v>
      </c>
      <c r="S48" s="3680"/>
      <c r="T48" s="3680">
        <f>G48</f>
        <v>38000</v>
      </c>
      <c r="U48" s="3680"/>
      <c r="V48" s="3680">
        <f>I48</f>
        <v>38301</v>
      </c>
      <c r="W48" s="3680"/>
      <c r="X48" s="1427"/>
      <c r="Y48" s="1306"/>
      <c r="Z48" s="1427"/>
      <c r="AA48" s="1427"/>
      <c r="AB48" s="1427"/>
      <c r="AC48" s="1137"/>
    </row>
    <row r="49" spans="1:43" ht="15">
      <c r="A49" s="1184" t="s">
        <v>1536</v>
      </c>
      <c r="B49" s="1503"/>
      <c r="C49" s="1504">
        <f>R50</f>
        <v>34442</v>
      </c>
      <c r="D49" s="1187" t="s">
        <v>1537</v>
      </c>
      <c r="E49" s="1505">
        <f>R49</f>
        <v>34114</v>
      </c>
      <c r="F49" s="1188"/>
      <c r="G49" s="1504">
        <f>T49</f>
        <v>34469</v>
      </c>
      <c r="H49" s="1188"/>
      <c r="I49" s="1505">
        <f>V49</f>
        <v>34742</v>
      </c>
      <c r="J49" s="1188"/>
      <c r="K49" s="1270">
        <f>F49+H49+J49</f>
        <v>0</v>
      </c>
      <c r="L49" s="1269"/>
      <c r="M49" s="1245"/>
      <c r="N49" s="1245"/>
      <c r="O49" s="1245"/>
      <c r="P49" s="3684" t="str">
        <f>A49</f>
        <v>比较价值（元/平方米）</v>
      </c>
      <c r="Q49" s="3679"/>
      <c r="R49" s="3680">
        <f>IF(F1="售价",ROUND(PRODUCT(R48,AA7:AA47),0),ROUND(PRODUCT(R48,AA7:AA47),1))</f>
        <v>34114</v>
      </c>
      <c r="S49" s="3680"/>
      <c r="T49" s="3680">
        <f>IF(F1="售价",ROUND(PRODUCT(T48,AB7:AB47),0),ROUND(PRODUCT(T48,AB7:AB47),1))</f>
        <v>34469</v>
      </c>
      <c r="U49" s="3680"/>
      <c r="V49" s="3680">
        <f>IF(F1="售价",ROUND(PRODUCT(V48,AC7:AC47),0),ROUND(PRODUCT(V48,AC7:AC47),1))</f>
        <v>34742</v>
      </c>
      <c r="W49" s="3680"/>
      <c r="X49" s="1427"/>
      <c r="Y49" s="1427"/>
      <c r="Z49" s="1427"/>
      <c r="AA49" s="1427"/>
      <c r="AB49" s="1427"/>
      <c r="AC49" s="1137"/>
    </row>
    <row r="50" spans="1:43" ht="15">
      <c r="A50" s="1190" t="s">
        <v>1538</v>
      </c>
      <c r="B50" s="1191"/>
      <c r="C50" s="1506">
        <f>R50</f>
        <v>34442</v>
      </c>
      <c r="D50" s="1506"/>
      <c r="E50" s="1506"/>
      <c r="F50" s="1506"/>
      <c r="G50" s="1506"/>
      <c r="H50" s="1506"/>
      <c r="I50" s="1506"/>
      <c r="J50" s="1192"/>
      <c r="K50" s="1271"/>
      <c r="L50" s="1269"/>
      <c r="M50" s="1245"/>
      <c r="N50" s="1245"/>
      <c r="O50" s="1245"/>
      <c r="P50" s="3711" t="str">
        <f>A50</f>
        <v>估价对象XX用房的比较价值（楼面单价，元/平方米）</v>
      </c>
      <c r="Q50" s="3712"/>
      <c r="R50" s="3713">
        <f>IF(F1="售价",ROUND(IF(D49="简单平均",AVERAGE(R49:V49),R49*F49+T49*H49+V49*J49),0),ROUND(IF(D49="简单平均",AVERAGE(R49:V49),R49*F49+T49*H49+V49*J49),1))</f>
        <v>34442</v>
      </c>
      <c r="S50" s="3713"/>
      <c r="T50" s="3713"/>
      <c r="U50" s="3713"/>
      <c r="V50" s="3713"/>
      <c r="W50" s="3713"/>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0.10243987350953021</v>
      </c>
      <c r="H53" s="1197" t="str">
        <f>IF(OR(G53&gt;=0.3,G53&lt;=-0.3),"超过30%","")</f>
        <v/>
      </c>
      <c r="I53" s="1196" t="e">
        <f>IF(#REF!&lt;I49,I49/#REF!-1,#REF!/I49-1)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1.0406284809755473E-2</v>
      </c>
      <c r="F54" s="1197" t="str">
        <f>IF(OR(E54&gt;=0.2,E54&lt;=-0.2),"超过20%","")</f>
        <v/>
      </c>
      <c r="G54" s="1196">
        <f>IF(G49&lt;I49,I49/G49-1,G49/I49-1)</f>
        <v>7.9201601438974034E-3</v>
      </c>
      <c r="H54" s="1197" t="str">
        <f>IF(OR(G54&gt;=0.2,G54&lt;=-0.2),"超过20%","")</f>
        <v/>
      </c>
      <c r="I54" s="1196">
        <f>IF(I49&lt;E49,E49/I49-1,I49/E49-1)</f>
        <v>1.8408864395849101E-2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5.2631578947368397E-2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2023-4</v>
      </c>
      <c r="D59" s="1511">
        <f>EDATE(C59,-1)</f>
        <v>44986</v>
      </c>
      <c r="E59" s="1511">
        <f>EDATE(D59,-1)</f>
        <v>44958</v>
      </c>
      <c r="F59" s="1511">
        <f t="shared" ref="F59:O59" si="16">EDATE(E59,-1)</f>
        <v>44927</v>
      </c>
      <c r="G59" s="1511">
        <f t="shared" si="16"/>
        <v>44896</v>
      </c>
      <c r="H59" s="1511">
        <f t="shared" si="16"/>
        <v>44866</v>
      </c>
      <c r="I59" s="1511">
        <f t="shared" si="16"/>
        <v>44835</v>
      </c>
      <c r="J59" s="1511">
        <f t="shared" si="16"/>
        <v>44805</v>
      </c>
      <c r="K59" s="1511">
        <f t="shared" si="16"/>
        <v>44774</v>
      </c>
      <c r="L59" s="1511">
        <f t="shared" si="16"/>
        <v>44743</v>
      </c>
      <c r="M59" s="1511">
        <f t="shared" si="16"/>
        <v>44713</v>
      </c>
      <c r="N59" s="1511">
        <f t="shared" si="16"/>
        <v>44682</v>
      </c>
      <c r="O59" s="1511">
        <f t="shared" si="16"/>
        <v>44652</v>
      </c>
      <c r="P59" s="1511">
        <f t="shared" ref="P59:AQ59" si="17">EDATE(O59,-1)</f>
        <v>44621</v>
      </c>
      <c r="Q59" s="1511">
        <f t="shared" si="17"/>
        <v>44593</v>
      </c>
      <c r="R59" s="1511">
        <f t="shared" si="17"/>
        <v>44562</v>
      </c>
      <c r="S59" s="1511">
        <f t="shared" si="17"/>
        <v>44531</v>
      </c>
      <c r="T59" s="1511">
        <f t="shared" si="17"/>
        <v>44501</v>
      </c>
      <c r="U59" s="1511">
        <f t="shared" si="17"/>
        <v>44470</v>
      </c>
      <c r="V59" s="1511">
        <f t="shared" si="17"/>
        <v>44440</v>
      </c>
      <c r="W59" s="1511">
        <f t="shared" si="17"/>
        <v>44409</v>
      </c>
      <c r="X59" s="1511">
        <f t="shared" si="17"/>
        <v>44378</v>
      </c>
      <c r="Y59" s="1511">
        <f t="shared" si="17"/>
        <v>44348</v>
      </c>
      <c r="Z59" s="1511">
        <f t="shared" si="17"/>
        <v>44317</v>
      </c>
      <c r="AA59" s="1511">
        <f t="shared" si="17"/>
        <v>44287</v>
      </c>
      <c r="AB59" s="1511">
        <f t="shared" si="17"/>
        <v>44256</v>
      </c>
      <c r="AC59" s="1511">
        <f t="shared" si="17"/>
        <v>44228</v>
      </c>
      <c r="AD59" s="1511">
        <f t="shared" si="17"/>
        <v>44197</v>
      </c>
      <c r="AE59" s="1511">
        <f t="shared" si="17"/>
        <v>44166</v>
      </c>
      <c r="AF59" s="1511">
        <f t="shared" si="17"/>
        <v>44136</v>
      </c>
      <c r="AG59" s="1511">
        <f t="shared" si="17"/>
        <v>44105</v>
      </c>
      <c r="AH59" s="1511">
        <f t="shared" si="17"/>
        <v>44075</v>
      </c>
      <c r="AI59" s="1511">
        <f t="shared" si="17"/>
        <v>44044</v>
      </c>
      <c r="AJ59" s="1511">
        <f t="shared" si="17"/>
        <v>44013</v>
      </c>
      <c r="AK59" s="1511">
        <f t="shared" si="17"/>
        <v>43983</v>
      </c>
      <c r="AL59" s="1511">
        <f t="shared" si="17"/>
        <v>43952</v>
      </c>
      <c r="AM59" s="1511">
        <f t="shared" si="17"/>
        <v>43922</v>
      </c>
      <c r="AN59" s="1511">
        <f t="shared" si="17"/>
        <v>43891</v>
      </c>
      <c r="AO59" s="1511">
        <f t="shared" si="17"/>
        <v>43862</v>
      </c>
      <c r="AP59" s="1511">
        <f t="shared" si="17"/>
        <v>43831</v>
      </c>
      <c r="AQ59" s="1511">
        <f t="shared" si="17"/>
        <v>43800</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1593</v>
      </c>
      <c r="F66" s="1353" t="s">
        <v>1610</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97</v>
      </c>
      <c r="E82" s="1331">
        <f>D82-$K19</f>
        <v>94</v>
      </c>
      <c r="F82" s="1331">
        <f>E82-$K19</f>
        <v>91</v>
      </c>
      <c r="G82" s="1331">
        <f>F82-$K19</f>
        <v>88</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8">D112+$K37</f>
        <v>100</v>
      </c>
      <c r="F112" s="1331">
        <f t="shared" si="28"/>
        <v>100</v>
      </c>
      <c r="G112" s="1331">
        <f t="shared" si="28"/>
        <v>100</v>
      </c>
      <c r="H112" s="1331">
        <f t="shared" si="28"/>
        <v>100</v>
      </c>
      <c r="I112" s="1331">
        <f t="shared" si="28"/>
        <v>100</v>
      </c>
      <c r="J112" s="1331">
        <f t="shared" si="28"/>
        <v>100</v>
      </c>
      <c r="K112" s="1331">
        <f t="shared" si="28"/>
        <v>100</v>
      </c>
      <c r="L112" s="1331">
        <f t="shared" si="28"/>
        <v>100</v>
      </c>
      <c r="M112" s="1331">
        <f t="shared" si="28"/>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1611</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0.257706098616169</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1612</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664" t="s">
        <v>1490</v>
      </c>
      <c r="D4" s="3665"/>
      <c r="E4" s="3666" t="s">
        <v>1491</v>
      </c>
      <c r="F4" s="3667"/>
      <c r="G4" s="3664" t="s">
        <v>1492</v>
      </c>
      <c r="H4" s="3665"/>
      <c r="I4" s="3664" t="s">
        <v>1493</v>
      </c>
      <c r="J4" s="3665"/>
      <c r="K4" s="1243" t="s">
        <v>1494</v>
      </c>
      <c r="L4" s="1598"/>
      <c r="M4" s="1599"/>
      <c r="N4" s="1599"/>
      <c r="O4" s="1599"/>
      <c r="P4" s="3697" t="s">
        <v>1495</v>
      </c>
      <c r="Q4" s="3698"/>
      <c r="R4" s="3703" t="s">
        <v>1491</v>
      </c>
      <c r="S4" s="3704"/>
      <c r="T4" s="3703" t="s">
        <v>1492</v>
      </c>
      <c r="U4" s="3704"/>
      <c r="V4" s="3709" t="s">
        <v>1493</v>
      </c>
      <c r="W4" s="3709"/>
      <c r="X4" s="1287"/>
      <c r="Y4" s="3703" t="s">
        <v>1495</v>
      </c>
      <c r="Z4" s="3704"/>
      <c r="AA4" s="3694" t="s">
        <v>1491</v>
      </c>
      <c r="AB4" s="3695" t="s">
        <v>1492</v>
      </c>
      <c r="AC4" s="3694" t="s">
        <v>1493</v>
      </c>
    </row>
    <row r="5" spans="1:29" ht="15">
      <c r="A5" s="1098"/>
      <c r="B5" s="1099"/>
      <c r="C5" s="3668" t="s">
        <v>1496</v>
      </c>
      <c r="D5" s="3669"/>
      <c r="E5" s="3670" t="s">
        <v>1497</v>
      </c>
      <c r="F5" s="3671"/>
      <c r="G5" s="3668" t="s">
        <v>1498</v>
      </c>
      <c r="H5" s="3669"/>
      <c r="I5" s="3668" t="s">
        <v>1499</v>
      </c>
      <c r="J5" s="3669"/>
      <c r="K5" s="1243"/>
      <c r="L5" s="1598"/>
      <c r="M5" s="1599"/>
      <c r="N5" s="1599"/>
      <c r="O5" s="1599"/>
      <c r="P5" s="3699"/>
      <c r="Q5" s="3700"/>
      <c r="R5" s="3705"/>
      <c r="S5" s="3706"/>
      <c r="T5" s="3705"/>
      <c r="U5" s="3706"/>
      <c r="V5" s="3709"/>
      <c r="W5" s="3709"/>
      <c r="X5" s="1287"/>
      <c r="Y5" s="3705"/>
      <c r="Z5" s="3706"/>
      <c r="AA5" s="3695"/>
      <c r="AB5" s="3695"/>
      <c r="AC5" s="3695"/>
    </row>
    <row r="6" spans="1:29" ht="15">
      <c r="A6" s="1100"/>
      <c r="B6" s="1101"/>
      <c r="C6" s="3672" t="s">
        <v>1500</v>
      </c>
      <c r="D6" s="3673"/>
      <c r="E6" s="3674" t="s">
        <v>1500</v>
      </c>
      <c r="F6" s="3675"/>
      <c r="G6" s="3672" t="s">
        <v>1500</v>
      </c>
      <c r="H6" s="3673"/>
      <c r="I6" s="3672" t="s">
        <v>1500</v>
      </c>
      <c r="J6" s="3673"/>
      <c r="K6" s="1243" t="s">
        <v>1501</v>
      </c>
      <c r="L6" s="1598"/>
      <c r="M6" s="1599"/>
      <c r="N6" s="1599"/>
      <c r="O6" s="1599"/>
      <c r="P6" s="3701"/>
      <c r="Q6" s="3702"/>
      <c r="R6" s="3705"/>
      <c r="S6" s="3706"/>
      <c r="T6" s="3707"/>
      <c r="U6" s="3708"/>
      <c r="V6" s="3709"/>
      <c r="W6" s="3709"/>
      <c r="X6" s="1287"/>
      <c r="Y6" s="3707"/>
      <c r="Z6" s="3708"/>
      <c r="AA6" s="3696"/>
      <c r="AB6" s="3696"/>
      <c r="AC6" s="3696"/>
    </row>
    <row r="7" spans="1:29" s="1077" customFormat="1" ht="15">
      <c r="A7" s="1102" t="s">
        <v>1502</v>
      </c>
      <c r="B7" s="1103"/>
      <c r="C7" s="1104">
        <f>'数据-取费表'!B2</f>
        <v>45026</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76" t="s">
        <v>1503</v>
      </c>
      <c r="Q7" s="3677"/>
      <c r="R7" s="1288" t="s">
        <v>1504</v>
      </c>
      <c r="S7" s="1289">
        <f t="shared" ref="S7:S15" si="0">F7</f>
        <v>0</v>
      </c>
      <c r="T7" s="1288" t="s">
        <v>1504</v>
      </c>
      <c r="U7" s="1289">
        <f t="shared" ref="U7:U15" si="1">H7</f>
        <v>0</v>
      </c>
      <c r="V7" s="1288" t="s">
        <v>1504</v>
      </c>
      <c r="W7" s="1289">
        <f t="shared" ref="W7:W15" si="2">J7</f>
        <v>0</v>
      </c>
      <c r="X7" s="1290"/>
      <c r="Y7" s="3676" t="s">
        <v>1503</v>
      </c>
      <c r="Z7" s="3678"/>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76" t="s">
        <v>1506</v>
      </c>
      <c r="Q8" s="3678"/>
      <c r="R8" s="1288" t="s">
        <v>1504</v>
      </c>
      <c r="S8" s="1289">
        <f t="shared" si="0"/>
        <v>100</v>
      </c>
      <c r="T8" s="1288" t="s">
        <v>1504</v>
      </c>
      <c r="U8" s="1289">
        <f t="shared" si="1"/>
        <v>100</v>
      </c>
      <c r="V8" s="1288" t="s">
        <v>1504</v>
      </c>
      <c r="W8" s="1289">
        <f t="shared" si="2"/>
        <v>100</v>
      </c>
      <c r="X8" s="1290"/>
      <c r="Y8" s="3676" t="s">
        <v>1506</v>
      </c>
      <c r="Z8" s="3678"/>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79"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79"/>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79"/>
      <c r="Q11" s="1292" t="str">
        <f t="shared" si="6"/>
        <v>容积率</v>
      </c>
      <c r="R11" s="1288" t="s">
        <v>1504</v>
      </c>
      <c r="S11" s="1289">
        <f t="shared" si="0"/>
        <v>100</v>
      </c>
      <c r="T11" s="1288" t="s">
        <v>1504</v>
      </c>
      <c r="U11" s="1289">
        <f t="shared" si="1"/>
        <v>100</v>
      </c>
      <c r="V11" s="1288" t="s">
        <v>1504</v>
      </c>
      <c r="W11" s="1289">
        <f t="shared" si="2"/>
        <v>100</v>
      </c>
      <c r="X11" s="1290"/>
      <c r="Y11" s="3616"/>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79"/>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79"/>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79"/>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302">
        <f t="shared" si="5"/>
        <v>1</v>
      </c>
    </row>
    <row r="15" spans="1:29" ht="57">
      <c r="A15" s="1132" t="s">
        <v>1513</v>
      </c>
      <c r="B15" s="1425" t="s">
        <v>1613</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0" t="s">
        <v>1515</v>
      </c>
      <c r="Q15" s="672" t="str">
        <f t="shared" si="6"/>
        <v>产业集聚程度</v>
      </c>
      <c r="R15" s="1293" t="s">
        <v>1504</v>
      </c>
      <c r="S15" s="1294">
        <f t="shared" si="0"/>
        <v>100</v>
      </c>
      <c r="T15" s="1293" t="s">
        <v>1504</v>
      </c>
      <c r="U15" s="1294">
        <f t="shared" si="1"/>
        <v>100</v>
      </c>
      <c r="V15" s="1293" t="s">
        <v>1504</v>
      </c>
      <c r="W15" s="1294">
        <f t="shared" si="2"/>
        <v>100</v>
      </c>
      <c r="X15" s="1287"/>
      <c r="Y15" s="3690"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1"/>
      <c r="Q16" s="672"/>
      <c r="R16" s="1293"/>
      <c r="S16" s="1294"/>
      <c r="T16" s="1293"/>
      <c r="U16" s="1294"/>
      <c r="V16" s="1293"/>
      <c r="W16" s="1294"/>
      <c r="X16" s="1287"/>
      <c r="Y16" s="3691"/>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1"/>
      <c r="Q17" s="672" t="str">
        <f>B17</f>
        <v>交通便捷度</v>
      </c>
      <c r="R17" s="1293" t="s">
        <v>1504</v>
      </c>
      <c r="S17" s="1294">
        <f>F17</f>
        <v>100</v>
      </c>
      <c r="T17" s="1293" t="s">
        <v>1504</v>
      </c>
      <c r="U17" s="1294">
        <f>H17</f>
        <v>100</v>
      </c>
      <c r="V17" s="1293" t="s">
        <v>1504</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1"/>
      <c r="Q18" s="672"/>
      <c r="R18" s="1293"/>
      <c r="S18" s="1294"/>
      <c r="T18" s="1293"/>
      <c r="U18" s="1294"/>
      <c r="V18" s="1293"/>
      <c r="W18" s="1294"/>
      <c r="X18" s="1287"/>
      <c r="Y18" s="3691"/>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1"/>
      <c r="Q19" s="672" t="str">
        <f>B19</f>
        <v>公共配套设施</v>
      </c>
      <c r="R19" s="1293" t="s">
        <v>1504</v>
      </c>
      <c r="S19" s="1294">
        <f>F19</f>
        <v>100</v>
      </c>
      <c r="T19" s="1293" t="s">
        <v>1504</v>
      </c>
      <c r="U19" s="1294">
        <f>H19</f>
        <v>100</v>
      </c>
      <c r="V19" s="1293" t="s">
        <v>1504</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1"/>
      <c r="Q20" s="672"/>
      <c r="R20" s="1293"/>
      <c r="S20" s="1294"/>
      <c r="T20" s="1293"/>
      <c r="U20" s="1294"/>
      <c r="V20" s="1293"/>
      <c r="W20" s="1294"/>
      <c r="X20" s="1287"/>
      <c r="Y20" s="3691"/>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1"/>
      <c r="Q21" s="672" t="str">
        <f>B21</f>
        <v>基础设施水平</v>
      </c>
      <c r="R21" s="1293" t="s">
        <v>1504</v>
      </c>
      <c r="S21" s="1294">
        <f>F21</f>
        <v>100</v>
      </c>
      <c r="T21" s="1293" t="s">
        <v>1504</v>
      </c>
      <c r="U21" s="1294">
        <f>H21</f>
        <v>100</v>
      </c>
      <c r="V21" s="1293" t="s">
        <v>1504</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1"/>
      <c r="Q22" s="672"/>
      <c r="R22" s="1293"/>
      <c r="S22" s="1294"/>
      <c r="T22" s="1293"/>
      <c r="U22" s="1294"/>
      <c r="V22" s="1293"/>
      <c r="W22" s="1294"/>
      <c r="X22" s="1287"/>
      <c r="Y22" s="3691"/>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1"/>
      <c r="Q23" s="672" t="str">
        <f>B23</f>
        <v>环境质量</v>
      </c>
      <c r="R23" s="1293" t="s">
        <v>1504</v>
      </c>
      <c r="S23" s="1294">
        <f>F23</f>
        <v>100</v>
      </c>
      <c r="T23" s="1293" t="s">
        <v>1504</v>
      </c>
      <c r="U23" s="1294">
        <f>H23</f>
        <v>100</v>
      </c>
      <c r="V23" s="1293" t="s">
        <v>1504</v>
      </c>
      <c r="W23" s="1294">
        <f>J23</f>
        <v>100</v>
      </c>
      <c r="X23" s="1287"/>
      <c r="Y23" s="3691"/>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1"/>
      <c r="Q24" s="672"/>
      <c r="R24" s="1293"/>
      <c r="S24" s="1294"/>
      <c r="T24" s="1293"/>
      <c r="U24" s="1294"/>
      <c r="V24" s="1293"/>
      <c r="W24" s="1294"/>
      <c r="X24" s="1287"/>
      <c r="Y24" s="3691"/>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1"/>
      <c r="Q25" s="672">
        <f>B25</f>
        <v>111</v>
      </c>
      <c r="R25" s="1293" t="s">
        <v>1504</v>
      </c>
      <c r="S25" s="1294">
        <f>F25</f>
        <v>100</v>
      </c>
      <c r="T25" s="1293" t="s">
        <v>1504</v>
      </c>
      <c r="U25" s="1294">
        <f>H25</f>
        <v>100</v>
      </c>
      <c r="V25" s="1293" t="s">
        <v>1504</v>
      </c>
      <c r="W25" s="1294">
        <f>J25</f>
        <v>100</v>
      </c>
      <c r="X25" s="1287"/>
      <c r="Y25" s="3691"/>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1"/>
      <c r="Q26" s="672">
        <f t="shared" ref="Q26:Q40" si="11">B26</f>
        <v>111</v>
      </c>
      <c r="R26" s="1293" t="s">
        <v>1504</v>
      </c>
      <c r="S26" s="1294">
        <f>F26</f>
        <v>100</v>
      </c>
      <c r="T26" s="1293" t="s">
        <v>1504</v>
      </c>
      <c r="U26" s="1294">
        <f>H26</f>
        <v>100</v>
      </c>
      <c r="V26" s="1293" t="s">
        <v>1504</v>
      </c>
      <c r="W26" s="1294">
        <f>J26</f>
        <v>100</v>
      </c>
      <c r="X26" s="1287"/>
      <c r="Y26" s="3691"/>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1"/>
      <c r="Q27" s="1292">
        <f t="shared" si="11"/>
        <v>111</v>
      </c>
      <c r="R27" s="1288" t="s">
        <v>1504</v>
      </c>
      <c r="S27" s="1289">
        <f>F27</f>
        <v>100</v>
      </c>
      <c r="T27" s="1288" t="s">
        <v>1504</v>
      </c>
      <c r="U27" s="1289">
        <f>H27</f>
        <v>100</v>
      </c>
      <c r="V27" s="1288" t="s">
        <v>1504</v>
      </c>
      <c r="W27" s="1289">
        <f>J27</f>
        <v>100</v>
      </c>
      <c r="X27" s="1290"/>
      <c r="Y27" s="3691"/>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1"/>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91"/>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5" t="s">
        <v>1524</v>
      </c>
      <c r="Q29" s="672" t="str">
        <f t="shared" si="11"/>
        <v>建筑类型</v>
      </c>
      <c r="R29" s="1293" t="s">
        <v>1504</v>
      </c>
      <c r="S29" s="1294">
        <f t="shared" si="12"/>
        <v>100</v>
      </c>
      <c r="T29" s="1293" t="s">
        <v>1504</v>
      </c>
      <c r="U29" s="1294">
        <f t="shared" si="13"/>
        <v>100</v>
      </c>
      <c r="V29" s="1293" t="s">
        <v>1504</v>
      </c>
      <c r="W29" s="1294">
        <f t="shared" si="14"/>
        <v>100</v>
      </c>
      <c r="X29" s="1287"/>
      <c r="Y29" s="3692"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2"/>
      <c r="Q30" s="1521" t="str">
        <f t="shared" si="11"/>
        <v>项目建筑规模</v>
      </c>
      <c r="R30" s="1295" t="s">
        <v>1504</v>
      </c>
      <c r="S30" s="1296" t="e">
        <f t="shared" si="12"/>
        <v>#N/A</v>
      </c>
      <c r="T30" s="1295" t="s">
        <v>1504</v>
      </c>
      <c r="U30" s="1296" t="e">
        <f t="shared" si="13"/>
        <v>#N/A</v>
      </c>
      <c r="V30" s="1295" t="s">
        <v>1504</v>
      </c>
      <c r="W30" s="1296" t="e">
        <f t="shared" si="14"/>
        <v>#N/A</v>
      </c>
      <c r="X30" s="1297"/>
      <c r="Y30" s="3692"/>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2"/>
      <c r="Q31" s="672" t="str">
        <f t="shared" si="11"/>
        <v>建筑结构</v>
      </c>
      <c r="R31" s="1293" t="s">
        <v>1504</v>
      </c>
      <c r="S31" s="1294">
        <f t="shared" si="12"/>
        <v>100</v>
      </c>
      <c r="T31" s="1293" t="s">
        <v>1504</v>
      </c>
      <c r="U31" s="1294">
        <f t="shared" si="13"/>
        <v>100</v>
      </c>
      <c r="V31" s="1293" t="s">
        <v>1504</v>
      </c>
      <c r="W31" s="1294">
        <f t="shared" si="14"/>
        <v>100</v>
      </c>
      <c r="X31" s="1287"/>
      <c r="Y31" s="3692"/>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2"/>
      <c r="Q32" s="672" t="str">
        <f t="shared" si="11"/>
        <v>公共部分装修</v>
      </c>
      <c r="R32" s="1293" t="s">
        <v>1504</v>
      </c>
      <c r="S32" s="1294">
        <f t="shared" si="12"/>
        <v>100</v>
      </c>
      <c r="T32" s="1293" t="s">
        <v>1504</v>
      </c>
      <c r="U32" s="1294">
        <f t="shared" si="13"/>
        <v>100</v>
      </c>
      <c r="V32" s="1293" t="s">
        <v>1504</v>
      </c>
      <c r="W32" s="1294">
        <f t="shared" si="14"/>
        <v>100</v>
      </c>
      <c r="X32" s="1287"/>
      <c r="Y32" s="3692"/>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2"/>
      <c r="Q33" s="672" t="str">
        <f t="shared" si="11"/>
        <v>成新度</v>
      </c>
      <c r="R33" s="1293" t="s">
        <v>1504</v>
      </c>
      <c r="S33" s="1294" t="e">
        <f t="shared" si="12"/>
        <v>#N/A</v>
      </c>
      <c r="T33" s="1293" t="s">
        <v>1504</v>
      </c>
      <c r="U33" s="1294" t="e">
        <f t="shared" si="13"/>
        <v>#N/A</v>
      </c>
      <c r="V33" s="1293" t="s">
        <v>1504</v>
      </c>
      <c r="W33" s="1294" t="e">
        <f t="shared" si="14"/>
        <v>#N/A</v>
      </c>
      <c r="X33" s="1287"/>
      <c r="Y33" s="3692"/>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2"/>
      <c r="Q34" s="1292" t="str">
        <f t="shared" si="11"/>
        <v>物业管理</v>
      </c>
      <c r="R34" s="1288" t="s">
        <v>1504</v>
      </c>
      <c r="S34" s="1289">
        <f t="shared" si="12"/>
        <v>100</v>
      </c>
      <c r="T34" s="1288" t="s">
        <v>1504</v>
      </c>
      <c r="U34" s="1289">
        <f t="shared" si="13"/>
        <v>100</v>
      </c>
      <c r="V34" s="1288" t="s">
        <v>1504</v>
      </c>
      <c r="W34" s="1289">
        <f t="shared" si="14"/>
        <v>100</v>
      </c>
      <c r="X34" s="1290"/>
      <c r="Y34" s="3692"/>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2" t="s">
        <v>1524</v>
      </c>
      <c r="Q35" s="672" t="str">
        <f t="shared" si="11"/>
        <v>市政基础设施</v>
      </c>
      <c r="R35" s="1293" t="s">
        <v>1504</v>
      </c>
      <c r="S35" s="1294">
        <f t="shared" si="12"/>
        <v>100</v>
      </c>
      <c r="T35" s="1293" t="s">
        <v>1504</v>
      </c>
      <c r="U35" s="1294">
        <f t="shared" si="13"/>
        <v>100</v>
      </c>
      <c r="V35" s="1293" t="s">
        <v>1504</v>
      </c>
      <c r="W35" s="1294">
        <f t="shared" si="14"/>
        <v>100</v>
      </c>
      <c r="X35" s="1287"/>
      <c r="Y35" s="3692"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2"/>
      <c r="Q36" s="672" t="str">
        <f t="shared" si="11"/>
        <v>内部装修</v>
      </c>
      <c r="R36" s="1293" t="s">
        <v>1504</v>
      </c>
      <c r="S36" s="1294">
        <f t="shared" si="12"/>
        <v>100</v>
      </c>
      <c r="T36" s="1293" t="s">
        <v>1504</v>
      </c>
      <c r="U36" s="1294">
        <f t="shared" si="13"/>
        <v>100</v>
      </c>
      <c r="V36" s="1293" t="s">
        <v>1504</v>
      </c>
      <c r="W36" s="1294">
        <f t="shared" si="14"/>
        <v>100</v>
      </c>
      <c r="X36" s="1287"/>
      <c r="Y36" s="3692"/>
      <c r="Z36" s="1277" t="str">
        <f t="shared" si="15"/>
        <v>内部装修</v>
      </c>
      <c r="AA36" s="1304">
        <f t="shared" si="3"/>
        <v>1</v>
      </c>
      <c r="AB36" s="1304">
        <f t="shared" si="4"/>
        <v>1</v>
      </c>
      <c r="AC36" s="1304">
        <f t="shared" si="5"/>
        <v>1</v>
      </c>
    </row>
    <row r="37" spans="1:29" ht="15">
      <c r="A37" s="1169"/>
      <c r="B37" s="1115" t="s">
        <v>1614</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2"/>
      <c r="Q37" s="672" t="str">
        <f t="shared" si="11"/>
        <v>内部装修状况</v>
      </c>
      <c r="R37" s="1293" t="s">
        <v>1504</v>
      </c>
      <c r="S37" s="1294">
        <f t="shared" si="12"/>
        <v>100</v>
      </c>
      <c r="T37" s="1293" t="s">
        <v>1504</v>
      </c>
      <c r="U37" s="1294">
        <f t="shared" si="13"/>
        <v>100</v>
      </c>
      <c r="V37" s="1293" t="s">
        <v>1504</v>
      </c>
      <c r="W37" s="1294">
        <f t="shared" si="14"/>
        <v>100</v>
      </c>
      <c r="X37" s="1287"/>
      <c r="Y37" s="3692"/>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2"/>
      <c r="Q38" s="1521">
        <f t="shared" si="11"/>
        <v>111</v>
      </c>
      <c r="R38" s="1295" t="s">
        <v>1504</v>
      </c>
      <c r="S38" s="1296">
        <f t="shared" si="12"/>
        <v>100</v>
      </c>
      <c r="T38" s="1295" t="s">
        <v>1504</v>
      </c>
      <c r="U38" s="1296">
        <f t="shared" si="13"/>
        <v>100</v>
      </c>
      <c r="V38" s="1295" t="s">
        <v>1504</v>
      </c>
      <c r="W38" s="1296">
        <f t="shared" si="14"/>
        <v>100</v>
      </c>
      <c r="X38" s="1297"/>
      <c r="Y38" s="3692"/>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2"/>
      <c r="Q39" s="672">
        <f t="shared" si="11"/>
        <v>111</v>
      </c>
      <c r="R39" s="1293" t="s">
        <v>1504</v>
      </c>
      <c r="S39" s="1294">
        <f t="shared" si="12"/>
        <v>100</v>
      </c>
      <c r="T39" s="1293" t="s">
        <v>1504</v>
      </c>
      <c r="U39" s="1294">
        <f t="shared" si="13"/>
        <v>100</v>
      </c>
      <c r="V39" s="1293" t="s">
        <v>1504</v>
      </c>
      <c r="W39" s="1294">
        <f t="shared" si="14"/>
        <v>100</v>
      </c>
      <c r="X39" s="1287"/>
      <c r="Y39" s="3692"/>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3"/>
      <c r="Q40" s="672">
        <f t="shared" si="11"/>
        <v>111</v>
      </c>
      <c r="R40" s="1293" t="s">
        <v>1504</v>
      </c>
      <c r="S40" s="1294">
        <f t="shared" si="12"/>
        <v>100</v>
      </c>
      <c r="T40" s="1293" t="s">
        <v>1504</v>
      </c>
      <c r="U40" s="1294">
        <f t="shared" si="13"/>
        <v>100</v>
      </c>
      <c r="V40" s="1293" t="s">
        <v>1504</v>
      </c>
      <c r="W40" s="1294">
        <f t="shared" si="14"/>
        <v>100</v>
      </c>
      <c r="X40" s="1287"/>
      <c r="Y40" s="3693"/>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79" t="str">
        <f>A41</f>
        <v>成交单价（元/平方米）</v>
      </c>
      <c r="Q41" s="3679"/>
      <c r="R41" s="3680">
        <f>E41</f>
        <v>0</v>
      </c>
      <c r="S41" s="3680"/>
      <c r="T41" s="3680">
        <f>G41</f>
        <v>0</v>
      </c>
      <c r="U41" s="3680"/>
      <c r="V41" s="3680">
        <f>I41</f>
        <v>0</v>
      </c>
      <c r="W41" s="3680"/>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2023-4</v>
      </c>
      <c r="D52" s="1511">
        <f>EDATE(C52,-1)</f>
        <v>44986</v>
      </c>
      <c r="E52" s="1511">
        <f t="shared" ref="E52:O52" si="16">EDATE(D52,-1)</f>
        <v>44958</v>
      </c>
      <c r="F52" s="1511">
        <f t="shared" si="16"/>
        <v>44927</v>
      </c>
      <c r="G52" s="1511">
        <f t="shared" si="16"/>
        <v>44896</v>
      </c>
      <c r="H52" s="1511">
        <f t="shared" si="16"/>
        <v>44866</v>
      </c>
      <c r="I52" s="1511">
        <f t="shared" si="16"/>
        <v>44835</v>
      </c>
      <c r="J52" s="1511">
        <f t="shared" si="16"/>
        <v>44805</v>
      </c>
      <c r="K52" s="1511">
        <f t="shared" si="16"/>
        <v>44774</v>
      </c>
      <c r="L52" s="1511">
        <f t="shared" si="16"/>
        <v>44743</v>
      </c>
      <c r="M52" s="1511">
        <f t="shared" si="16"/>
        <v>44713</v>
      </c>
      <c r="N52" s="1511">
        <f t="shared" si="16"/>
        <v>44682</v>
      </c>
      <c r="O52" s="1511">
        <f t="shared" si="16"/>
        <v>44652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1613</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1615</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1617</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664" t="s">
        <v>1490</v>
      </c>
      <c r="D4" s="3665"/>
      <c r="E4" s="3666" t="s">
        <v>1491</v>
      </c>
      <c r="F4" s="3667"/>
      <c r="G4" s="3664" t="s">
        <v>1492</v>
      </c>
      <c r="H4" s="3665"/>
      <c r="I4" s="3664" t="s">
        <v>1493</v>
      </c>
      <c r="J4" s="3665"/>
      <c r="K4" s="1243"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695" t="s">
        <v>1492</v>
      </c>
      <c r="AC4" s="3694" t="s">
        <v>1493</v>
      </c>
    </row>
    <row r="5" spans="1:29" ht="15">
      <c r="A5" s="1098"/>
      <c r="B5" s="1099"/>
      <c r="C5" s="3668" t="s">
        <v>1496</v>
      </c>
      <c r="D5" s="3669"/>
      <c r="E5" s="3670" t="s">
        <v>1497</v>
      </c>
      <c r="F5" s="3671"/>
      <c r="G5" s="3668" t="s">
        <v>1498</v>
      </c>
      <c r="H5" s="3669"/>
      <c r="I5" s="3668" t="s">
        <v>1499</v>
      </c>
      <c r="J5" s="3669"/>
      <c r="K5" s="1243"/>
      <c r="L5" s="1244"/>
      <c r="M5" s="1245"/>
      <c r="N5" s="1245"/>
      <c r="O5" s="1245"/>
      <c r="P5" s="3699"/>
      <c r="Q5" s="3700"/>
      <c r="R5" s="3705"/>
      <c r="S5" s="3706"/>
      <c r="T5" s="3705"/>
      <c r="U5" s="3706"/>
      <c r="V5" s="3709"/>
      <c r="W5" s="3709"/>
      <c r="X5" s="1287"/>
      <c r="Y5" s="3705"/>
      <c r="Z5" s="3706"/>
      <c r="AA5" s="3695"/>
      <c r="AB5" s="3695"/>
      <c r="AC5" s="3695"/>
    </row>
    <row r="6" spans="1:29" ht="15">
      <c r="A6" s="1100"/>
      <c r="B6" s="1101"/>
      <c r="C6" s="3672" t="s">
        <v>1500</v>
      </c>
      <c r="D6" s="3673"/>
      <c r="E6" s="3674" t="s">
        <v>1500</v>
      </c>
      <c r="F6" s="3675"/>
      <c r="G6" s="3672" t="s">
        <v>1500</v>
      </c>
      <c r="H6" s="3673"/>
      <c r="I6" s="3672" t="s">
        <v>1500</v>
      </c>
      <c r="J6" s="3673"/>
      <c r="K6" s="1243" t="s">
        <v>1501</v>
      </c>
      <c r="L6" s="1244"/>
      <c r="M6" s="1245"/>
      <c r="N6" s="1245"/>
      <c r="O6" s="1245"/>
      <c r="P6" s="3701"/>
      <c r="Q6" s="3702"/>
      <c r="R6" s="3705"/>
      <c r="S6" s="3706"/>
      <c r="T6" s="3707"/>
      <c r="U6" s="3708"/>
      <c r="V6" s="3709"/>
      <c r="W6" s="3709"/>
      <c r="X6" s="1287"/>
      <c r="Y6" s="3707"/>
      <c r="Z6" s="3708"/>
      <c r="AA6" s="3696"/>
      <c r="AB6" s="3696"/>
      <c r="AC6" s="3696"/>
    </row>
    <row r="7" spans="1:29" s="1077" customFormat="1" ht="15">
      <c r="A7" s="1102" t="s">
        <v>1502</v>
      </c>
      <c r="B7" s="1103"/>
      <c r="C7" s="1104">
        <f>'数据-取费表'!B2</f>
        <v>45026</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76" t="s">
        <v>1503</v>
      </c>
      <c r="Q7" s="3677"/>
      <c r="R7" s="1288" t="s">
        <v>1504</v>
      </c>
      <c r="S7" s="1289">
        <f t="shared" ref="S7:S14" si="0">F7</f>
        <v>0</v>
      </c>
      <c r="T7" s="1288" t="s">
        <v>1504</v>
      </c>
      <c r="U7" s="1289">
        <f t="shared" ref="U7:U14" si="1">H7</f>
        <v>0</v>
      </c>
      <c r="V7" s="1288" t="s">
        <v>1504</v>
      </c>
      <c r="W7" s="1289">
        <f t="shared" ref="W7:W14" si="2">J7</f>
        <v>0</v>
      </c>
      <c r="X7" s="1290"/>
      <c r="Y7" s="3676" t="s">
        <v>1503</v>
      </c>
      <c r="Z7" s="3678"/>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76" t="s">
        <v>1506</v>
      </c>
      <c r="Q8" s="3678"/>
      <c r="R8" s="1288" t="s">
        <v>1504</v>
      </c>
      <c r="S8" s="1289">
        <f t="shared" si="0"/>
        <v>100</v>
      </c>
      <c r="T8" s="1288" t="s">
        <v>1504</v>
      </c>
      <c r="U8" s="1289">
        <f t="shared" si="1"/>
        <v>100</v>
      </c>
      <c r="V8" s="1288" t="s">
        <v>1504</v>
      </c>
      <c r="W8" s="1289">
        <f t="shared" si="2"/>
        <v>100</v>
      </c>
      <c r="X8" s="1290"/>
      <c r="Y8" s="3676" t="s">
        <v>1506</v>
      </c>
      <c r="Z8" s="3678"/>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79" t="s">
        <v>1509</v>
      </c>
      <c r="Q9" s="1292" t="str">
        <f t="shared" ref="Q9:Q14" si="6">B9</f>
        <v>用途</v>
      </c>
      <c r="R9" s="1288" t="s">
        <v>1504</v>
      </c>
      <c r="S9" s="1289">
        <f t="shared" si="0"/>
        <v>100</v>
      </c>
      <c r="T9" s="1288" t="s">
        <v>1504</v>
      </c>
      <c r="U9" s="1289">
        <f t="shared" si="1"/>
        <v>100</v>
      </c>
      <c r="V9" s="1288" t="s">
        <v>1504</v>
      </c>
      <c r="W9" s="1289">
        <f t="shared" si="2"/>
        <v>100</v>
      </c>
      <c r="X9" s="1290"/>
      <c r="Y9" s="3616"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79"/>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79"/>
      <c r="Q11" s="1292">
        <f t="shared" si="6"/>
        <v>111</v>
      </c>
      <c r="R11" s="1288" t="s">
        <v>1504</v>
      </c>
      <c r="S11" s="1289">
        <f t="shared" si="0"/>
        <v>100</v>
      </c>
      <c r="T11" s="1288" t="s">
        <v>1504</v>
      </c>
      <c r="U11" s="1289">
        <f t="shared" si="1"/>
        <v>100</v>
      </c>
      <c r="V11" s="1288" t="s">
        <v>1504</v>
      </c>
      <c r="W11" s="1289">
        <f t="shared" si="2"/>
        <v>100</v>
      </c>
      <c r="X11" s="1290"/>
      <c r="Y11" s="3616"/>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79"/>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79"/>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0" t="s">
        <v>1515</v>
      </c>
      <c r="Q14" s="672" t="str">
        <f t="shared" si="6"/>
        <v>交通便捷度</v>
      </c>
      <c r="R14" s="1293" t="s">
        <v>1504</v>
      </c>
      <c r="S14" s="1294">
        <f t="shared" si="0"/>
        <v>100</v>
      </c>
      <c r="T14" s="1293" t="s">
        <v>1504</v>
      </c>
      <c r="U14" s="1294">
        <f t="shared" si="1"/>
        <v>100</v>
      </c>
      <c r="V14" s="1293" t="s">
        <v>1504</v>
      </c>
      <c r="W14" s="1294">
        <f t="shared" si="2"/>
        <v>100</v>
      </c>
      <c r="X14" s="1287"/>
      <c r="Y14" s="3690"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1"/>
      <c r="Q15" s="672"/>
      <c r="R15" s="1293"/>
      <c r="S15" s="1294"/>
      <c r="T15" s="1293"/>
      <c r="U15" s="1294"/>
      <c r="V15" s="1293"/>
      <c r="W15" s="1294"/>
      <c r="X15" s="1287"/>
      <c r="Y15" s="3691"/>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1"/>
      <c r="Q16" s="672" t="str">
        <f>B16</f>
        <v>公共配套设施</v>
      </c>
      <c r="R16" s="1293" t="s">
        <v>1504</v>
      </c>
      <c r="S16" s="1294">
        <f>F16</f>
        <v>100</v>
      </c>
      <c r="T16" s="1293" t="s">
        <v>1504</v>
      </c>
      <c r="U16" s="1294">
        <f>H16</f>
        <v>100</v>
      </c>
      <c r="V16" s="1293" t="s">
        <v>1504</v>
      </c>
      <c r="W16" s="1294">
        <f>J16</f>
        <v>100</v>
      </c>
      <c r="X16" s="1287"/>
      <c r="Y16" s="3691"/>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1"/>
      <c r="Q17" s="672"/>
      <c r="R17" s="1293"/>
      <c r="S17" s="1294"/>
      <c r="T17" s="1293"/>
      <c r="U17" s="1294"/>
      <c r="V17" s="1293"/>
      <c r="W17" s="1294"/>
      <c r="X17" s="1287"/>
      <c r="Y17" s="3691"/>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1"/>
      <c r="Q18" s="672" t="str">
        <f>B18</f>
        <v>基础设施水平</v>
      </c>
      <c r="R18" s="1293" t="s">
        <v>1504</v>
      </c>
      <c r="S18" s="1294">
        <f>F18</f>
        <v>100</v>
      </c>
      <c r="T18" s="1293" t="s">
        <v>1504</v>
      </c>
      <c r="U18" s="1294">
        <f>H18</f>
        <v>100</v>
      </c>
      <c r="V18" s="1293" t="s">
        <v>1504</v>
      </c>
      <c r="W18" s="1294">
        <f>J18</f>
        <v>100</v>
      </c>
      <c r="X18" s="1287"/>
      <c r="Y18" s="3691"/>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1"/>
      <c r="Q19" s="672"/>
      <c r="R19" s="1293"/>
      <c r="S19" s="1294"/>
      <c r="T19" s="1293"/>
      <c r="U19" s="1294"/>
      <c r="V19" s="1293"/>
      <c r="W19" s="1294"/>
      <c r="X19" s="1287"/>
      <c r="Y19" s="3691"/>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1"/>
      <c r="Q20" s="672" t="str">
        <f>B20</f>
        <v>自然及人文环境</v>
      </c>
      <c r="R20" s="1293" t="s">
        <v>1504</v>
      </c>
      <c r="S20" s="1294">
        <f>F20</f>
        <v>100</v>
      </c>
      <c r="T20" s="1293" t="s">
        <v>1504</v>
      </c>
      <c r="U20" s="1294">
        <f>H20</f>
        <v>100</v>
      </c>
      <c r="V20" s="1293" t="s">
        <v>1504</v>
      </c>
      <c r="W20" s="1294">
        <f>J20</f>
        <v>100</v>
      </c>
      <c r="X20" s="1287"/>
      <c r="Y20" s="3691"/>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1"/>
      <c r="Q21" s="672"/>
      <c r="R21" s="1293"/>
      <c r="S21" s="1294"/>
      <c r="T21" s="1293"/>
      <c r="U21" s="1294"/>
      <c r="V21" s="1293"/>
      <c r="W21" s="1294"/>
      <c r="X21" s="1287"/>
      <c r="Y21" s="3691"/>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1"/>
      <c r="Q22" s="672" t="str">
        <f>B22</f>
        <v>楼层</v>
      </c>
      <c r="R22" s="1293" t="s">
        <v>1504</v>
      </c>
      <c r="S22" s="1294">
        <f>F22</f>
        <v>100</v>
      </c>
      <c r="T22" s="1293" t="s">
        <v>1504</v>
      </c>
      <c r="U22" s="1294">
        <f>H22</f>
        <v>100</v>
      </c>
      <c r="V22" s="1293" t="s">
        <v>1504</v>
      </c>
      <c r="W22" s="1294">
        <f>J22</f>
        <v>100</v>
      </c>
      <c r="X22" s="1287"/>
      <c r="Y22" s="3691"/>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1"/>
      <c r="Q23" s="672">
        <f>B23</f>
        <v>111</v>
      </c>
      <c r="R23" s="1293" t="s">
        <v>1504</v>
      </c>
      <c r="S23" s="1294">
        <f>F23</f>
        <v>100</v>
      </c>
      <c r="T23" s="1293" t="s">
        <v>1504</v>
      </c>
      <c r="U23" s="1294">
        <f>H23</f>
        <v>100</v>
      </c>
      <c r="V23" s="1293" t="s">
        <v>1504</v>
      </c>
      <c r="W23" s="1294">
        <f>J23</f>
        <v>100</v>
      </c>
      <c r="X23" s="1287"/>
      <c r="Y23" s="3691"/>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1"/>
      <c r="Q24" s="672">
        <f t="shared" ref="Q24:Q36" si="11">B24</f>
        <v>111</v>
      </c>
      <c r="R24" s="1293" t="s">
        <v>1504</v>
      </c>
      <c r="S24" s="1294">
        <f>F24</f>
        <v>100</v>
      </c>
      <c r="T24" s="1293" t="s">
        <v>1504</v>
      </c>
      <c r="U24" s="1294">
        <f>H24</f>
        <v>100</v>
      </c>
      <c r="V24" s="1293" t="s">
        <v>1504</v>
      </c>
      <c r="W24" s="1294">
        <f>J24</f>
        <v>100</v>
      </c>
      <c r="X24" s="1287"/>
      <c r="Y24" s="3691"/>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1"/>
      <c r="Q25" s="1292">
        <f t="shared" si="11"/>
        <v>111</v>
      </c>
      <c r="R25" s="1288" t="s">
        <v>1504</v>
      </c>
      <c r="S25" s="1289">
        <f>F25</f>
        <v>100</v>
      </c>
      <c r="T25" s="1288" t="s">
        <v>1504</v>
      </c>
      <c r="U25" s="1289">
        <f>H25</f>
        <v>100</v>
      </c>
      <c r="V25" s="1288" t="s">
        <v>1504</v>
      </c>
      <c r="W25" s="1289">
        <f>J25</f>
        <v>100</v>
      </c>
      <c r="X25" s="1290"/>
      <c r="Y25" s="3691"/>
      <c r="Z25" s="1303">
        <f>Q25</f>
        <v>111</v>
      </c>
      <c r="AA25" s="1304">
        <f t="shared" si="3"/>
        <v>1</v>
      </c>
      <c r="AB25" s="1304">
        <f t="shared" si="4"/>
        <v>1</v>
      </c>
      <c r="AC25" s="1304">
        <f t="shared" si="5"/>
        <v>1</v>
      </c>
    </row>
    <row r="26" spans="1:29" ht="15">
      <c r="A26" s="1554" t="s">
        <v>1522</v>
      </c>
      <c r="B26" s="1555" t="s">
        <v>1618</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5"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92" t="s">
        <v>1524</v>
      </c>
      <c r="Z26" s="1277" t="str">
        <f t="shared" ref="Z26:Z36" si="15">Q26</f>
        <v>配套类型</v>
      </c>
      <c r="AA26" s="1304" t="e">
        <f t="shared" si="3"/>
        <v>#DIV/0!</v>
      </c>
      <c r="AB26" s="1304" t="e">
        <f t="shared" si="4"/>
        <v>#DIV/0!</v>
      </c>
      <c r="AC26" s="1304" t="e">
        <f t="shared" si="5"/>
        <v>#DIV/0!</v>
      </c>
    </row>
    <row r="27" spans="1:29" s="1079" customFormat="1" ht="15">
      <c r="A27" s="1557"/>
      <c r="B27" s="1155" t="s">
        <v>1619</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2"/>
      <c r="Q27" s="1521" t="str">
        <f t="shared" si="11"/>
        <v>项目停车位配比</v>
      </c>
      <c r="R27" s="1295" t="s">
        <v>1504</v>
      </c>
      <c r="S27" s="1296">
        <f t="shared" si="12"/>
        <v>100</v>
      </c>
      <c r="T27" s="1295" t="s">
        <v>1504</v>
      </c>
      <c r="U27" s="1296">
        <f t="shared" si="13"/>
        <v>100</v>
      </c>
      <c r="V27" s="1295" t="s">
        <v>1504</v>
      </c>
      <c r="W27" s="1296">
        <f t="shared" si="14"/>
        <v>100</v>
      </c>
      <c r="X27" s="1297"/>
      <c r="Y27" s="3692"/>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2"/>
      <c r="Q28" s="672" t="str">
        <f t="shared" si="11"/>
        <v>公共部分装修</v>
      </c>
      <c r="R28" s="1293" t="s">
        <v>1504</v>
      </c>
      <c r="S28" s="1294">
        <f t="shared" si="12"/>
        <v>100</v>
      </c>
      <c r="T28" s="1293" t="s">
        <v>1504</v>
      </c>
      <c r="U28" s="1294">
        <f t="shared" si="13"/>
        <v>100</v>
      </c>
      <c r="V28" s="1293" t="s">
        <v>1504</v>
      </c>
      <c r="W28" s="1294">
        <f t="shared" si="14"/>
        <v>100</v>
      </c>
      <c r="X28" s="1287"/>
      <c r="Y28" s="3692"/>
      <c r="Z28" s="1277" t="str">
        <f t="shared" si="15"/>
        <v>公共部分装修</v>
      </c>
      <c r="AA28" s="1304">
        <f t="shared" si="3"/>
        <v>1</v>
      </c>
      <c r="AB28" s="1304">
        <f t="shared" si="4"/>
        <v>1</v>
      </c>
      <c r="AC28" s="1304">
        <f t="shared" si="5"/>
        <v>1</v>
      </c>
    </row>
    <row r="29" spans="1:29" ht="15">
      <c r="A29" s="1559"/>
      <c r="B29" s="1155" t="s">
        <v>1620</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2"/>
      <c r="Q29" s="672" t="str">
        <f t="shared" si="11"/>
        <v>成新率</v>
      </c>
      <c r="R29" s="1293" t="s">
        <v>1504</v>
      </c>
      <c r="S29" s="1294" t="e">
        <f t="shared" si="12"/>
        <v>#N/A</v>
      </c>
      <c r="T29" s="1293" t="s">
        <v>1504</v>
      </c>
      <c r="U29" s="1294" t="e">
        <f t="shared" si="13"/>
        <v>#N/A</v>
      </c>
      <c r="V29" s="1293" t="s">
        <v>1504</v>
      </c>
      <c r="W29" s="1294" t="e">
        <f t="shared" si="14"/>
        <v>#N/A</v>
      </c>
      <c r="X29" s="1287"/>
      <c r="Y29" s="3692"/>
      <c r="Z29" s="1277" t="str">
        <f t="shared" si="15"/>
        <v>成新率</v>
      </c>
      <c r="AA29" s="1304" t="e">
        <f t="shared" si="3"/>
        <v>#N/A</v>
      </c>
      <c r="AB29" s="1304" t="e">
        <f t="shared" si="4"/>
        <v>#N/A</v>
      </c>
      <c r="AC29" s="1304" t="e">
        <f t="shared" si="5"/>
        <v>#N/A</v>
      </c>
    </row>
    <row r="30" spans="1:29" ht="15">
      <c r="A30" s="1559"/>
      <c r="B30" s="1155" t="s">
        <v>1621</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2"/>
      <c r="Q30" s="672" t="str">
        <f t="shared" si="11"/>
        <v>物业等级</v>
      </c>
      <c r="R30" s="1293" t="s">
        <v>1504</v>
      </c>
      <c r="S30" s="1294">
        <f t="shared" si="12"/>
        <v>100</v>
      </c>
      <c r="T30" s="1293" t="s">
        <v>1504</v>
      </c>
      <c r="U30" s="1294">
        <f t="shared" si="13"/>
        <v>100</v>
      </c>
      <c r="V30" s="1293" t="s">
        <v>1504</v>
      </c>
      <c r="W30" s="1294">
        <f t="shared" si="14"/>
        <v>100</v>
      </c>
      <c r="X30" s="1287"/>
      <c r="Y30" s="3692"/>
      <c r="Z30" s="1277" t="str">
        <f t="shared" si="15"/>
        <v>物业等级</v>
      </c>
      <c r="AA30" s="1304">
        <f t="shared" si="3"/>
        <v>1</v>
      </c>
      <c r="AB30" s="1304">
        <f t="shared" si="4"/>
        <v>1</v>
      </c>
      <c r="AC30" s="1304">
        <f t="shared" si="5"/>
        <v>1</v>
      </c>
    </row>
    <row r="31" spans="1:29" s="1077" customFormat="1" ht="15">
      <c r="A31" s="1560"/>
      <c r="B31" s="1155" t="s">
        <v>1622</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2"/>
      <c r="Q31" s="1292" t="str">
        <f t="shared" si="11"/>
        <v>停车位面积</v>
      </c>
      <c r="R31" s="1288" t="s">
        <v>1504</v>
      </c>
      <c r="S31" s="1289" t="e">
        <f t="shared" si="12"/>
        <v>#N/A</v>
      </c>
      <c r="T31" s="1288" t="s">
        <v>1504</v>
      </c>
      <c r="U31" s="1289" t="e">
        <f t="shared" si="13"/>
        <v>#N/A</v>
      </c>
      <c r="V31" s="1288" t="s">
        <v>1504</v>
      </c>
      <c r="W31" s="1289" t="e">
        <f t="shared" si="14"/>
        <v>#N/A</v>
      </c>
      <c r="X31" s="1290"/>
      <c r="Y31" s="3692"/>
      <c r="Z31" s="1303" t="str">
        <f t="shared" si="15"/>
        <v>停车位面积</v>
      </c>
      <c r="AA31" s="1302" t="e">
        <f t="shared" si="3"/>
        <v>#N/A</v>
      </c>
      <c r="AB31" s="1302" t="e">
        <f t="shared" si="4"/>
        <v>#N/A</v>
      </c>
      <c r="AC31" s="1302" t="e">
        <f t="shared" si="5"/>
        <v>#N/A</v>
      </c>
    </row>
    <row r="32" spans="1:29" ht="15">
      <c r="A32" s="1559"/>
      <c r="B32" s="1155" t="s">
        <v>1623</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2" t="s">
        <v>1524</v>
      </c>
      <c r="Q32" s="672" t="str">
        <f t="shared" si="11"/>
        <v>车位类型</v>
      </c>
      <c r="R32" s="1293" t="s">
        <v>1504</v>
      </c>
      <c r="S32" s="1294">
        <f t="shared" si="12"/>
        <v>100</v>
      </c>
      <c r="T32" s="1293" t="s">
        <v>1504</v>
      </c>
      <c r="U32" s="1294">
        <f t="shared" si="13"/>
        <v>100</v>
      </c>
      <c r="V32" s="1293" t="s">
        <v>1504</v>
      </c>
      <c r="W32" s="1294">
        <f t="shared" si="14"/>
        <v>100</v>
      </c>
      <c r="X32" s="1287"/>
      <c r="Y32" s="3692" t="s">
        <v>1524</v>
      </c>
      <c r="Z32" s="1277" t="str">
        <f t="shared" si="15"/>
        <v>车位类型</v>
      </c>
      <c r="AA32" s="1304">
        <f t="shared" si="3"/>
        <v>1</v>
      </c>
      <c r="AB32" s="1304">
        <f t="shared" si="4"/>
        <v>1</v>
      </c>
      <c r="AC32" s="1304">
        <f t="shared" si="5"/>
        <v>1</v>
      </c>
    </row>
    <row r="33" spans="1:29" ht="15">
      <c r="A33" s="1559"/>
      <c r="B33" s="1155" t="s">
        <v>1624</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2"/>
      <c r="Q33" s="672" t="str">
        <f t="shared" si="11"/>
        <v>是否直接入户</v>
      </c>
      <c r="R33" s="1293" t="s">
        <v>1504</v>
      </c>
      <c r="S33" s="1294">
        <f t="shared" si="12"/>
        <v>100</v>
      </c>
      <c r="T33" s="1293" t="s">
        <v>1504</v>
      </c>
      <c r="U33" s="1294">
        <f t="shared" si="13"/>
        <v>100</v>
      </c>
      <c r="V33" s="1293" t="s">
        <v>1504</v>
      </c>
      <c r="W33" s="1294">
        <f t="shared" si="14"/>
        <v>100</v>
      </c>
      <c r="X33" s="1287"/>
      <c r="Y33" s="3692"/>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2"/>
      <c r="Q34" s="672">
        <f t="shared" si="11"/>
        <v>111</v>
      </c>
      <c r="R34" s="1293" t="s">
        <v>1504</v>
      </c>
      <c r="S34" s="1294">
        <f t="shared" si="12"/>
        <v>100</v>
      </c>
      <c r="T34" s="1293" t="s">
        <v>1504</v>
      </c>
      <c r="U34" s="1294">
        <f t="shared" si="13"/>
        <v>100</v>
      </c>
      <c r="V34" s="1293" t="s">
        <v>1504</v>
      </c>
      <c r="W34" s="1294">
        <f t="shared" si="14"/>
        <v>100</v>
      </c>
      <c r="X34" s="1287"/>
      <c r="Y34" s="3692"/>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2"/>
      <c r="Q35" s="1521">
        <f t="shared" si="11"/>
        <v>111</v>
      </c>
      <c r="R35" s="1295" t="s">
        <v>1504</v>
      </c>
      <c r="S35" s="1296">
        <f t="shared" si="12"/>
        <v>100</v>
      </c>
      <c r="T35" s="1295" t="s">
        <v>1504</v>
      </c>
      <c r="U35" s="1296">
        <f t="shared" si="13"/>
        <v>100</v>
      </c>
      <c r="V35" s="1295" t="s">
        <v>1504</v>
      </c>
      <c r="W35" s="1296">
        <f t="shared" si="14"/>
        <v>100</v>
      </c>
      <c r="X35" s="1297"/>
      <c r="Y35" s="3692"/>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2"/>
      <c r="Q36" s="672">
        <f t="shared" si="11"/>
        <v>111</v>
      </c>
      <c r="R36" s="1293" t="s">
        <v>1504</v>
      </c>
      <c r="S36" s="1294">
        <f t="shared" si="12"/>
        <v>100</v>
      </c>
      <c r="T36" s="1293" t="s">
        <v>1504</v>
      </c>
      <c r="U36" s="1294">
        <f t="shared" si="13"/>
        <v>100</v>
      </c>
      <c r="V36" s="1293" t="s">
        <v>1504</v>
      </c>
      <c r="W36" s="1294">
        <f t="shared" si="14"/>
        <v>100</v>
      </c>
      <c r="X36" s="1287"/>
      <c r="Y36" s="3692"/>
      <c r="Z36" s="1277">
        <f t="shared" si="15"/>
        <v>111</v>
      </c>
      <c r="AA36" s="1304">
        <f t="shared" si="3"/>
        <v>1</v>
      </c>
      <c r="AB36" s="1304">
        <f t="shared" si="4"/>
        <v>1</v>
      </c>
      <c r="AC36" s="1304">
        <f t="shared" si="5"/>
        <v>1</v>
      </c>
    </row>
    <row r="37" spans="1:29" ht="15">
      <c r="A37" s="1176" t="s">
        <v>1625</v>
      </c>
      <c r="B37" s="1562" t="s">
        <v>1626</v>
      </c>
      <c r="C37" s="1497" t="s">
        <v>124</v>
      </c>
      <c r="D37" s="1498"/>
      <c r="E37" s="1499"/>
      <c r="F37" s="1500"/>
      <c r="G37" s="1501"/>
      <c r="H37" s="1502"/>
      <c r="I37" s="1499"/>
      <c r="J37" s="1502"/>
      <c r="K37" s="1571"/>
      <c r="L37" s="1269"/>
      <c r="M37" s="1193"/>
      <c r="N37" s="1245"/>
      <c r="O37" s="1193"/>
      <c r="P37" s="3679" t="str">
        <f>A37</f>
        <v>成交单价</v>
      </c>
      <c r="Q37" s="3679"/>
      <c r="R37" s="3680">
        <f>E37</f>
        <v>0</v>
      </c>
      <c r="S37" s="3680"/>
      <c r="T37" s="3680">
        <f>G37</f>
        <v>0</v>
      </c>
      <c r="U37" s="3680"/>
      <c r="V37" s="3680">
        <f>I37</f>
        <v>0</v>
      </c>
      <c r="W37" s="3680"/>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233"/>
      <c r="Y38" s="1233"/>
      <c r="Z38" s="1233"/>
      <c r="AA38" s="1233"/>
      <c r="AB38" s="1233"/>
      <c r="AC38" s="1233"/>
    </row>
    <row r="39" spans="1:29" ht="15">
      <c r="A39" s="1190" t="s">
        <v>1627</v>
      </c>
      <c r="B39" s="1191"/>
      <c r="C39" s="1506" t="e">
        <f>R39</f>
        <v>#DIV/0!</v>
      </c>
      <c r="D39" s="1506"/>
      <c r="E39" s="1506"/>
      <c r="F39" s="1506"/>
      <c r="G39" s="1506"/>
      <c r="H39" s="1506"/>
      <c r="I39" s="1506"/>
      <c r="J39" s="1506"/>
      <c r="K39" s="1572"/>
      <c r="L39" s="1269"/>
      <c r="M39" s="1193"/>
      <c r="N39" s="1193"/>
      <c r="O39" s="1193"/>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2023-4</v>
      </c>
      <c r="D48" s="1511">
        <f>EDATE(C48,-1)</f>
        <v>44986</v>
      </c>
      <c r="E48" s="1511">
        <f t="shared" ref="E48:O48" si="16">EDATE(D48,-1)</f>
        <v>44958</v>
      </c>
      <c r="F48" s="1511">
        <f t="shared" si="16"/>
        <v>44927</v>
      </c>
      <c r="G48" s="1511">
        <f t="shared" si="16"/>
        <v>44896</v>
      </c>
      <c r="H48" s="1511">
        <f t="shared" si="16"/>
        <v>44866</v>
      </c>
      <c r="I48" s="1511">
        <f t="shared" si="16"/>
        <v>44835</v>
      </c>
      <c r="J48" s="1511">
        <f t="shared" si="16"/>
        <v>44805</v>
      </c>
      <c r="K48" s="1511">
        <f t="shared" si="16"/>
        <v>44774</v>
      </c>
      <c r="L48" s="1511">
        <f t="shared" si="16"/>
        <v>44743</v>
      </c>
      <c r="M48" s="1511">
        <f t="shared" si="16"/>
        <v>44713</v>
      </c>
      <c r="N48" s="1511">
        <f t="shared" si="16"/>
        <v>44682</v>
      </c>
      <c r="O48" s="1511">
        <f t="shared" si="16"/>
        <v>44652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1628</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1619</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1620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1621</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1623</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1624</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1629</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64" t="s">
        <v>1490</v>
      </c>
      <c r="D4" s="3665"/>
      <c r="E4" s="3666" t="s">
        <v>1491</v>
      </c>
      <c r="F4" s="3667"/>
      <c r="G4" s="3664" t="s">
        <v>1492</v>
      </c>
      <c r="H4" s="3665"/>
      <c r="I4" s="3664" t="s">
        <v>1493</v>
      </c>
      <c r="J4" s="3665"/>
      <c r="K4" s="1243"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695" t="s">
        <v>1492</v>
      </c>
      <c r="AC4" s="3694" t="s">
        <v>1493</v>
      </c>
    </row>
    <row r="5" spans="1:29" ht="15">
      <c r="A5" s="1098"/>
      <c r="B5" s="1099"/>
      <c r="C5" s="3668" t="s">
        <v>1496</v>
      </c>
      <c r="D5" s="3669"/>
      <c r="E5" s="3670" t="s">
        <v>1497</v>
      </c>
      <c r="F5" s="3671"/>
      <c r="G5" s="3668" t="s">
        <v>1498</v>
      </c>
      <c r="H5" s="3669"/>
      <c r="I5" s="3668" t="s">
        <v>1499</v>
      </c>
      <c r="J5" s="3669"/>
      <c r="K5" s="1243"/>
      <c r="L5" s="1244"/>
      <c r="M5" s="1245"/>
      <c r="N5" s="1245"/>
      <c r="O5" s="1245"/>
      <c r="P5" s="3699"/>
      <c r="Q5" s="3700"/>
      <c r="R5" s="3705"/>
      <c r="S5" s="3706"/>
      <c r="T5" s="3705"/>
      <c r="U5" s="3706"/>
      <c r="V5" s="3709"/>
      <c r="W5" s="3709"/>
      <c r="X5" s="1287"/>
      <c r="Y5" s="3705"/>
      <c r="Z5" s="3706"/>
      <c r="AA5" s="3695"/>
      <c r="AB5" s="3695"/>
      <c r="AC5" s="3695"/>
    </row>
    <row r="6" spans="1:29" ht="15">
      <c r="A6" s="1100"/>
      <c r="B6" s="1101"/>
      <c r="C6" s="3672" t="s">
        <v>1500</v>
      </c>
      <c r="D6" s="3673"/>
      <c r="E6" s="3674" t="s">
        <v>1500</v>
      </c>
      <c r="F6" s="3675"/>
      <c r="G6" s="3672" t="s">
        <v>1500</v>
      </c>
      <c r="H6" s="3673"/>
      <c r="I6" s="3672" t="s">
        <v>1500</v>
      </c>
      <c r="J6" s="3673"/>
      <c r="K6" s="1243" t="s">
        <v>1501</v>
      </c>
      <c r="L6" s="1244"/>
      <c r="M6" s="1245"/>
      <c r="N6" s="1245"/>
      <c r="O6" s="1245"/>
      <c r="P6" s="3701"/>
      <c r="Q6" s="3702"/>
      <c r="R6" s="3705"/>
      <c r="S6" s="3706"/>
      <c r="T6" s="3707"/>
      <c r="U6" s="3708"/>
      <c r="V6" s="3709"/>
      <c r="W6" s="3709"/>
      <c r="X6" s="1287"/>
      <c r="Y6" s="3707"/>
      <c r="Z6" s="3708"/>
      <c r="AA6" s="3696"/>
      <c r="AB6" s="3696"/>
      <c r="AC6" s="3696"/>
    </row>
    <row r="7" spans="1:29" s="1077" customFormat="1" ht="15">
      <c r="A7" s="1102" t="s">
        <v>1502</v>
      </c>
      <c r="B7" s="1103"/>
      <c r="C7" s="1104">
        <f>'数据-取费表'!B2</f>
        <v>45026</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76" t="s">
        <v>1503</v>
      </c>
      <c r="Q7" s="3677"/>
      <c r="R7" s="1288" t="s">
        <v>1504</v>
      </c>
      <c r="S7" s="1289">
        <f t="shared" ref="S7:S14" si="0">F7</f>
        <v>0</v>
      </c>
      <c r="T7" s="1288" t="s">
        <v>1504</v>
      </c>
      <c r="U7" s="1289">
        <f t="shared" ref="U7:U14" si="1">H7</f>
        <v>0</v>
      </c>
      <c r="V7" s="1288" t="s">
        <v>1504</v>
      </c>
      <c r="W7" s="1289">
        <f t="shared" ref="W7:W14" si="2">J7</f>
        <v>0</v>
      </c>
      <c r="X7" s="1290"/>
      <c r="Y7" s="3676" t="s">
        <v>1503</v>
      </c>
      <c r="Z7" s="3678"/>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76" t="s">
        <v>1506</v>
      </c>
      <c r="Q8" s="3678"/>
      <c r="R8" s="1288" t="s">
        <v>1504</v>
      </c>
      <c r="S8" s="1289">
        <f t="shared" si="0"/>
        <v>100</v>
      </c>
      <c r="T8" s="1288" t="s">
        <v>1504</v>
      </c>
      <c r="U8" s="1289">
        <f t="shared" si="1"/>
        <v>100</v>
      </c>
      <c r="V8" s="1288" t="s">
        <v>1504</v>
      </c>
      <c r="W8" s="1289">
        <f t="shared" si="2"/>
        <v>100</v>
      </c>
      <c r="X8" s="1290"/>
      <c r="Y8" s="3676" t="s">
        <v>1506</v>
      </c>
      <c r="Z8" s="3678"/>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79" t="s">
        <v>1509</v>
      </c>
      <c r="Q9" s="1292" t="str">
        <f t="shared" ref="Q9:Q14" si="6">B9</f>
        <v>用途</v>
      </c>
      <c r="R9" s="1288" t="s">
        <v>1504</v>
      </c>
      <c r="S9" s="1289">
        <f t="shared" si="0"/>
        <v>100</v>
      </c>
      <c r="T9" s="1288" t="s">
        <v>1504</v>
      </c>
      <c r="U9" s="1289">
        <f t="shared" si="1"/>
        <v>100</v>
      </c>
      <c r="V9" s="1288" t="s">
        <v>1504</v>
      </c>
      <c r="W9" s="1289">
        <f t="shared" si="2"/>
        <v>100</v>
      </c>
      <c r="X9" s="1290"/>
      <c r="Y9" s="3616"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79"/>
      <c r="Q10" s="1292" t="str">
        <f t="shared" si="6"/>
        <v>土地使用年限（年）</v>
      </c>
      <c r="R10" s="1288" t="s">
        <v>1504</v>
      </c>
      <c r="S10" s="1289">
        <f t="shared" si="0"/>
        <v>100</v>
      </c>
      <c r="T10" s="1288" t="s">
        <v>1504</v>
      </c>
      <c r="U10" s="1289">
        <f t="shared" si="1"/>
        <v>100</v>
      </c>
      <c r="V10" s="1288" t="s">
        <v>1504</v>
      </c>
      <c r="W10" s="1289">
        <f t="shared" si="2"/>
        <v>100</v>
      </c>
      <c r="X10" s="1290"/>
      <c r="Y10" s="3616"/>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79"/>
      <c r="Q11" s="1292">
        <f t="shared" si="6"/>
        <v>111</v>
      </c>
      <c r="R11" s="1288" t="s">
        <v>1504</v>
      </c>
      <c r="S11" s="1289">
        <f t="shared" si="0"/>
        <v>100</v>
      </c>
      <c r="T11" s="1288" t="s">
        <v>1504</v>
      </c>
      <c r="U11" s="1289">
        <f t="shared" si="1"/>
        <v>100</v>
      </c>
      <c r="V11" s="1288" t="s">
        <v>1504</v>
      </c>
      <c r="W11" s="1289">
        <f t="shared" si="2"/>
        <v>100</v>
      </c>
      <c r="X11" s="1290"/>
      <c r="Y11" s="3616"/>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79"/>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79"/>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0" t="s">
        <v>1515</v>
      </c>
      <c r="Q14" s="672" t="str">
        <f t="shared" si="6"/>
        <v>交通便捷度</v>
      </c>
      <c r="R14" s="1293" t="s">
        <v>1504</v>
      </c>
      <c r="S14" s="1294">
        <f t="shared" si="0"/>
        <v>100</v>
      </c>
      <c r="T14" s="1293" t="s">
        <v>1504</v>
      </c>
      <c r="U14" s="1294">
        <f t="shared" si="1"/>
        <v>100</v>
      </c>
      <c r="V14" s="1293" t="s">
        <v>1504</v>
      </c>
      <c r="W14" s="1294">
        <f t="shared" si="2"/>
        <v>100</v>
      </c>
      <c r="X14" s="1287"/>
      <c r="Y14" s="3690"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1"/>
      <c r="Q15" s="672"/>
      <c r="R15" s="1293"/>
      <c r="S15" s="1294"/>
      <c r="T15" s="1293"/>
      <c r="U15" s="1294"/>
      <c r="V15" s="1293"/>
      <c r="W15" s="1294"/>
      <c r="X15" s="1287"/>
      <c r="Y15" s="3691"/>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1"/>
      <c r="Q16" s="672" t="str">
        <f>B16</f>
        <v>公共配套设施</v>
      </c>
      <c r="R16" s="1293" t="s">
        <v>1504</v>
      </c>
      <c r="S16" s="1294">
        <f>F16</f>
        <v>100</v>
      </c>
      <c r="T16" s="1293" t="s">
        <v>1504</v>
      </c>
      <c r="U16" s="1294">
        <f>H16</f>
        <v>100</v>
      </c>
      <c r="V16" s="1293" t="s">
        <v>1504</v>
      </c>
      <c r="W16" s="1294">
        <f>J16</f>
        <v>100</v>
      </c>
      <c r="X16" s="1287"/>
      <c r="Y16" s="3691"/>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1"/>
      <c r="Q17" s="672"/>
      <c r="R17" s="1293"/>
      <c r="S17" s="1294"/>
      <c r="T17" s="1293"/>
      <c r="U17" s="1294"/>
      <c r="V17" s="1293"/>
      <c r="W17" s="1294"/>
      <c r="X17" s="1287"/>
      <c r="Y17" s="3691"/>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1"/>
      <c r="Q18" s="672" t="str">
        <f>B18</f>
        <v>基础设施水平</v>
      </c>
      <c r="R18" s="1293" t="s">
        <v>1504</v>
      </c>
      <c r="S18" s="1294">
        <f>F18</f>
        <v>100</v>
      </c>
      <c r="T18" s="1293" t="s">
        <v>1504</v>
      </c>
      <c r="U18" s="1294">
        <f>H18</f>
        <v>100</v>
      </c>
      <c r="V18" s="1293" t="s">
        <v>1504</v>
      </c>
      <c r="W18" s="1294">
        <f>J18</f>
        <v>100</v>
      </c>
      <c r="X18" s="1287"/>
      <c r="Y18" s="3691"/>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1"/>
      <c r="Q19" s="672"/>
      <c r="R19" s="1293"/>
      <c r="S19" s="1294"/>
      <c r="T19" s="1293"/>
      <c r="U19" s="1294"/>
      <c r="V19" s="1293"/>
      <c r="W19" s="1294"/>
      <c r="X19" s="1287"/>
      <c r="Y19" s="3691"/>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1"/>
      <c r="Q20" s="672" t="str">
        <f>B20</f>
        <v>自然及人文环境</v>
      </c>
      <c r="R20" s="1293" t="s">
        <v>1504</v>
      </c>
      <c r="S20" s="1294">
        <f>F20</f>
        <v>100</v>
      </c>
      <c r="T20" s="1293" t="s">
        <v>1504</v>
      </c>
      <c r="U20" s="1294">
        <f>H20</f>
        <v>100</v>
      </c>
      <c r="V20" s="1293" t="s">
        <v>1504</v>
      </c>
      <c r="W20" s="1294">
        <f>J20</f>
        <v>100</v>
      </c>
      <c r="X20" s="1287"/>
      <c r="Y20" s="3691"/>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1"/>
      <c r="Q21" s="672"/>
      <c r="R21" s="1293"/>
      <c r="S21" s="1294"/>
      <c r="T21" s="1293"/>
      <c r="U21" s="1294"/>
      <c r="V21" s="1293"/>
      <c r="W21" s="1294"/>
      <c r="X21" s="1287"/>
      <c r="Y21" s="3691"/>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1"/>
      <c r="Q22" s="672" t="str">
        <f>B22</f>
        <v>楼层</v>
      </c>
      <c r="R22" s="1293" t="s">
        <v>1504</v>
      </c>
      <c r="S22" s="1294">
        <f>F22</f>
        <v>100</v>
      </c>
      <c r="T22" s="1293" t="s">
        <v>1504</v>
      </c>
      <c r="U22" s="1294">
        <f>H22</f>
        <v>100</v>
      </c>
      <c r="V22" s="1293" t="s">
        <v>1504</v>
      </c>
      <c r="W22" s="1294">
        <f>J22</f>
        <v>100</v>
      </c>
      <c r="X22" s="1287"/>
      <c r="Y22" s="3691"/>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1"/>
      <c r="Q23" s="672">
        <f>B23</f>
        <v>111</v>
      </c>
      <c r="R23" s="1293" t="s">
        <v>1504</v>
      </c>
      <c r="S23" s="1294">
        <f>F23</f>
        <v>100</v>
      </c>
      <c r="T23" s="1293" t="s">
        <v>1504</v>
      </c>
      <c r="U23" s="1294">
        <f>H23</f>
        <v>100</v>
      </c>
      <c r="V23" s="1293" t="s">
        <v>1504</v>
      </c>
      <c r="W23" s="1294">
        <f>J23</f>
        <v>100</v>
      </c>
      <c r="X23" s="1287"/>
      <c r="Y23" s="3691"/>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1"/>
      <c r="Q24" s="672">
        <f t="shared" ref="Q24:Q34" si="11">B24</f>
        <v>111</v>
      </c>
      <c r="R24" s="1293" t="s">
        <v>1504</v>
      </c>
      <c r="S24" s="1294">
        <f>F24</f>
        <v>100</v>
      </c>
      <c r="T24" s="1293" t="s">
        <v>1504</v>
      </c>
      <c r="U24" s="1294">
        <f>H24</f>
        <v>100</v>
      </c>
      <c r="V24" s="1293" t="s">
        <v>1504</v>
      </c>
      <c r="W24" s="1294">
        <f>J24</f>
        <v>100</v>
      </c>
      <c r="X24" s="1287"/>
      <c r="Y24" s="3691"/>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1"/>
      <c r="Q25" s="1292">
        <f t="shared" si="11"/>
        <v>111</v>
      </c>
      <c r="R25" s="1288" t="s">
        <v>1504</v>
      </c>
      <c r="S25" s="1289">
        <f>F25</f>
        <v>100</v>
      </c>
      <c r="T25" s="1288" t="s">
        <v>1504</v>
      </c>
      <c r="U25" s="1289">
        <f>H25</f>
        <v>100</v>
      </c>
      <c r="V25" s="1288" t="s">
        <v>1504</v>
      </c>
      <c r="W25" s="1289">
        <f>J25</f>
        <v>100</v>
      </c>
      <c r="X25" s="1290"/>
      <c r="Y25" s="3691"/>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5"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92" t="s">
        <v>1524</v>
      </c>
      <c r="Z26" s="1277" t="str">
        <f t="shared" ref="Z26:Z34" si="15">Q26</f>
        <v>公共部分装修</v>
      </c>
      <c r="AA26" s="1304">
        <f t="shared" si="3"/>
        <v>1</v>
      </c>
      <c r="AB26" s="1304">
        <f t="shared" si="4"/>
        <v>1</v>
      </c>
      <c r="AC26" s="1304">
        <f t="shared" si="5"/>
        <v>1</v>
      </c>
    </row>
    <row r="27" spans="1:29" s="1079" customFormat="1" ht="15">
      <c r="A27" s="1174"/>
      <c r="B27" s="1115" t="s">
        <v>1620</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2"/>
      <c r="Q27" s="1521" t="str">
        <f t="shared" si="11"/>
        <v>成新率</v>
      </c>
      <c r="R27" s="1295" t="s">
        <v>1504</v>
      </c>
      <c r="S27" s="1296" t="e">
        <f t="shared" si="12"/>
        <v>#N/A</v>
      </c>
      <c r="T27" s="1295" t="s">
        <v>1504</v>
      </c>
      <c r="U27" s="1296" t="e">
        <f t="shared" si="13"/>
        <v>#N/A</v>
      </c>
      <c r="V27" s="1295" t="s">
        <v>1504</v>
      </c>
      <c r="W27" s="1296" t="e">
        <f t="shared" si="14"/>
        <v>#N/A</v>
      </c>
      <c r="X27" s="1297"/>
      <c r="Y27" s="3692"/>
      <c r="Z27" s="1305" t="str">
        <f t="shared" si="15"/>
        <v>成新率</v>
      </c>
      <c r="AA27" s="1304" t="e">
        <f t="shared" si="3"/>
        <v>#N/A</v>
      </c>
      <c r="AB27" s="1304" t="e">
        <f t="shared" si="4"/>
        <v>#N/A</v>
      </c>
      <c r="AC27" s="1304" t="e">
        <f t="shared" si="5"/>
        <v>#N/A</v>
      </c>
    </row>
    <row r="28" spans="1:29" ht="15">
      <c r="A28" s="1169"/>
      <c r="B28" s="1115" t="s">
        <v>1621</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2"/>
      <c r="Q28" s="672" t="str">
        <f t="shared" si="11"/>
        <v>物业等级</v>
      </c>
      <c r="R28" s="1293" t="s">
        <v>1504</v>
      </c>
      <c r="S28" s="1294">
        <f t="shared" si="12"/>
        <v>100</v>
      </c>
      <c r="T28" s="1293" t="s">
        <v>1504</v>
      </c>
      <c r="U28" s="1294">
        <f t="shared" si="13"/>
        <v>100</v>
      </c>
      <c r="V28" s="1293" t="s">
        <v>1504</v>
      </c>
      <c r="W28" s="1294">
        <f t="shared" si="14"/>
        <v>100</v>
      </c>
      <c r="X28" s="1287"/>
      <c r="Y28" s="3692"/>
      <c r="Z28" s="1277" t="str">
        <f t="shared" si="15"/>
        <v>物业等级</v>
      </c>
      <c r="AA28" s="1304">
        <f t="shared" si="3"/>
        <v>1</v>
      </c>
      <c r="AB28" s="1304">
        <f t="shared" si="4"/>
        <v>1</v>
      </c>
      <c r="AC28" s="1304">
        <f t="shared" si="5"/>
        <v>1</v>
      </c>
    </row>
    <row r="29" spans="1:29" ht="15">
      <c r="A29" s="1169"/>
      <c r="B29" s="1115" t="s">
        <v>1630</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2"/>
      <c r="Q29" s="672" t="str">
        <f t="shared" si="11"/>
        <v>有无电梯</v>
      </c>
      <c r="R29" s="1293" t="s">
        <v>1504</v>
      </c>
      <c r="S29" s="1294">
        <f t="shared" si="12"/>
        <v>100</v>
      </c>
      <c r="T29" s="1293" t="s">
        <v>1504</v>
      </c>
      <c r="U29" s="1294">
        <f t="shared" si="13"/>
        <v>100</v>
      </c>
      <c r="V29" s="1293" t="s">
        <v>1504</v>
      </c>
      <c r="W29" s="1294">
        <f t="shared" si="14"/>
        <v>100</v>
      </c>
      <c r="X29" s="1287"/>
      <c r="Y29" s="3692"/>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2"/>
      <c r="Q30" s="672" t="str">
        <f t="shared" si="11"/>
        <v>建筑面积</v>
      </c>
      <c r="R30" s="1293" t="s">
        <v>1504</v>
      </c>
      <c r="S30" s="1294" t="e">
        <f t="shared" si="12"/>
        <v>#N/A</v>
      </c>
      <c r="T30" s="1293" t="s">
        <v>1504</v>
      </c>
      <c r="U30" s="1294" t="e">
        <f t="shared" si="13"/>
        <v>#N/A</v>
      </c>
      <c r="V30" s="1293" t="s">
        <v>1504</v>
      </c>
      <c r="W30" s="1294" t="e">
        <f t="shared" si="14"/>
        <v>#N/A</v>
      </c>
      <c r="X30" s="1287"/>
      <c r="Y30" s="3692"/>
      <c r="Z30" s="1277" t="str">
        <f t="shared" si="15"/>
        <v>建筑面积</v>
      </c>
      <c r="AA30" s="1304" t="e">
        <f t="shared" si="3"/>
        <v>#N/A</v>
      </c>
      <c r="AB30" s="1304" t="e">
        <f t="shared" si="4"/>
        <v>#N/A</v>
      </c>
      <c r="AC30" s="1304" t="e">
        <f t="shared" si="5"/>
        <v>#N/A</v>
      </c>
    </row>
    <row r="31" spans="1:29" s="1077" customFormat="1" ht="15">
      <c r="A31" s="1171"/>
      <c r="B31" s="1115" t="s">
        <v>1631</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2"/>
      <c r="Q31" s="1292" t="str">
        <f t="shared" si="11"/>
        <v>是否封闭</v>
      </c>
      <c r="R31" s="1288" t="s">
        <v>1504</v>
      </c>
      <c r="S31" s="1289">
        <f t="shared" si="12"/>
        <v>100</v>
      </c>
      <c r="T31" s="1288" t="s">
        <v>1504</v>
      </c>
      <c r="U31" s="1289">
        <f t="shared" si="13"/>
        <v>100</v>
      </c>
      <c r="V31" s="1288" t="s">
        <v>1504</v>
      </c>
      <c r="W31" s="1289">
        <f t="shared" si="14"/>
        <v>100</v>
      </c>
      <c r="X31" s="1290"/>
      <c r="Y31" s="3692"/>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2" t="s">
        <v>1524</v>
      </c>
      <c r="Q32" s="672">
        <f t="shared" si="11"/>
        <v>111</v>
      </c>
      <c r="R32" s="1293" t="s">
        <v>1504</v>
      </c>
      <c r="S32" s="1294">
        <f t="shared" si="12"/>
        <v>100</v>
      </c>
      <c r="T32" s="1293" t="s">
        <v>1504</v>
      </c>
      <c r="U32" s="1294">
        <f t="shared" si="13"/>
        <v>100</v>
      </c>
      <c r="V32" s="1293" t="s">
        <v>1504</v>
      </c>
      <c r="W32" s="1294">
        <f t="shared" si="14"/>
        <v>100</v>
      </c>
      <c r="X32" s="1287"/>
      <c r="Y32" s="3692"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2"/>
      <c r="Q33" s="672">
        <f t="shared" si="11"/>
        <v>111</v>
      </c>
      <c r="R33" s="1293" t="s">
        <v>1504</v>
      </c>
      <c r="S33" s="1294">
        <f t="shared" si="12"/>
        <v>100</v>
      </c>
      <c r="T33" s="1293" t="s">
        <v>1504</v>
      </c>
      <c r="U33" s="1294">
        <f t="shared" si="13"/>
        <v>100</v>
      </c>
      <c r="V33" s="1293" t="s">
        <v>1504</v>
      </c>
      <c r="W33" s="1294">
        <f t="shared" si="14"/>
        <v>100</v>
      </c>
      <c r="X33" s="1287"/>
      <c r="Y33" s="3692"/>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2"/>
      <c r="Q34" s="672">
        <f t="shared" si="11"/>
        <v>111</v>
      </c>
      <c r="R34" s="1293" t="s">
        <v>1504</v>
      </c>
      <c r="S34" s="1294">
        <f t="shared" si="12"/>
        <v>100</v>
      </c>
      <c r="T34" s="1293" t="s">
        <v>1504</v>
      </c>
      <c r="U34" s="1294">
        <f t="shared" si="13"/>
        <v>100</v>
      </c>
      <c r="V34" s="1293" t="s">
        <v>1504</v>
      </c>
      <c r="W34" s="1294">
        <f t="shared" si="14"/>
        <v>100</v>
      </c>
      <c r="X34" s="1287"/>
      <c r="Y34" s="3692"/>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79" t="str">
        <f>A35</f>
        <v>成交单价（元/平方米）</v>
      </c>
      <c r="Q35" s="3679"/>
      <c r="R35" s="3680">
        <f>E35</f>
        <v>0</v>
      </c>
      <c r="S35" s="3680"/>
      <c r="T35" s="3680">
        <f>G35</f>
        <v>0</v>
      </c>
      <c r="U35" s="3680"/>
      <c r="V35" s="3680">
        <f>I35</f>
        <v>0</v>
      </c>
      <c r="W35" s="3680"/>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2023-4</v>
      </c>
      <c r="D46" s="1511">
        <f>EDATE(C46,-1)</f>
        <v>44986</v>
      </c>
      <c r="E46" s="1511">
        <f t="shared" ref="E46:O46" si="16">EDATE(D46,-1)</f>
        <v>44958</v>
      </c>
      <c r="F46" s="1511">
        <f t="shared" si="16"/>
        <v>44927</v>
      </c>
      <c r="G46" s="1511">
        <f t="shared" si="16"/>
        <v>44896</v>
      </c>
      <c r="H46" s="1511">
        <f t="shared" si="16"/>
        <v>44866</v>
      </c>
      <c r="I46" s="1511">
        <f t="shared" si="16"/>
        <v>44835</v>
      </c>
      <c r="J46" s="1511">
        <f t="shared" si="16"/>
        <v>44805</v>
      </c>
      <c r="K46" s="1511">
        <f t="shared" si="16"/>
        <v>44774</v>
      </c>
      <c r="L46" s="1511">
        <f t="shared" si="16"/>
        <v>44743</v>
      </c>
      <c r="M46" s="1511">
        <f t="shared" si="16"/>
        <v>44713</v>
      </c>
      <c r="N46" s="1511">
        <f t="shared" si="16"/>
        <v>44682</v>
      </c>
      <c r="O46" s="1511">
        <f t="shared" si="16"/>
        <v>44652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1632</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1620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1630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1631</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1633</v>
      </c>
      <c r="B1" s="1087"/>
      <c r="C1" s="1088" t="s">
        <v>1634</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664" t="s">
        <v>1490</v>
      </c>
      <c r="D4" s="3665"/>
      <c r="E4" s="3666" t="s">
        <v>1491</v>
      </c>
      <c r="F4" s="3667"/>
      <c r="G4" s="3664" t="s">
        <v>1492</v>
      </c>
      <c r="H4" s="3665"/>
      <c r="I4" s="3664" t="s">
        <v>1493</v>
      </c>
      <c r="J4" s="3665"/>
      <c r="K4" s="1243"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695" t="s">
        <v>1492</v>
      </c>
      <c r="AC4" s="3694" t="s">
        <v>1493</v>
      </c>
    </row>
    <row r="5" spans="1:30" ht="15">
      <c r="A5" s="1098"/>
      <c r="B5" s="1099"/>
      <c r="C5" s="3668" t="s">
        <v>1496</v>
      </c>
      <c r="D5" s="3669"/>
      <c r="E5" s="3670" t="s">
        <v>1497</v>
      </c>
      <c r="F5" s="3671"/>
      <c r="G5" s="3668" t="s">
        <v>1498</v>
      </c>
      <c r="H5" s="3669"/>
      <c r="I5" s="3668" t="s">
        <v>1499</v>
      </c>
      <c r="J5" s="3669"/>
      <c r="K5" s="1243"/>
      <c r="L5" s="1244"/>
      <c r="M5" s="1245"/>
      <c r="N5" s="1245"/>
      <c r="O5" s="1245"/>
      <c r="P5" s="3699"/>
      <c r="Q5" s="3700"/>
      <c r="R5" s="3705"/>
      <c r="S5" s="3706"/>
      <c r="T5" s="3705"/>
      <c r="U5" s="3706"/>
      <c r="V5" s="3709"/>
      <c r="W5" s="3709"/>
      <c r="X5" s="1287"/>
      <c r="Y5" s="3705"/>
      <c r="Z5" s="3706"/>
      <c r="AA5" s="3695"/>
      <c r="AB5" s="3695"/>
      <c r="AC5" s="3695"/>
    </row>
    <row r="6" spans="1:30" ht="15">
      <c r="A6" s="1100"/>
      <c r="B6" s="1101"/>
      <c r="C6" s="3672" t="s">
        <v>1500</v>
      </c>
      <c r="D6" s="3673"/>
      <c r="E6" s="3674" t="s">
        <v>1500</v>
      </c>
      <c r="F6" s="3675"/>
      <c r="G6" s="3672" t="s">
        <v>1500</v>
      </c>
      <c r="H6" s="3673"/>
      <c r="I6" s="3672" t="s">
        <v>1500</v>
      </c>
      <c r="J6" s="3673"/>
      <c r="K6" s="1243" t="s">
        <v>1501</v>
      </c>
      <c r="L6" s="1244"/>
      <c r="M6" s="1245"/>
      <c r="N6" s="1245"/>
      <c r="O6" s="1245"/>
      <c r="P6" s="3701"/>
      <c r="Q6" s="3702"/>
      <c r="R6" s="3705"/>
      <c r="S6" s="3706"/>
      <c r="T6" s="3707"/>
      <c r="U6" s="3708"/>
      <c r="V6" s="3709"/>
      <c r="W6" s="3709"/>
      <c r="X6" s="1287"/>
      <c r="Y6" s="3707"/>
      <c r="Z6" s="3708"/>
      <c r="AA6" s="3696"/>
      <c r="AB6" s="3696"/>
      <c r="AC6" s="3696"/>
    </row>
    <row r="7" spans="1:30" s="1077" customFormat="1" ht="15">
      <c r="A7" s="1102" t="s">
        <v>1502</v>
      </c>
      <c r="B7" s="1103"/>
      <c r="C7" s="1104">
        <f>'数据-取费表'!B2</f>
        <v>45026</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76" t="s">
        <v>1503</v>
      </c>
      <c r="Q7" s="3677"/>
      <c r="R7" s="1288" t="s">
        <v>1504</v>
      </c>
      <c r="S7" s="1289">
        <f t="shared" ref="S7:S15" si="0">F7</f>
        <v>0</v>
      </c>
      <c r="T7" s="1288" t="s">
        <v>1504</v>
      </c>
      <c r="U7" s="1289">
        <f t="shared" ref="U7:U15" si="1">H7</f>
        <v>0</v>
      </c>
      <c r="V7" s="1288" t="s">
        <v>1504</v>
      </c>
      <c r="W7" s="1289">
        <f t="shared" ref="W7:W15" si="2">J7</f>
        <v>0</v>
      </c>
      <c r="X7" s="1290"/>
      <c r="Y7" s="3676" t="s">
        <v>1503</v>
      </c>
      <c r="Z7" s="3678"/>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76" t="s">
        <v>1506</v>
      </c>
      <c r="Q8" s="3678"/>
      <c r="R8" s="1288" t="s">
        <v>1504</v>
      </c>
      <c r="S8" s="1289">
        <f t="shared" si="0"/>
        <v>0</v>
      </c>
      <c r="T8" s="1288" t="s">
        <v>1504</v>
      </c>
      <c r="U8" s="1289">
        <f t="shared" si="1"/>
        <v>0</v>
      </c>
      <c r="V8" s="1288" t="s">
        <v>1504</v>
      </c>
      <c r="W8" s="1289">
        <f t="shared" si="2"/>
        <v>0</v>
      </c>
      <c r="X8" s="1290"/>
      <c r="Y8" s="3676" t="s">
        <v>1506</v>
      </c>
      <c r="Z8" s="3678"/>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79"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109</v>
      </c>
      <c r="G10" s="1424"/>
      <c r="H10" s="1117">
        <f>ROUND(100/'数据-取费表'!G16,0)</f>
        <v>109</v>
      </c>
      <c r="I10" s="1424"/>
      <c r="J10" s="1117">
        <f>ROUND(100/'数据-取费表'!G16,0)</f>
        <v>109</v>
      </c>
      <c r="K10" s="1250"/>
      <c r="L10" s="1251"/>
      <c r="M10" s="1252"/>
      <c r="N10" s="1252"/>
      <c r="O10" s="1253"/>
      <c r="P10" s="3679"/>
      <c r="Q10" s="1292" t="str">
        <f t="shared" si="6"/>
        <v>土地使用年限（年）</v>
      </c>
      <c r="R10" s="1288" t="s">
        <v>1504</v>
      </c>
      <c r="S10" s="1289">
        <f t="shared" si="0"/>
        <v>109</v>
      </c>
      <c r="T10" s="1288" t="s">
        <v>1504</v>
      </c>
      <c r="U10" s="1289">
        <f t="shared" si="1"/>
        <v>109</v>
      </c>
      <c r="V10" s="1288" t="s">
        <v>1504</v>
      </c>
      <c r="W10" s="1289">
        <f t="shared" si="2"/>
        <v>109</v>
      </c>
      <c r="X10" s="1290"/>
      <c r="Y10" s="3616"/>
      <c r="Z10" s="1303" t="str">
        <f t="shared" si="7"/>
        <v>土地使用年限（年）</v>
      </c>
      <c r="AA10" s="1302">
        <f t="shared" si="3"/>
        <v>0.91743119266055095</v>
      </c>
      <c r="AB10" s="1302">
        <f t="shared" si="4"/>
        <v>0.91743119266055095</v>
      </c>
      <c r="AC10" s="1302">
        <f t="shared" si="5"/>
        <v>0.91743119266055095</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79"/>
      <c r="Q11" s="1292" t="str">
        <f t="shared" si="6"/>
        <v>容积率</v>
      </c>
      <c r="R11" s="1288" t="s">
        <v>1504</v>
      </c>
      <c r="S11" s="1289" t="e">
        <f t="shared" si="0"/>
        <v>#N/A</v>
      </c>
      <c r="T11" s="1288" t="s">
        <v>1504</v>
      </c>
      <c r="U11" s="1289" t="e">
        <f t="shared" si="1"/>
        <v>#N/A</v>
      </c>
      <c r="V11" s="1288" t="s">
        <v>1504</v>
      </c>
      <c r="W11" s="1289" t="e">
        <f t="shared" si="2"/>
        <v>#N/A</v>
      </c>
      <c r="X11" s="1290"/>
      <c r="Y11" s="3616"/>
      <c r="Z11" s="1303" t="str">
        <f t="shared" si="7"/>
        <v>容积率</v>
      </c>
      <c r="AA11" s="1302" t="e">
        <f t="shared" si="3"/>
        <v>#N/A</v>
      </c>
      <c r="AB11" s="1302" t="e">
        <f t="shared" si="4"/>
        <v>#N/A</v>
      </c>
      <c r="AC11" s="1302" t="e">
        <f t="shared" si="5"/>
        <v>#N/A</v>
      </c>
    </row>
    <row r="12" spans="1:30" s="1077" customFormat="1" ht="15">
      <c r="A12" s="1121"/>
      <c r="B12" s="1122" t="s">
        <v>1635</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79"/>
      <c r="Q12" s="1292" t="str">
        <f t="shared" si="6"/>
        <v>配建</v>
      </c>
      <c r="R12" s="1288" t="s">
        <v>1504</v>
      </c>
      <c r="S12" s="1289">
        <f t="shared" si="0"/>
        <v>100</v>
      </c>
      <c r="T12" s="1288" t="s">
        <v>1504</v>
      </c>
      <c r="U12" s="1289">
        <f t="shared" si="1"/>
        <v>100</v>
      </c>
      <c r="V12" s="1288" t="s">
        <v>1504</v>
      </c>
      <c r="W12" s="1289">
        <f t="shared" si="2"/>
        <v>100</v>
      </c>
      <c r="X12" s="1290"/>
      <c r="Y12" s="3616"/>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79"/>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79"/>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0" t="s">
        <v>1515</v>
      </c>
      <c r="Q15" s="672" t="str">
        <f t="shared" si="6"/>
        <v>居住社区成熟度</v>
      </c>
      <c r="R15" s="1293" t="s">
        <v>1504</v>
      </c>
      <c r="S15" s="1294">
        <f t="shared" si="0"/>
        <v>100</v>
      </c>
      <c r="T15" s="1293" t="s">
        <v>1504</v>
      </c>
      <c r="U15" s="1294">
        <f t="shared" si="1"/>
        <v>100</v>
      </c>
      <c r="V15" s="1293" t="s">
        <v>1504</v>
      </c>
      <c r="W15" s="1294">
        <f t="shared" si="2"/>
        <v>100</v>
      </c>
      <c r="X15" s="1287"/>
      <c r="Y15" s="3690"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1"/>
      <c r="Q16" s="672"/>
      <c r="R16" s="1293"/>
      <c r="S16" s="1294"/>
      <c r="T16" s="1293"/>
      <c r="U16" s="1294"/>
      <c r="V16" s="1293"/>
      <c r="W16" s="1294"/>
      <c r="X16" s="1287"/>
      <c r="Y16" s="3691"/>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1"/>
      <c r="Q17" s="672" t="str">
        <f>B17</f>
        <v>商业繁华度</v>
      </c>
      <c r="R17" s="1293" t="s">
        <v>1504</v>
      </c>
      <c r="S17" s="1294">
        <f>F17</f>
        <v>100</v>
      </c>
      <c r="T17" s="1293" t="s">
        <v>1504</v>
      </c>
      <c r="U17" s="1294">
        <f>H17</f>
        <v>100</v>
      </c>
      <c r="V17" s="1293" t="s">
        <v>1504</v>
      </c>
      <c r="W17" s="1294">
        <f>J17</f>
        <v>100</v>
      </c>
      <c r="X17" s="1287"/>
      <c r="Y17" s="3691"/>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1"/>
      <c r="Q18" s="672"/>
      <c r="R18" s="1293"/>
      <c r="S18" s="1294"/>
      <c r="T18" s="1293"/>
      <c r="U18" s="1294"/>
      <c r="V18" s="1293"/>
      <c r="W18" s="1294"/>
      <c r="X18" s="1287"/>
      <c r="Y18" s="3691"/>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1"/>
      <c r="Q19" s="672" t="str">
        <f>B19</f>
        <v>办公集聚程度</v>
      </c>
      <c r="R19" s="1293" t="s">
        <v>1504</v>
      </c>
      <c r="S19" s="1294">
        <f>F19</f>
        <v>100</v>
      </c>
      <c r="T19" s="1293" t="s">
        <v>1504</v>
      </c>
      <c r="U19" s="1294">
        <f>H19</f>
        <v>100</v>
      </c>
      <c r="V19" s="1293" t="s">
        <v>1504</v>
      </c>
      <c r="W19" s="1294">
        <f>J19</f>
        <v>100</v>
      </c>
      <c r="X19" s="1287"/>
      <c r="Y19" s="3691"/>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1"/>
      <c r="Q20" s="672"/>
      <c r="R20" s="1293"/>
      <c r="S20" s="1294"/>
      <c r="T20" s="1293"/>
      <c r="U20" s="1294"/>
      <c r="V20" s="1293"/>
      <c r="W20" s="1294"/>
      <c r="X20" s="1287"/>
      <c r="Y20" s="3691"/>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1"/>
      <c r="Q21" s="672" t="str">
        <f>B21</f>
        <v>交通便捷度</v>
      </c>
      <c r="R21" s="1293" t="s">
        <v>1504</v>
      </c>
      <c r="S21" s="1294">
        <f>F21</f>
        <v>100</v>
      </c>
      <c r="T21" s="1293" t="s">
        <v>1504</v>
      </c>
      <c r="U21" s="1294">
        <f>H21</f>
        <v>100</v>
      </c>
      <c r="V21" s="1293" t="s">
        <v>1504</v>
      </c>
      <c r="W21" s="1294">
        <f>J21</f>
        <v>100</v>
      </c>
      <c r="X21" s="1287"/>
      <c r="Y21" s="3691"/>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1"/>
      <c r="Q22" s="672"/>
      <c r="R22" s="1293"/>
      <c r="S22" s="1294"/>
      <c r="T22" s="1293"/>
      <c r="U22" s="1294"/>
      <c r="V22" s="1293"/>
      <c r="W22" s="1294"/>
      <c r="X22" s="1287"/>
      <c r="Y22" s="3691"/>
      <c r="Z22" s="1277"/>
      <c r="AA22" s="1304">
        <v>1</v>
      </c>
      <c r="AB22" s="1304">
        <v>1</v>
      </c>
      <c r="AC22" s="1304">
        <v>1</v>
      </c>
    </row>
    <row r="23" spans="1:29" ht="15">
      <c r="A23" s="1098"/>
      <c r="B23" s="1428" t="s">
        <v>1636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1"/>
      <c r="Q23" s="672" t="str">
        <f t="shared" ref="Q23:Q38" si="8">B23</f>
        <v>区域土地利用方向</v>
      </c>
      <c r="R23" s="1293" t="s">
        <v>1504</v>
      </c>
      <c r="S23" s="1294">
        <f>F23</f>
        <v>100</v>
      </c>
      <c r="T23" s="1293" t="s">
        <v>1504</v>
      </c>
      <c r="U23" s="1294">
        <f>H23</f>
        <v>100</v>
      </c>
      <c r="V23" s="1293" t="s">
        <v>1504</v>
      </c>
      <c r="W23" s="1294">
        <f>J23</f>
        <v>100</v>
      </c>
      <c r="X23" s="1287"/>
      <c r="Y23" s="3691"/>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1"/>
      <c r="Q24" s="672"/>
      <c r="R24" s="1293"/>
      <c r="S24" s="1294"/>
      <c r="T24" s="1293"/>
      <c r="U24" s="1294"/>
      <c r="V24" s="1293"/>
      <c r="W24" s="1294"/>
      <c r="X24" s="1287"/>
      <c r="Y24" s="3691"/>
      <c r="Z24" s="1277"/>
      <c r="AA24" s="1304"/>
      <c r="AB24" s="1304"/>
      <c r="AC24" s="1304"/>
    </row>
    <row r="25" spans="1:29" ht="57">
      <c r="A25" s="1098"/>
      <c r="B25" s="1432" t="s">
        <v>1637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1"/>
      <c r="Q25" s="672" t="str">
        <f t="shared" si="8"/>
        <v>自然及人文环境状况</v>
      </c>
      <c r="R25" s="1293" t="s">
        <v>1504</v>
      </c>
      <c r="S25" s="1294">
        <f>F25</f>
        <v>100</v>
      </c>
      <c r="T25" s="1293" t="s">
        <v>1504</v>
      </c>
      <c r="U25" s="1294">
        <f>H25</f>
        <v>100</v>
      </c>
      <c r="V25" s="1293" t="s">
        <v>1504</v>
      </c>
      <c r="W25" s="1294">
        <f>J25</f>
        <v>100</v>
      </c>
      <c r="X25" s="1287"/>
      <c r="Y25" s="3691"/>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1"/>
      <c r="Q26" s="672"/>
      <c r="R26" s="1293"/>
      <c r="S26" s="1294"/>
      <c r="T26" s="1293"/>
      <c r="U26" s="1294"/>
      <c r="V26" s="1293"/>
      <c r="W26" s="1294"/>
      <c r="X26" s="1287"/>
      <c r="Y26" s="3691"/>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1"/>
      <c r="Q27" s="1292" t="str">
        <f t="shared" si="8"/>
        <v>公共配套设施</v>
      </c>
      <c r="R27" s="1288" t="s">
        <v>1504</v>
      </c>
      <c r="S27" s="1289">
        <f>F27</f>
        <v>100</v>
      </c>
      <c r="T27" s="1288" t="s">
        <v>1504</v>
      </c>
      <c r="U27" s="1289">
        <f>H27</f>
        <v>100</v>
      </c>
      <c r="V27" s="1288" t="s">
        <v>1504</v>
      </c>
      <c r="W27" s="1289">
        <f>J27</f>
        <v>100</v>
      </c>
      <c r="X27" s="1290"/>
      <c r="Y27" s="3691"/>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1"/>
      <c r="Q28" s="1292"/>
      <c r="R28" s="1288"/>
      <c r="S28" s="1289"/>
      <c r="T28" s="1288"/>
      <c r="U28" s="1289"/>
      <c r="V28" s="1288"/>
      <c r="W28" s="1289"/>
      <c r="X28" s="1290"/>
      <c r="Y28" s="3691"/>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1"/>
      <c r="Q29" s="1292" t="str">
        <f t="shared" ref="Q29" si="9">B29</f>
        <v>基础设施水平</v>
      </c>
      <c r="R29" s="1288" t="s">
        <v>1504</v>
      </c>
      <c r="S29" s="1289">
        <f>F29</f>
        <v>100</v>
      </c>
      <c r="T29" s="1288" t="s">
        <v>1504</v>
      </c>
      <c r="U29" s="1289">
        <f>H29</f>
        <v>100</v>
      </c>
      <c r="V29" s="1288" t="s">
        <v>1504</v>
      </c>
      <c r="W29" s="1289">
        <f>J29</f>
        <v>100</v>
      </c>
      <c r="X29" s="1290"/>
      <c r="Y29" s="3691"/>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1"/>
      <c r="Q30" s="1292"/>
      <c r="R30" s="1288"/>
      <c r="S30" s="1289"/>
      <c r="T30" s="1288"/>
      <c r="U30" s="1289"/>
      <c r="V30" s="1288"/>
      <c r="W30" s="1289"/>
      <c r="X30" s="1290"/>
      <c r="Y30" s="3691"/>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1"/>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91"/>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1"/>
      <c r="Q32" s="672" t="str">
        <f t="shared" si="8"/>
        <v>毗邻道路的类型与等级</v>
      </c>
      <c r="R32" s="1293" t="s">
        <v>1504</v>
      </c>
      <c r="S32" s="1294">
        <f t="shared" si="10"/>
        <v>100</v>
      </c>
      <c r="T32" s="1293" t="s">
        <v>1504</v>
      </c>
      <c r="U32" s="1294">
        <f t="shared" si="11"/>
        <v>100</v>
      </c>
      <c r="V32" s="1293" t="s">
        <v>1504</v>
      </c>
      <c r="W32" s="1294">
        <f t="shared" si="12"/>
        <v>100</v>
      </c>
      <c r="X32" s="1287"/>
      <c r="Y32" s="3691"/>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1"/>
      <c r="Q33" s="672"/>
      <c r="R33" s="1293"/>
      <c r="S33" s="1294"/>
      <c r="T33" s="1293"/>
      <c r="U33" s="1294"/>
      <c r="V33" s="1293"/>
      <c r="W33" s="1294"/>
      <c r="X33" s="1287"/>
      <c r="Y33" s="3691"/>
      <c r="Z33" s="1277"/>
      <c r="AA33" s="1304">
        <v>1</v>
      </c>
      <c r="AB33" s="1304">
        <v>1</v>
      </c>
      <c r="AC33" s="1304">
        <v>1</v>
      </c>
    </row>
    <row r="34" spans="1:29" ht="15">
      <c r="A34" s="1118"/>
      <c r="B34" s="1115" t="s">
        <v>1638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1"/>
      <c r="Q34" s="672" t="str">
        <f t="shared" si="8"/>
        <v>土地级别</v>
      </c>
      <c r="R34" s="1293" t="s">
        <v>1504</v>
      </c>
      <c r="S34" s="1294">
        <f t="shared" si="10"/>
        <v>100</v>
      </c>
      <c r="T34" s="1293" t="s">
        <v>1504</v>
      </c>
      <c r="U34" s="1294">
        <f t="shared" si="11"/>
        <v>100</v>
      </c>
      <c r="V34" s="1293" t="s">
        <v>1504</v>
      </c>
      <c r="W34" s="1294">
        <f t="shared" si="12"/>
        <v>100</v>
      </c>
      <c r="X34" s="1287"/>
      <c r="Y34" s="3691"/>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1"/>
      <c r="Q35" s="672">
        <f t="shared" si="8"/>
        <v>111</v>
      </c>
      <c r="R35" s="1293" t="s">
        <v>1504</v>
      </c>
      <c r="S35" s="1294">
        <f t="shared" si="10"/>
        <v>100</v>
      </c>
      <c r="T35" s="1293" t="s">
        <v>1504</v>
      </c>
      <c r="U35" s="1294">
        <f t="shared" si="11"/>
        <v>100</v>
      </c>
      <c r="V35" s="1293" t="s">
        <v>1504</v>
      </c>
      <c r="W35" s="1294">
        <f t="shared" si="12"/>
        <v>100</v>
      </c>
      <c r="X35" s="1287"/>
      <c r="Y35" s="3691"/>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5" t="s">
        <v>1524</v>
      </c>
      <c r="Q36" s="672">
        <f t="shared" si="8"/>
        <v>111</v>
      </c>
      <c r="R36" s="1293" t="s">
        <v>1504</v>
      </c>
      <c r="S36" s="1294">
        <f t="shared" si="10"/>
        <v>100</v>
      </c>
      <c r="T36" s="1293" t="s">
        <v>1504</v>
      </c>
      <c r="U36" s="1294">
        <f t="shared" si="11"/>
        <v>100</v>
      </c>
      <c r="V36" s="1293" t="s">
        <v>1504</v>
      </c>
      <c r="W36" s="1294">
        <f t="shared" si="12"/>
        <v>100</v>
      </c>
      <c r="X36" s="1287"/>
      <c r="Y36" s="3692"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2"/>
      <c r="Q37" s="672">
        <f t="shared" si="8"/>
        <v>111</v>
      </c>
      <c r="R37" s="1295" t="s">
        <v>1504</v>
      </c>
      <c r="S37" s="1296">
        <f t="shared" si="10"/>
        <v>100</v>
      </c>
      <c r="T37" s="1295" t="s">
        <v>1504</v>
      </c>
      <c r="U37" s="1296">
        <f t="shared" si="11"/>
        <v>100</v>
      </c>
      <c r="V37" s="1295" t="s">
        <v>1504</v>
      </c>
      <c r="W37" s="1296">
        <f t="shared" si="12"/>
        <v>100</v>
      </c>
      <c r="X37" s="1297"/>
      <c r="Y37" s="3692"/>
      <c r="Z37" s="1305">
        <f t="shared" si="13"/>
        <v>111</v>
      </c>
      <c r="AA37" s="1304">
        <f t="shared" si="3"/>
        <v>1</v>
      </c>
      <c r="AB37" s="1304">
        <f t="shared" si="4"/>
        <v>1</v>
      </c>
      <c r="AC37" s="1304">
        <f t="shared" si="5"/>
        <v>1</v>
      </c>
    </row>
    <row r="38" spans="1:29" ht="15">
      <c r="A38" s="1169" t="s">
        <v>1522</v>
      </c>
      <c r="B38" s="1166" t="s">
        <v>1639</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2"/>
      <c r="Q38" s="672" t="str">
        <f t="shared" si="8"/>
        <v>宗地面积</v>
      </c>
      <c r="R38" s="1293" t="s">
        <v>1504</v>
      </c>
      <c r="S38" s="1294" t="e">
        <f t="shared" si="10"/>
        <v>#N/A</v>
      </c>
      <c r="T38" s="1293" t="s">
        <v>1504</v>
      </c>
      <c r="U38" s="1294" t="e">
        <f t="shared" si="11"/>
        <v>#N/A</v>
      </c>
      <c r="V38" s="1293" t="s">
        <v>1504</v>
      </c>
      <c r="W38" s="1294" t="e">
        <f t="shared" si="12"/>
        <v>#N/A</v>
      </c>
      <c r="X38" s="1287"/>
      <c r="Y38" s="3692"/>
      <c r="Z38" s="1277" t="str">
        <f t="shared" si="13"/>
        <v>宗地面积</v>
      </c>
      <c r="AA38" s="1304" t="e">
        <f t="shared" si="3"/>
        <v>#N/A</v>
      </c>
      <c r="AB38" s="1304" t="e">
        <f t="shared" si="4"/>
        <v>#N/A</v>
      </c>
      <c r="AC38" s="1304" t="e">
        <f t="shared" si="5"/>
        <v>#N/A</v>
      </c>
    </row>
    <row r="39" spans="1:29" ht="15">
      <c r="A39" s="1169"/>
      <c r="B39" s="1115" t="s">
        <v>1640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2"/>
      <c r="Q39" s="672" t="str">
        <f t="shared" ref="Q39:Q45" si="14">B39</f>
        <v>宗地形状</v>
      </c>
      <c r="R39" s="1293" t="s">
        <v>1504</v>
      </c>
      <c r="S39" s="1294">
        <f t="shared" si="10"/>
        <v>100</v>
      </c>
      <c r="T39" s="1293" t="s">
        <v>1504</v>
      </c>
      <c r="U39" s="1294">
        <f t="shared" si="11"/>
        <v>100</v>
      </c>
      <c r="V39" s="1293" t="s">
        <v>1504</v>
      </c>
      <c r="W39" s="1294">
        <f t="shared" si="12"/>
        <v>100</v>
      </c>
      <c r="X39" s="1287"/>
      <c r="Y39" s="3692"/>
      <c r="Z39" s="1277" t="str">
        <f t="shared" si="13"/>
        <v>宗地形状</v>
      </c>
      <c r="AA39" s="1304">
        <f t="shared" si="3"/>
        <v>1</v>
      </c>
      <c r="AB39" s="1304">
        <f t="shared" si="4"/>
        <v>1</v>
      </c>
      <c r="AC39" s="1304">
        <f t="shared" si="5"/>
        <v>1</v>
      </c>
    </row>
    <row r="40" spans="1:29" ht="15">
      <c r="A40" s="1169"/>
      <c r="B40" s="1115" t="s">
        <v>1641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2"/>
      <c r="Q40" s="672" t="str">
        <f t="shared" si="14"/>
        <v>临街宽度及深度</v>
      </c>
      <c r="R40" s="1293" t="s">
        <v>1504</v>
      </c>
      <c r="S40" s="1294">
        <f t="shared" si="10"/>
        <v>100</v>
      </c>
      <c r="T40" s="1293" t="s">
        <v>1504</v>
      </c>
      <c r="U40" s="1294">
        <f t="shared" si="11"/>
        <v>100</v>
      </c>
      <c r="V40" s="1293" t="s">
        <v>1504</v>
      </c>
      <c r="W40" s="1294">
        <f t="shared" si="12"/>
        <v>100</v>
      </c>
      <c r="X40" s="1287"/>
      <c r="Y40" s="3692"/>
      <c r="Z40" s="1277" t="str">
        <f t="shared" si="13"/>
        <v>临街宽度及深度</v>
      </c>
      <c r="AA40" s="1304">
        <f t="shared" si="3"/>
        <v>1</v>
      </c>
      <c r="AB40" s="1304">
        <f t="shared" si="4"/>
        <v>1</v>
      </c>
      <c r="AC40" s="1304">
        <f t="shared" si="5"/>
        <v>1</v>
      </c>
    </row>
    <row r="41" spans="1:29" s="1077" customFormat="1" ht="15">
      <c r="A41" s="1171"/>
      <c r="B41" s="1115" t="s">
        <v>1642</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2"/>
      <c r="Q41" s="672" t="str">
        <f t="shared" si="14"/>
        <v>宗地开发程度</v>
      </c>
      <c r="R41" s="1288" t="s">
        <v>1504</v>
      </c>
      <c r="S41" s="1289">
        <f t="shared" si="10"/>
        <v>100</v>
      </c>
      <c r="T41" s="1288" t="s">
        <v>1504</v>
      </c>
      <c r="U41" s="1289">
        <f t="shared" si="11"/>
        <v>100</v>
      </c>
      <c r="V41" s="1288" t="s">
        <v>1504</v>
      </c>
      <c r="W41" s="1289">
        <f t="shared" si="12"/>
        <v>100</v>
      </c>
      <c r="X41" s="1290"/>
      <c r="Y41" s="3692"/>
      <c r="Z41" s="1303" t="str">
        <f t="shared" si="13"/>
        <v>宗地开发程度</v>
      </c>
      <c r="AA41" s="1302">
        <f t="shared" si="3"/>
        <v>1</v>
      </c>
      <c r="AB41" s="1302">
        <f t="shared" si="4"/>
        <v>1</v>
      </c>
      <c r="AC41" s="1302">
        <f t="shared" si="5"/>
        <v>1</v>
      </c>
    </row>
    <row r="42" spans="1:29" ht="15">
      <c r="A42" s="1169"/>
      <c r="B42" s="1115" t="s">
        <v>1643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2" t="s">
        <v>1524</v>
      </c>
      <c r="Q42" s="672" t="str">
        <f t="shared" si="14"/>
        <v>工程地质条件</v>
      </c>
      <c r="R42" s="1293" t="s">
        <v>1504</v>
      </c>
      <c r="S42" s="1294">
        <f t="shared" si="10"/>
        <v>100</v>
      </c>
      <c r="T42" s="1293" t="s">
        <v>1504</v>
      </c>
      <c r="U42" s="1294">
        <f t="shared" si="11"/>
        <v>100</v>
      </c>
      <c r="V42" s="1293" t="s">
        <v>1504</v>
      </c>
      <c r="W42" s="1294">
        <f t="shared" si="12"/>
        <v>100</v>
      </c>
      <c r="X42" s="1287"/>
      <c r="Y42" s="3692"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2"/>
      <c r="Q43" s="672">
        <f t="shared" si="14"/>
        <v>111</v>
      </c>
      <c r="R43" s="1293" t="s">
        <v>1504</v>
      </c>
      <c r="S43" s="1294">
        <f t="shared" si="10"/>
        <v>100</v>
      </c>
      <c r="T43" s="1293" t="s">
        <v>1504</v>
      </c>
      <c r="U43" s="1294">
        <f t="shared" si="11"/>
        <v>100</v>
      </c>
      <c r="V43" s="1293" t="s">
        <v>1504</v>
      </c>
      <c r="W43" s="1294">
        <f t="shared" si="12"/>
        <v>100</v>
      </c>
      <c r="X43" s="1287"/>
      <c r="Y43" s="3692"/>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2"/>
      <c r="Q44" s="672">
        <f t="shared" si="14"/>
        <v>111</v>
      </c>
      <c r="R44" s="1293" t="s">
        <v>1504</v>
      </c>
      <c r="S44" s="1294">
        <f t="shared" si="10"/>
        <v>100</v>
      </c>
      <c r="T44" s="1293" t="s">
        <v>1504</v>
      </c>
      <c r="U44" s="1294">
        <f t="shared" si="11"/>
        <v>100</v>
      </c>
      <c r="V44" s="1293" t="s">
        <v>1504</v>
      </c>
      <c r="W44" s="1294">
        <f t="shared" si="12"/>
        <v>100</v>
      </c>
      <c r="X44" s="1287"/>
      <c r="Y44" s="3692"/>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2"/>
      <c r="Q45" s="672">
        <f t="shared" si="14"/>
        <v>111</v>
      </c>
      <c r="R45" s="1295" t="s">
        <v>1504</v>
      </c>
      <c r="S45" s="1296">
        <f t="shared" si="10"/>
        <v>100</v>
      </c>
      <c r="T45" s="1295" t="s">
        <v>1504</v>
      </c>
      <c r="U45" s="1296">
        <f t="shared" si="11"/>
        <v>100</v>
      </c>
      <c r="V45" s="1295" t="s">
        <v>1504</v>
      </c>
      <c r="W45" s="1296">
        <f t="shared" si="12"/>
        <v>100</v>
      </c>
      <c r="X45" s="1297"/>
      <c r="Y45" s="3692"/>
      <c r="Z45" s="1305">
        <f t="shared" si="13"/>
        <v>111</v>
      </c>
      <c r="AA45" s="1304">
        <f t="shared" si="3"/>
        <v>1</v>
      </c>
      <c r="AB45" s="1304">
        <f t="shared" si="4"/>
        <v>1</v>
      </c>
      <c r="AC45" s="1304">
        <f t="shared" si="5"/>
        <v>1</v>
      </c>
    </row>
    <row r="46" spans="1:29" ht="15">
      <c r="A46" s="1176" t="s">
        <v>1625</v>
      </c>
      <c r="B46" s="1177" t="s">
        <v>1644</v>
      </c>
      <c r="C46" s="1178" t="s">
        <v>124</v>
      </c>
      <c r="D46" s="1179"/>
      <c r="E46" s="1180"/>
      <c r="F46" s="1181"/>
      <c r="G46" s="1182"/>
      <c r="H46" s="1183"/>
      <c r="I46" s="1180"/>
      <c r="J46" s="1183"/>
      <c r="K46" s="1268"/>
      <c r="L46" s="1269"/>
      <c r="M46" s="1193"/>
      <c r="N46" s="1245"/>
      <c r="O46" s="1193"/>
      <c r="P46" s="3679" t="str">
        <f>A46</f>
        <v>成交单价</v>
      </c>
      <c r="Q46" s="3679"/>
      <c r="R46" s="3709">
        <f>E46</f>
        <v>0</v>
      </c>
      <c r="S46" s="3709"/>
      <c r="T46" s="3709">
        <f>G46</f>
        <v>0</v>
      </c>
      <c r="U46" s="3709"/>
      <c r="V46" s="3709">
        <f>I46</f>
        <v>0</v>
      </c>
      <c r="W46" s="3709"/>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79" t="str">
        <f>A47</f>
        <v>比较价值（元/平方米）</v>
      </c>
      <c r="Q47" s="3679"/>
      <c r="R47" s="3727" t="e">
        <f>ROUND(PRODUCT(R46,AA7:AA45),0)</f>
        <v>#DIV/0!</v>
      </c>
      <c r="S47" s="3727"/>
      <c r="T47" s="3727" t="e">
        <f>ROUND(PRODUCT(T46,AB7:AB45),0)</f>
        <v>#DIV/0!</v>
      </c>
      <c r="U47" s="3727"/>
      <c r="V47" s="3727" t="e">
        <f>ROUND(PRODUCT(V46,AC7:AC45),0)</f>
        <v>#DIV/0!</v>
      </c>
      <c r="W47" s="3727"/>
      <c r="X47" s="1233"/>
      <c r="Y47" s="1233"/>
      <c r="Z47" s="1233"/>
      <c r="AA47" s="1233"/>
      <c r="AB47" s="1233"/>
      <c r="AC47" s="1233"/>
    </row>
    <row r="48" spans="1:29" ht="15">
      <c r="A48" s="1190" t="s">
        <v>1645</v>
      </c>
      <c r="B48" s="1191"/>
      <c r="C48" s="1192" t="e">
        <f>R48</f>
        <v>#DIV/0!</v>
      </c>
      <c r="D48" s="1192"/>
      <c r="E48" s="1192"/>
      <c r="F48" s="1192"/>
      <c r="G48" s="1192"/>
      <c r="H48" s="1192"/>
      <c r="I48" s="1192"/>
      <c r="J48" s="1192"/>
      <c r="K48" s="1271"/>
      <c r="L48" s="1269"/>
      <c r="M48" s="1193"/>
      <c r="N48" s="1193"/>
      <c r="O48" s="1193"/>
      <c r="P48" s="3681" t="str">
        <f>A48</f>
        <v>估价对象XX用房的比较价值（楼面单价，元/平方米）</v>
      </c>
      <c r="Q48" s="3682"/>
      <c r="R48" s="3728" t="e">
        <f>ROUND(IF(D47="简单平均",AVERAGE(R47:W47),R47*F47+T47*H47+V47*J47),0)</f>
        <v>#DIV/0!</v>
      </c>
      <c r="S48" s="3728"/>
      <c r="T48" s="3728"/>
      <c r="U48" s="3728"/>
      <c r="V48" s="3728"/>
      <c r="W48" s="3728"/>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1646</v>
      </c>
      <c r="B55" s="1203" t="s">
        <v>1647</v>
      </c>
      <c r="C55" s="1204" t="s">
        <v>1648</v>
      </c>
      <c r="D55" s="1205" t="s">
        <v>1649</v>
      </c>
      <c r="E55" s="1206" t="s">
        <v>1650</v>
      </c>
      <c r="F55" s="1436" t="s">
        <v>1651</v>
      </c>
      <c r="G55" s="3664" t="s">
        <v>1652</v>
      </c>
      <c r="H55" s="3729"/>
      <c r="I55" s="1440" t="s">
        <v>1653</v>
      </c>
      <c r="J55" s="1441">
        <f>项目基本情况!F35</f>
        <v>0</v>
      </c>
      <c r="K55" s="1278" t="s">
        <v>1654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1655</v>
      </c>
      <c r="B56" s="1209" t="e">
        <f>C48</f>
        <v>#DIV/0!</v>
      </c>
      <c r="C56" s="1210">
        <v>1</v>
      </c>
      <c r="D56" s="1211">
        <v>1</v>
      </c>
      <c r="E56" s="1210">
        <f>'数据-汇总表'!E8+'数据-汇总表'!E9</f>
        <v>88740.02</v>
      </c>
      <c r="F56" s="1437" t="e">
        <f t="shared" ref="F56:F64" si="15">ROUND(B56*E56/10000,0)</f>
        <v>#DIV/0!</v>
      </c>
      <c r="G56" s="3684"/>
      <c r="H56" s="3679"/>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1656</v>
      </c>
      <c r="B57" s="395" t="e">
        <f>ROUND($C$48*C57*D57,0)</f>
        <v>#DIV/0!</v>
      </c>
      <c r="C57" s="590">
        <f t="shared" ref="C57:C64" si="16">IF($C$55="北京市系数",I57,J57)</f>
        <v>0</v>
      </c>
      <c r="D57" s="1214">
        <v>0.25</v>
      </c>
      <c r="E57" s="1215"/>
      <c r="F57" s="1437" t="e">
        <f t="shared" si="15"/>
        <v>#DIV/0!</v>
      </c>
      <c r="G57" s="1216" t="s">
        <v>1657</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1658</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1659</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1660</v>
      </c>
      <c r="B60" s="395" t="e">
        <f t="shared" si="17"/>
        <v>#DIV/0!</v>
      </c>
      <c r="C60" s="590">
        <f t="shared" si="16"/>
        <v>0</v>
      </c>
      <c r="D60" s="1214">
        <v>0.25</v>
      </c>
      <c r="E60" s="394">
        <f>'数据-汇总表'!E11</f>
        <v>0</v>
      </c>
      <c r="F60" s="1437" t="e">
        <f t="shared" si="15"/>
        <v>#DIV/0!</v>
      </c>
      <c r="G60" s="1220" t="s">
        <v>1661</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1662</v>
      </c>
      <c r="B61" s="395" t="e">
        <f t="shared" si="17"/>
        <v>#DIV/0!</v>
      </c>
      <c r="C61" s="590">
        <f t="shared" si="16"/>
        <v>0</v>
      </c>
      <c r="D61" s="1214">
        <v>0.25</v>
      </c>
      <c r="E61" s="394">
        <f>'数据-汇总表'!E12</f>
        <v>0</v>
      </c>
      <c r="F61" s="1437" t="e">
        <f t="shared" si="15"/>
        <v>#DIV/0!</v>
      </c>
      <c r="G61" s="1221" t="s">
        <v>1663</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1664</v>
      </c>
      <c r="B62" s="395" t="e">
        <f t="shared" si="17"/>
        <v>#DIV/0!</v>
      </c>
      <c r="C62" s="590">
        <f t="shared" si="16"/>
        <v>0</v>
      </c>
      <c r="D62" s="1214">
        <v>0.25</v>
      </c>
      <c r="E62" s="394">
        <f>'数据-汇总表'!E13</f>
        <v>0</v>
      </c>
      <c r="F62" s="1437" t="e">
        <f t="shared" si="15"/>
        <v>#DIV/0!</v>
      </c>
      <c r="G62" s="1221" t="s">
        <v>1665</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1666</v>
      </c>
      <c r="B63" s="395" t="e">
        <f t="shared" si="17"/>
        <v>#DIV/0!</v>
      </c>
      <c r="C63" s="590">
        <f t="shared" si="16"/>
        <v>0</v>
      </c>
      <c r="D63" s="1214">
        <v>0.25</v>
      </c>
      <c r="E63" s="394">
        <f>'数据-汇总表'!E14</f>
        <v>0</v>
      </c>
      <c r="F63" s="1437" t="e">
        <f t="shared" si="15"/>
        <v>#DIV/0!</v>
      </c>
      <c r="G63" s="1220" t="s">
        <v>1657</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1667</v>
      </c>
      <c r="B64" s="395" t="e">
        <f t="shared" si="17"/>
        <v>#DIV/0!</v>
      </c>
      <c r="C64" s="590">
        <f t="shared" si="16"/>
        <v>0</v>
      </c>
      <c r="D64" s="1214">
        <v>0.25</v>
      </c>
      <c r="E64" s="394">
        <f>'数据-汇总表'!E15</f>
        <v>18997.900000000001</v>
      </c>
      <c r="F64" s="1437" t="e">
        <f t="shared" si="15"/>
        <v>#DIV/0!</v>
      </c>
      <c r="G64" s="1222" t="s">
        <v>1661</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1668</v>
      </c>
      <c r="B65" s="1225" t="s">
        <v>1669</v>
      </c>
      <c r="C65" s="1225" t="s">
        <v>1669</v>
      </c>
      <c r="D65" s="1225" t="s">
        <v>1669</v>
      </c>
      <c r="E65" s="1225">
        <f>IF(B46="楼面地价",SUM(E56:E64),'数据-汇总表'!D3)</f>
        <v>107737.92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2023-4-1</v>
      </c>
      <c r="D67" s="1231">
        <f>EDATE(C67,-3)</f>
        <v>44927</v>
      </c>
      <c r="E67" s="1231">
        <f>EDATE(D67,-3)</f>
        <v>44835</v>
      </c>
      <c r="F67" s="1231">
        <f t="shared" ref="F67:O67" si="18">EDATE(E67,-3)</f>
        <v>44743</v>
      </c>
      <c r="G67" s="1231">
        <f t="shared" si="18"/>
        <v>44652</v>
      </c>
      <c r="H67" s="1231">
        <f t="shared" si="18"/>
        <v>44562</v>
      </c>
      <c r="I67" s="1231">
        <f t="shared" si="18"/>
        <v>44470</v>
      </c>
      <c r="J67" s="1231">
        <f t="shared" si="18"/>
        <v>44378</v>
      </c>
      <c r="K67" s="1231">
        <f t="shared" si="18"/>
        <v>44287</v>
      </c>
      <c r="L67" s="1231">
        <f t="shared" si="18"/>
        <v>44197</v>
      </c>
      <c r="M67" s="1231">
        <f t="shared" si="18"/>
        <v>44105</v>
      </c>
      <c r="N67" s="1231">
        <f t="shared" si="18"/>
        <v>44013</v>
      </c>
      <c r="O67" s="1231">
        <f t="shared" si="18"/>
        <v>43922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1670</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1671</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1636</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1637</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1672</v>
      </c>
      <c r="D103" s="1329" t="s">
        <v>1673</v>
      </c>
      <c r="E103" s="1329" t="s">
        <v>1674</v>
      </c>
      <c r="F103" s="1329" t="s">
        <v>1675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1638</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1640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1642</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1633</v>
      </c>
      <c r="B1" s="1087"/>
      <c r="C1" s="1088" t="s">
        <v>1612</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64" t="s">
        <v>1490</v>
      </c>
      <c r="D4" s="3665"/>
      <c r="E4" s="3666" t="s">
        <v>1491</v>
      </c>
      <c r="F4" s="3667"/>
      <c r="G4" s="3664" t="s">
        <v>1492</v>
      </c>
      <c r="H4" s="3665"/>
      <c r="I4" s="3664" t="s">
        <v>1493</v>
      </c>
      <c r="J4" s="3665"/>
      <c r="K4" s="1243" t="s">
        <v>1494</v>
      </c>
      <c r="L4" s="1244"/>
      <c r="M4" s="1245"/>
      <c r="N4" s="1245"/>
      <c r="O4" s="1245"/>
      <c r="P4" s="3697" t="s">
        <v>1495</v>
      </c>
      <c r="Q4" s="3698"/>
      <c r="R4" s="3703" t="s">
        <v>1491</v>
      </c>
      <c r="S4" s="3704"/>
      <c r="T4" s="3703" t="s">
        <v>1492</v>
      </c>
      <c r="U4" s="3704"/>
      <c r="V4" s="3709" t="s">
        <v>1493</v>
      </c>
      <c r="W4" s="3709"/>
      <c r="X4" s="1287"/>
      <c r="Y4" s="3703" t="s">
        <v>1495</v>
      </c>
      <c r="Z4" s="3704"/>
      <c r="AA4" s="3694" t="s">
        <v>1491</v>
      </c>
      <c r="AB4" s="3695" t="s">
        <v>1492</v>
      </c>
      <c r="AC4" s="3694" t="s">
        <v>1493</v>
      </c>
    </row>
    <row r="5" spans="1:29" ht="15">
      <c r="A5" s="1098"/>
      <c r="B5" s="1099"/>
      <c r="C5" s="3668" t="s">
        <v>1496</v>
      </c>
      <c r="D5" s="3669"/>
      <c r="E5" s="3670" t="s">
        <v>1497</v>
      </c>
      <c r="F5" s="3671"/>
      <c r="G5" s="3668" t="s">
        <v>1498</v>
      </c>
      <c r="H5" s="3669"/>
      <c r="I5" s="3668" t="s">
        <v>1499</v>
      </c>
      <c r="J5" s="3669"/>
      <c r="K5" s="1243"/>
      <c r="L5" s="1244"/>
      <c r="M5" s="1245"/>
      <c r="N5" s="1245"/>
      <c r="O5" s="1245"/>
      <c r="P5" s="3699"/>
      <c r="Q5" s="3700"/>
      <c r="R5" s="3705"/>
      <c r="S5" s="3706"/>
      <c r="T5" s="3705"/>
      <c r="U5" s="3706"/>
      <c r="V5" s="3709"/>
      <c r="W5" s="3709"/>
      <c r="X5" s="1287"/>
      <c r="Y5" s="3705"/>
      <c r="Z5" s="3706"/>
      <c r="AA5" s="3695"/>
      <c r="AB5" s="3695"/>
      <c r="AC5" s="3695"/>
    </row>
    <row r="6" spans="1:29" ht="15">
      <c r="A6" s="1100"/>
      <c r="B6" s="1101"/>
      <c r="C6" s="3730" t="s">
        <v>1676</v>
      </c>
      <c r="D6" s="3731"/>
      <c r="E6" s="3732" t="s">
        <v>1676</v>
      </c>
      <c r="F6" s="3733"/>
      <c r="G6" s="3730" t="s">
        <v>1676</v>
      </c>
      <c r="H6" s="3731"/>
      <c r="I6" s="3730" t="s">
        <v>1676</v>
      </c>
      <c r="J6" s="3731"/>
      <c r="K6" s="1243" t="s">
        <v>1501</v>
      </c>
      <c r="L6" s="1244"/>
      <c r="M6" s="1245"/>
      <c r="N6" s="1245"/>
      <c r="O6" s="1245"/>
      <c r="P6" s="3701"/>
      <c r="Q6" s="3702"/>
      <c r="R6" s="3705"/>
      <c r="S6" s="3706"/>
      <c r="T6" s="3707"/>
      <c r="U6" s="3708"/>
      <c r="V6" s="3709"/>
      <c r="W6" s="3709"/>
      <c r="X6" s="1287"/>
      <c r="Y6" s="3707"/>
      <c r="Z6" s="3708"/>
      <c r="AA6" s="3696"/>
      <c r="AB6" s="3696"/>
      <c r="AC6" s="3696"/>
    </row>
    <row r="7" spans="1:29" s="1077" customFormat="1" ht="15">
      <c r="A7" s="1102" t="s">
        <v>1502</v>
      </c>
      <c r="B7" s="1103"/>
      <c r="C7" s="1104">
        <f>'数据-取费表'!B2</f>
        <v>45026</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76" t="s">
        <v>1503</v>
      </c>
      <c r="Q7" s="3677"/>
      <c r="R7" s="1288" t="s">
        <v>1504</v>
      </c>
      <c r="S7" s="1289">
        <f t="shared" ref="S7:S15" si="0">F7</f>
        <v>0</v>
      </c>
      <c r="T7" s="1288" t="s">
        <v>1504</v>
      </c>
      <c r="U7" s="1289">
        <f t="shared" ref="U7:U15" si="1">H7</f>
        <v>0</v>
      </c>
      <c r="V7" s="1288" t="s">
        <v>1504</v>
      </c>
      <c r="W7" s="1289">
        <f t="shared" ref="W7:W15" si="2">J7</f>
        <v>0</v>
      </c>
      <c r="X7" s="1290"/>
      <c r="Y7" s="3676" t="s">
        <v>1503</v>
      </c>
      <c r="Z7" s="3678"/>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76" t="s">
        <v>1506</v>
      </c>
      <c r="Q8" s="3678"/>
      <c r="R8" s="1288" t="s">
        <v>1504</v>
      </c>
      <c r="S8" s="1289">
        <f t="shared" si="0"/>
        <v>0</v>
      </c>
      <c r="T8" s="1288" t="s">
        <v>1504</v>
      </c>
      <c r="U8" s="1289">
        <f t="shared" si="1"/>
        <v>0</v>
      </c>
      <c r="V8" s="1288" t="s">
        <v>1504</v>
      </c>
      <c r="W8" s="1289">
        <f t="shared" si="2"/>
        <v>0</v>
      </c>
      <c r="X8" s="1290"/>
      <c r="Y8" s="3676" t="s">
        <v>1506</v>
      </c>
      <c r="Z8" s="3678"/>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79" t="s">
        <v>1509</v>
      </c>
      <c r="Q9" s="1292" t="str">
        <f t="shared" ref="Q9:Q15" si="6">B9</f>
        <v>用途</v>
      </c>
      <c r="R9" s="1288" t="s">
        <v>1504</v>
      </c>
      <c r="S9" s="1289">
        <f t="shared" si="0"/>
        <v>100</v>
      </c>
      <c r="T9" s="1288" t="s">
        <v>1504</v>
      </c>
      <c r="U9" s="1289">
        <f t="shared" si="1"/>
        <v>100</v>
      </c>
      <c r="V9" s="1288" t="s">
        <v>1504</v>
      </c>
      <c r="W9" s="1289">
        <f t="shared" si="2"/>
        <v>100</v>
      </c>
      <c r="X9" s="1290"/>
      <c r="Y9" s="3616"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109</v>
      </c>
      <c r="G10" s="1116"/>
      <c r="H10" s="1117">
        <f>ROUND(100/'数据-取费表'!G16,0)</f>
        <v>109</v>
      </c>
      <c r="I10" s="1116"/>
      <c r="J10" s="1117">
        <f>ROUND(100/'数据-取费表'!G16,0)</f>
        <v>109</v>
      </c>
      <c r="K10" s="1250"/>
      <c r="L10" s="1251"/>
      <c r="M10" s="1252"/>
      <c r="N10" s="1252"/>
      <c r="O10" s="1253"/>
      <c r="P10" s="3679"/>
      <c r="Q10" s="1292" t="str">
        <f t="shared" si="6"/>
        <v>土地使用年限（年）</v>
      </c>
      <c r="R10" s="1288" t="s">
        <v>1504</v>
      </c>
      <c r="S10" s="1289">
        <f t="shared" si="0"/>
        <v>109</v>
      </c>
      <c r="T10" s="1288" t="s">
        <v>1504</v>
      </c>
      <c r="U10" s="1289">
        <f t="shared" si="1"/>
        <v>109</v>
      </c>
      <c r="V10" s="1288" t="s">
        <v>1504</v>
      </c>
      <c r="W10" s="1289">
        <f t="shared" si="2"/>
        <v>109</v>
      </c>
      <c r="X10" s="1290"/>
      <c r="Y10" s="3616"/>
      <c r="Z10" s="1303" t="str">
        <f t="shared" si="7"/>
        <v>土地使用年限（年）</v>
      </c>
      <c r="AA10" s="1302">
        <f t="shared" si="3"/>
        <v>0.91743119266055095</v>
      </c>
      <c r="AB10" s="1302">
        <f t="shared" si="4"/>
        <v>0.91743119266055095</v>
      </c>
      <c r="AC10" s="1302">
        <f t="shared" si="5"/>
        <v>0.91743119266055095</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79"/>
      <c r="Q11" s="1292" t="str">
        <f t="shared" si="6"/>
        <v>容积率</v>
      </c>
      <c r="R11" s="1288" t="s">
        <v>1504</v>
      </c>
      <c r="S11" s="1289" t="e">
        <f t="shared" si="0"/>
        <v>#N/A</v>
      </c>
      <c r="T11" s="1288" t="s">
        <v>1504</v>
      </c>
      <c r="U11" s="1289" t="e">
        <f t="shared" si="1"/>
        <v>#N/A</v>
      </c>
      <c r="V11" s="1288" t="s">
        <v>1504</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79"/>
      <c r="Q12" s="1292">
        <f t="shared" si="6"/>
        <v>111</v>
      </c>
      <c r="R12" s="1288" t="s">
        <v>1504</v>
      </c>
      <c r="S12" s="1289">
        <f t="shared" si="0"/>
        <v>100</v>
      </c>
      <c r="T12" s="1288" t="s">
        <v>1504</v>
      </c>
      <c r="U12" s="1289">
        <f t="shared" si="1"/>
        <v>100</v>
      </c>
      <c r="V12" s="1288" t="s">
        <v>1504</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79"/>
      <c r="Q13" s="1292">
        <f t="shared" si="6"/>
        <v>111</v>
      </c>
      <c r="R13" s="1288" t="s">
        <v>1504</v>
      </c>
      <c r="S13" s="1289">
        <f t="shared" si="0"/>
        <v>100</v>
      </c>
      <c r="T13" s="1288" t="s">
        <v>1504</v>
      </c>
      <c r="U13" s="1289">
        <f t="shared" si="1"/>
        <v>100</v>
      </c>
      <c r="V13" s="1288" t="s">
        <v>1504</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79"/>
      <c r="Q14" s="1292">
        <f t="shared" si="6"/>
        <v>111</v>
      </c>
      <c r="R14" s="1288" t="s">
        <v>1504</v>
      </c>
      <c r="S14" s="1289">
        <f t="shared" si="0"/>
        <v>100</v>
      </c>
      <c r="T14" s="1288" t="s">
        <v>1504</v>
      </c>
      <c r="U14" s="1289">
        <f t="shared" si="1"/>
        <v>100</v>
      </c>
      <c r="V14" s="1288" t="s">
        <v>1504</v>
      </c>
      <c r="W14" s="1289">
        <f t="shared" si="2"/>
        <v>100</v>
      </c>
      <c r="X14" s="1290"/>
      <c r="Y14" s="3616"/>
      <c r="Z14" s="1303">
        <f t="shared" si="7"/>
        <v>111</v>
      </c>
      <c r="AA14" s="1302">
        <f t="shared" si="3"/>
        <v>1</v>
      </c>
      <c r="AB14" s="1302">
        <f t="shared" si="4"/>
        <v>1</v>
      </c>
      <c r="AC14" s="1302">
        <f t="shared" si="5"/>
        <v>1</v>
      </c>
    </row>
    <row r="15" spans="1:29" ht="57">
      <c r="A15" s="1132" t="s">
        <v>1513</v>
      </c>
      <c r="B15" s="1133" t="s">
        <v>1613</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0" t="s">
        <v>1515</v>
      </c>
      <c r="Q15" s="672" t="str">
        <f t="shared" si="6"/>
        <v>产业集聚程度</v>
      </c>
      <c r="R15" s="1293" t="s">
        <v>1504</v>
      </c>
      <c r="S15" s="1294">
        <f t="shared" si="0"/>
        <v>100</v>
      </c>
      <c r="T15" s="1293" t="s">
        <v>1504</v>
      </c>
      <c r="U15" s="1294">
        <f t="shared" si="1"/>
        <v>100</v>
      </c>
      <c r="V15" s="1293" t="s">
        <v>1504</v>
      </c>
      <c r="W15" s="1294">
        <f t="shared" si="2"/>
        <v>100</v>
      </c>
      <c r="X15" s="1287"/>
      <c r="Y15" s="3690"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1"/>
      <c r="Q16" s="672"/>
      <c r="R16" s="1293"/>
      <c r="S16" s="1294"/>
      <c r="T16" s="1293"/>
      <c r="U16" s="1294"/>
      <c r="V16" s="1293"/>
      <c r="W16" s="1294"/>
      <c r="X16" s="1287"/>
      <c r="Y16" s="3691"/>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1"/>
      <c r="Q17" s="672" t="str">
        <f>B17</f>
        <v>交通便捷度</v>
      </c>
      <c r="R17" s="1293" t="s">
        <v>1504</v>
      </c>
      <c r="S17" s="1294">
        <f>F17</f>
        <v>100</v>
      </c>
      <c r="T17" s="1293" t="s">
        <v>1504</v>
      </c>
      <c r="U17" s="1294">
        <f>H17</f>
        <v>100</v>
      </c>
      <c r="V17" s="1293" t="s">
        <v>1504</v>
      </c>
      <c r="W17" s="1294">
        <f>J17</f>
        <v>100</v>
      </c>
      <c r="X17" s="1287"/>
      <c r="Y17" s="3691"/>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1"/>
      <c r="Q18" s="672"/>
      <c r="R18" s="1293"/>
      <c r="S18" s="1294"/>
      <c r="T18" s="1293"/>
      <c r="U18" s="1294"/>
      <c r="V18" s="1293"/>
      <c r="W18" s="1294"/>
      <c r="X18" s="1287"/>
      <c r="Y18" s="3691"/>
      <c r="Z18" s="1277"/>
      <c r="AA18" s="1304">
        <v>1</v>
      </c>
      <c r="AB18" s="1304">
        <v>1</v>
      </c>
      <c r="AC18" s="1304">
        <v>1</v>
      </c>
    </row>
    <row r="19" spans="1:29" ht="15">
      <c r="A19" s="1118"/>
      <c r="B19" s="1142" t="s">
        <v>1636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1"/>
      <c r="Q19" s="672" t="str">
        <f t="shared" ref="Q19:Q34" si="8">B19</f>
        <v>区域土地利用方向</v>
      </c>
      <c r="R19" s="1293" t="s">
        <v>1504</v>
      </c>
      <c r="S19" s="1294">
        <f>F19</f>
        <v>100</v>
      </c>
      <c r="T19" s="1293" t="s">
        <v>1504</v>
      </c>
      <c r="U19" s="1294">
        <f>H19</f>
        <v>100</v>
      </c>
      <c r="V19" s="1293" t="s">
        <v>1504</v>
      </c>
      <c r="W19" s="1294">
        <f>J19</f>
        <v>100</v>
      </c>
      <c r="X19" s="1287"/>
      <c r="Y19" s="3691"/>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1"/>
      <c r="Q20" s="672"/>
      <c r="R20" s="1293"/>
      <c r="S20" s="1294"/>
      <c r="T20" s="1293"/>
      <c r="U20" s="1294"/>
      <c r="V20" s="1293"/>
      <c r="W20" s="1294"/>
      <c r="X20" s="1287"/>
      <c r="Y20" s="3691"/>
      <c r="Z20" s="1277"/>
      <c r="AA20" s="1304"/>
      <c r="AB20" s="1304"/>
      <c r="AC20" s="1304"/>
    </row>
    <row r="21" spans="1:29" ht="71.25">
      <c r="A21" s="1098"/>
      <c r="B21" s="1142" t="s">
        <v>1677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1"/>
      <c r="Q21" s="672" t="str">
        <f t="shared" si="8"/>
        <v>环境状况</v>
      </c>
      <c r="R21" s="1293" t="s">
        <v>1504</v>
      </c>
      <c r="S21" s="1294">
        <f>F21</f>
        <v>100</v>
      </c>
      <c r="T21" s="1293" t="s">
        <v>1504</v>
      </c>
      <c r="U21" s="1294">
        <f>H21</f>
        <v>100</v>
      </c>
      <c r="V21" s="1293" t="s">
        <v>1504</v>
      </c>
      <c r="W21" s="1294">
        <f>J21</f>
        <v>100</v>
      </c>
      <c r="X21" s="1287"/>
      <c r="Y21" s="3691"/>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1"/>
      <c r="Q22" s="672"/>
      <c r="R22" s="1293"/>
      <c r="S22" s="1294"/>
      <c r="T22" s="1293"/>
      <c r="U22" s="1294"/>
      <c r="V22" s="1293"/>
      <c r="W22" s="1294"/>
      <c r="X22" s="1287"/>
      <c r="Y22" s="3691"/>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1"/>
      <c r="Q23" s="1292" t="str">
        <f t="shared" si="8"/>
        <v>公共配套设施</v>
      </c>
      <c r="R23" s="1288" t="s">
        <v>1504</v>
      </c>
      <c r="S23" s="1289">
        <f>F23</f>
        <v>100</v>
      </c>
      <c r="T23" s="1288" t="s">
        <v>1504</v>
      </c>
      <c r="U23" s="1289">
        <f>H23</f>
        <v>100</v>
      </c>
      <c r="V23" s="1288" t="s">
        <v>1504</v>
      </c>
      <c r="W23" s="1289">
        <f>J23</f>
        <v>100</v>
      </c>
      <c r="X23" s="1290"/>
      <c r="Y23" s="3691"/>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1"/>
      <c r="Q24" s="1292"/>
      <c r="R24" s="1288"/>
      <c r="S24" s="1289"/>
      <c r="T24" s="1288"/>
      <c r="U24" s="1289"/>
      <c r="V24" s="1288"/>
      <c r="W24" s="1289"/>
      <c r="X24" s="1290"/>
      <c r="Y24" s="3691"/>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1"/>
      <c r="Q25" s="1292" t="str">
        <f t="shared" ref="Q25" si="9">B25</f>
        <v>基础设施水平</v>
      </c>
      <c r="R25" s="1288" t="s">
        <v>1504</v>
      </c>
      <c r="S25" s="1289">
        <f>F25</f>
        <v>100</v>
      </c>
      <c r="T25" s="1288" t="s">
        <v>1504</v>
      </c>
      <c r="U25" s="1289">
        <f>H25</f>
        <v>100</v>
      </c>
      <c r="V25" s="1288" t="s">
        <v>1504</v>
      </c>
      <c r="W25" s="1289">
        <f>J25</f>
        <v>100</v>
      </c>
      <c r="X25" s="1290"/>
      <c r="Y25" s="3691"/>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1"/>
      <c r="Q26" s="1292"/>
      <c r="R26" s="1288"/>
      <c r="S26" s="1289"/>
      <c r="T26" s="1288"/>
      <c r="U26" s="1289"/>
      <c r="V26" s="1288"/>
      <c r="W26" s="1289"/>
      <c r="X26" s="1290"/>
      <c r="Y26" s="3691"/>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1"/>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91"/>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1"/>
      <c r="Q28" s="672" t="str">
        <f t="shared" si="8"/>
        <v>毗邻道路的类型与等级</v>
      </c>
      <c r="R28" s="1293" t="s">
        <v>1504</v>
      </c>
      <c r="S28" s="1294">
        <f t="shared" si="10"/>
        <v>100</v>
      </c>
      <c r="T28" s="1293" t="s">
        <v>1504</v>
      </c>
      <c r="U28" s="1294">
        <f t="shared" si="11"/>
        <v>100</v>
      </c>
      <c r="V28" s="1293" t="s">
        <v>1504</v>
      </c>
      <c r="W28" s="1294">
        <f t="shared" si="12"/>
        <v>100</v>
      </c>
      <c r="X28" s="1287"/>
      <c r="Y28" s="3691"/>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1"/>
      <c r="Q29" s="672"/>
      <c r="R29" s="1293"/>
      <c r="S29" s="1294"/>
      <c r="T29" s="1293"/>
      <c r="U29" s="1294"/>
      <c r="V29" s="1293"/>
      <c r="W29" s="1294"/>
      <c r="X29" s="1287"/>
      <c r="Y29" s="3691"/>
      <c r="Z29" s="1277"/>
      <c r="AA29" s="1304">
        <v>1</v>
      </c>
      <c r="AB29" s="1304">
        <v>1</v>
      </c>
      <c r="AC29" s="1304">
        <v>1</v>
      </c>
    </row>
    <row r="30" spans="1:29" ht="15">
      <c r="A30" s="1118"/>
      <c r="B30" s="1155" t="s">
        <v>1638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1"/>
      <c r="Q30" s="672" t="str">
        <f t="shared" si="8"/>
        <v>土地级别</v>
      </c>
      <c r="R30" s="1293" t="s">
        <v>1504</v>
      </c>
      <c r="S30" s="1294">
        <f t="shared" si="10"/>
        <v>100</v>
      </c>
      <c r="T30" s="1293" t="s">
        <v>1504</v>
      </c>
      <c r="U30" s="1294">
        <f t="shared" si="11"/>
        <v>100</v>
      </c>
      <c r="V30" s="1293" t="s">
        <v>1504</v>
      </c>
      <c r="W30" s="1294">
        <f t="shared" si="12"/>
        <v>100</v>
      </c>
      <c r="X30" s="1287"/>
      <c r="Y30" s="3691"/>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1"/>
      <c r="Q31" s="672">
        <f t="shared" si="8"/>
        <v>111</v>
      </c>
      <c r="R31" s="1293" t="s">
        <v>1504</v>
      </c>
      <c r="S31" s="1294">
        <f t="shared" si="10"/>
        <v>100</v>
      </c>
      <c r="T31" s="1293" t="s">
        <v>1504</v>
      </c>
      <c r="U31" s="1294">
        <f t="shared" si="11"/>
        <v>100</v>
      </c>
      <c r="V31" s="1293" t="s">
        <v>1504</v>
      </c>
      <c r="W31" s="1294">
        <f t="shared" si="12"/>
        <v>100</v>
      </c>
      <c r="X31" s="1287"/>
      <c r="Y31" s="3691"/>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5" t="s">
        <v>1524</v>
      </c>
      <c r="Q32" s="672">
        <f t="shared" si="8"/>
        <v>111</v>
      </c>
      <c r="R32" s="1293" t="s">
        <v>1504</v>
      </c>
      <c r="S32" s="1294">
        <f t="shared" si="10"/>
        <v>100</v>
      </c>
      <c r="T32" s="1293" t="s">
        <v>1504</v>
      </c>
      <c r="U32" s="1294">
        <f t="shared" si="11"/>
        <v>100</v>
      </c>
      <c r="V32" s="1293" t="s">
        <v>1504</v>
      </c>
      <c r="W32" s="1294">
        <f t="shared" si="12"/>
        <v>100</v>
      </c>
      <c r="X32" s="1287"/>
      <c r="Y32" s="3692"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2"/>
      <c r="Q33" s="672">
        <f t="shared" si="8"/>
        <v>111</v>
      </c>
      <c r="R33" s="1295" t="s">
        <v>1504</v>
      </c>
      <c r="S33" s="1296">
        <f t="shared" si="10"/>
        <v>100</v>
      </c>
      <c r="T33" s="1295" t="s">
        <v>1504</v>
      </c>
      <c r="U33" s="1296">
        <f t="shared" si="11"/>
        <v>100</v>
      </c>
      <c r="V33" s="1295" t="s">
        <v>1504</v>
      </c>
      <c r="W33" s="1296">
        <f t="shared" si="12"/>
        <v>100</v>
      </c>
      <c r="X33" s="1297"/>
      <c r="Y33" s="3692"/>
      <c r="Z33" s="1305">
        <f t="shared" si="13"/>
        <v>111</v>
      </c>
      <c r="AA33" s="1304">
        <f t="shared" si="3"/>
        <v>1</v>
      </c>
      <c r="AB33" s="1304">
        <f t="shared" si="4"/>
        <v>1</v>
      </c>
      <c r="AC33" s="1304">
        <f t="shared" si="5"/>
        <v>1</v>
      </c>
    </row>
    <row r="34" spans="1:31" ht="15">
      <c r="A34" s="1132" t="s">
        <v>1522</v>
      </c>
      <c r="B34" s="1166" t="s">
        <v>1639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2"/>
      <c r="Q34" s="672" t="str">
        <f t="shared" si="8"/>
        <v>宗地面积</v>
      </c>
      <c r="R34" s="1293" t="s">
        <v>1504</v>
      </c>
      <c r="S34" s="1294" t="e">
        <f t="shared" si="10"/>
        <v>#N/A</v>
      </c>
      <c r="T34" s="1293" t="s">
        <v>1504</v>
      </c>
      <c r="U34" s="1294" t="e">
        <f t="shared" si="11"/>
        <v>#N/A</v>
      </c>
      <c r="V34" s="1293" t="s">
        <v>1504</v>
      </c>
      <c r="W34" s="1294" t="e">
        <f t="shared" si="12"/>
        <v>#N/A</v>
      </c>
      <c r="X34" s="1287"/>
      <c r="Y34" s="3692"/>
      <c r="Z34" s="1277" t="str">
        <f t="shared" si="13"/>
        <v>宗地面积</v>
      </c>
      <c r="AA34" s="1304" t="e">
        <f t="shared" si="3"/>
        <v>#N/A</v>
      </c>
      <c r="AB34" s="1304" t="e">
        <f t="shared" si="4"/>
        <v>#N/A</v>
      </c>
      <c r="AC34" s="1304" t="e">
        <f t="shared" si="5"/>
        <v>#N/A</v>
      </c>
    </row>
    <row r="35" spans="1:31" ht="15">
      <c r="A35" s="1169"/>
      <c r="B35" s="1115" t="s">
        <v>1640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2"/>
      <c r="Q35" s="672" t="str">
        <f t="shared" ref="Q35:Q40" si="14">B35</f>
        <v>宗地形状</v>
      </c>
      <c r="R35" s="1293" t="s">
        <v>1504</v>
      </c>
      <c r="S35" s="1294">
        <f t="shared" si="10"/>
        <v>100</v>
      </c>
      <c r="T35" s="1293" t="s">
        <v>1504</v>
      </c>
      <c r="U35" s="1294">
        <f t="shared" si="11"/>
        <v>100</v>
      </c>
      <c r="V35" s="1293" t="s">
        <v>1504</v>
      </c>
      <c r="W35" s="1294">
        <f t="shared" si="12"/>
        <v>100</v>
      </c>
      <c r="X35" s="1287"/>
      <c r="Y35" s="3692"/>
      <c r="Z35" s="1277" t="str">
        <f t="shared" si="13"/>
        <v>宗地形状</v>
      </c>
      <c r="AA35" s="1304">
        <f t="shared" si="3"/>
        <v>1</v>
      </c>
      <c r="AB35" s="1304">
        <f t="shared" si="4"/>
        <v>1</v>
      </c>
      <c r="AC35" s="1304">
        <f t="shared" si="5"/>
        <v>1</v>
      </c>
    </row>
    <row r="36" spans="1:31" s="1077" customFormat="1" ht="15">
      <c r="A36" s="1171"/>
      <c r="B36" s="1115" t="s">
        <v>1642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2"/>
      <c r="Q36" s="672" t="str">
        <f t="shared" si="14"/>
        <v>宗地开发程度</v>
      </c>
      <c r="R36" s="1288" t="s">
        <v>1504</v>
      </c>
      <c r="S36" s="1289">
        <f t="shared" si="10"/>
        <v>100</v>
      </c>
      <c r="T36" s="1288" t="s">
        <v>1504</v>
      </c>
      <c r="U36" s="1289">
        <f t="shared" si="11"/>
        <v>100</v>
      </c>
      <c r="V36" s="1288" t="s">
        <v>1504</v>
      </c>
      <c r="W36" s="1289">
        <f t="shared" si="12"/>
        <v>100</v>
      </c>
      <c r="X36" s="1290"/>
      <c r="Y36" s="3692"/>
      <c r="Z36" s="1303" t="str">
        <f t="shared" si="13"/>
        <v>宗地开发程度</v>
      </c>
      <c r="AA36" s="1302">
        <f t="shared" si="3"/>
        <v>1</v>
      </c>
      <c r="AB36" s="1302">
        <f t="shared" si="4"/>
        <v>1</v>
      </c>
      <c r="AC36" s="1302">
        <f t="shared" si="5"/>
        <v>1</v>
      </c>
    </row>
    <row r="37" spans="1:31" ht="15">
      <c r="A37" s="1169"/>
      <c r="B37" s="1115" t="s">
        <v>1643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2" t="s">
        <v>1524</v>
      </c>
      <c r="Q37" s="672" t="str">
        <f t="shared" si="14"/>
        <v>工程地质条件</v>
      </c>
      <c r="R37" s="1293" t="s">
        <v>1504</v>
      </c>
      <c r="S37" s="1294">
        <f t="shared" si="10"/>
        <v>100</v>
      </c>
      <c r="T37" s="1293" t="s">
        <v>1504</v>
      </c>
      <c r="U37" s="1294">
        <f t="shared" si="11"/>
        <v>100</v>
      </c>
      <c r="V37" s="1293" t="s">
        <v>1504</v>
      </c>
      <c r="W37" s="1294">
        <f t="shared" si="12"/>
        <v>100</v>
      </c>
      <c r="X37" s="1287"/>
      <c r="Y37" s="3692"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2"/>
      <c r="Q38" s="672">
        <f t="shared" si="14"/>
        <v>111</v>
      </c>
      <c r="R38" s="1293" t="s">
        <v>1504</v>
      </c>
      <c r="S38" s="1294">
        <f t="shared" si="10"/>
        <v>100</v>
      </c>
      <c r="T38" s="1293" t="s">
        <v>1504</v>
      </c>
      <c r="U38" s="1294">
        <f t="shared" si="11"/>
        <v>100</v>
      </c>
      <c r="V38" s="1293" t="s">
        <v>1504</v>
      </c>
      <c r="W38" s="1294">
        <f t="shared" si="12"/>
        <v>100</v>
      </c>
      <c r="X38" s="1287"/>
      <c r="Y38" s="3692"/>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2"/>
      <c r="Q39" s="672">
        <f t="shared" si="14"/>
        <v>111</v>
      </c>
      <c r="R39" s="1293" t="s">
        <v>1504</v>
      </c>
      <c r="S39" s="1294">
        <f t="shared" si="10"/>
        <v>100</v>
      </c>
      <c r="T39" s="1293" t="s">
        <v>1504</v>
      </c>
      <c r="U39" s="1294">
        <f t="shared" si="11"/>
        <v>100</v>
      </c>
      <c r="V39" s="1293" t="s">
        <v>1504</v>
      </c>
      <c r="W39" s="1294">
        <f t="shared" si="12"/>
        <v>100</v>
      </c>
      <c r="X39" s="1287"/>
      <c r="Y39" s="3692"/>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2"/>
      <c r="Q40" s="672">
        <f t="shared" si="14"/>
        <v>111</v>
      </c>
      <c r="R40" s="1295" t="s">
        <v>1504</v>
      </c>
      <c r="S40" s="1296">
        <f t="shared" si="10"/>
        <v>100</v>
      </c>
      <c r="T40" s="1295" t="s">
        <v>1504</v>
      </c>
      <c r="U40" s="1296">
        <f t="shared" si="11"/>
        <v>100</v>
      </c>
      <c r="V40" s="1295" t="s">
        <v>1504</v>
      </c>
      <c r="W40" s="1296">
        <f t="shared" si="12"/>
        <v>100</v>
      </c>
      <c r="X40" s="1297"/>
      <c r="Y40" s="3692"/>
      <c r="Z40" s="1305">
        <f t="shared" si="13"/>
        <v>111</v>
      </c>
      <c r="AA40" s="1304">
        <f t="shared" si="3"/>
        <v>1</v>
      </c>
      <c r="AB40" s="1304">
        <f t="shared" si="4"/>
        <v>1</v>
      </c>
      <c r="AC40" s="1304">
        <f t="shared" si="5"/>
        <v>1</v>
      </c>
    </row>
    <row r="41" spans="1:31" ht="15">
      <c r="A41" s="1176" t="s">
        <v>1625</v>
      </c>
      <c r="B41" s="1177" t="s">
        <v>1678</v>
      </c>
      <c r="C41" s="1178" t="s">
        <v>124</v>
      </c>
      <c r="D41" s="1179"/>
      <c r="E41" s="1180"/>
      <c r="F41" s="1181"/>
      <c r="G41" s="1182"/>
      <c r="H41" s="1183"/>
      <c r="I41" s="1180"/>
      <c r="J41" s="1183"/>
      <c r="K41" s="1268"/>
      <c r="L41" s="1269"/>
      <c r="M41" s="1245"/>
      <c r="N41" s="1245"/>
      <c r="O41" s="1193"/>
      <c r="P41" s="3679" t="str">
        <f>A41</f>
        <v>成交单价</v>
      </c>
      <c r="Q41" s="3679"/>
      <c r="R41" s="3709">
        <f>E41</f>
        <v>0</v>
      </c>
      <c r="S41" s="3709"/>
      <c r="T41" s="3709">
        <f>G41</f>
        <v>0</v>
      </c>
      <c r="U41" s="3709"/>
      <c r="V41" s="3709">
        <f>I41</f>
        <v>0</v>
      </c>
      <c r="W41" s="3709"/>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79" t="str">
        <f>A42</f>
        <v>比较价值（元/平方米）</v>
      </c>
      <c r="Q42" s="3679"/>
      <c r="R42" s="3727" t="e">
        <f>ROUND(PRODUCT(R41,AA7:AA40),0)</f>
        <v>#DIV/0!</v>
      </c>
      <c r="S42" s="3727"/>
      <c r="T42" s="3727" t="e">
        <f>ROUND(PRODUCT(T41,AB7:AB40),0)</f>
        <v>#DIV/0!</v>
      </c>
      <c r="U42" s="3727"/>
      <c r="V42" s="3727" t="e">
        <f>ROUND(PRODUCT(V41,AC7:AC40),0)</f>
        <v>#DIV/0!</v>
      </c>
      <c r="W42" s="3727"/>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681" t="str">
        <f>A43</f>
        <v>估价对象XX用房的比较价值（楼面单价，元/平方米）</v>
      </c>
      <c r="Q43" s="3682"/>
      <c r="R43" s="3728" t="e">
        <f>ROUND(IF(D42="简单平均",AVERAGE(R42:W42),R42*F42+T42*H42+V42*J42),0)</f>
        <v>#DIV/0!</v>
      </c>
      <c r="S43" s="3728"/>
      <c r="T43" s="3728"/>
      <c r="U43" s="3728"/>
      <c r="V43" s="3728"/>
      <c r="W43" s="3728"/>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1646</v>
      </c>
      <c r="B50" s="1203" t="s">
        <v>1647</v>
      </c>
      <c r="C50" s="1204" t="s">
        <v>1648</v>
      </c>
      <c r="D50" s="1205" t="s">
        <v>1649</v>
      </c>
      <c r="E50" s="1206" t="s">
        <v>1650</v>
      </c>
      <c r="F50" s="1207" t="s">
        <v>1651</v>
      </c>
      <c r="G50" s="3664" t="s">
        <v>1652</v>
      </c>
      <c r="H50" s="3729"/>
      <c r="I50" s="1277" t="s">
        <v>1679</v>
      </c>
      <c r="J50" s="1277">
        <f>项目基本情况!F35</f>
        <v>0</v>
      </c>
      <c r="K50" s="1278" t="s">
        <v>1654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1655</v>
      </c>
      <c r="B51" s="1209" t="e">
        <f>C43</f>
        <v>#DIV/0!</v>
      </c>
      <c r="C51" s="1210">
        <v>1</v>
      </c>
      <c r="D51" s="1211">
        <v>1</v>
      </c>
      <c r="E51" s="1210">
        <f>'数据-汇总表'!E8+'数据-汇总表'!E9</f>
        <v>88740.02</v>
      </c>
      <c r="F51" s="1212" t="e">
        <f t="shared" ref="F51:F60" si="15">ROUND(B51*E51/10000,0)</f>
        <v>#DIV/0!</v>
      </c>
      <c r="G51" s="3684"/>
      <c r="H51" s="3679"/>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1656</v>
      </c>
      <c r="B52" s="395" t="e">
        <f>ROUND($C$43*C52*D52,0)</f>
        <v>#DIV/0!</v>
      </c>
      <c r="C52" s="590">
        <f t="shared" ref="C52:C60" si="16">IF($C$50="北京市系数",I52,J52)</f>
        <v>0</v>
      </c>
      <c r="D52" s="1214">
        <v>0.25</v>
      </c>
      <c r="E52" s="1215"/>
      <c r="F52" s="1212" t="e">
        <f t="shared" si="15"/>
        <v>#DIV/0!</v>
      </c>
      <c r="G52" s="1216" t="s">
        <v>1657</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1658</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1659</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1660</v>
      </c>
      <c r="B56" s="395" t="e">
        <f t="shared" si="17"/>
        <v>#DIV/0!</v>
      </c>
      <c r="C56" s="590">
        <f t="shared" si="16"/>
        <v>0</v>
      </c>
      <c r="D56" s="1214">
        <v>0.25</v>
      </c>
      <c r="E56" s="394">
        <f>'数据-汇总表'!E11</f>
        <v>0</v>
      </c>
      <c r="F56" s="1212" t="e">
        <f t="shared" si="15"/>
        <v>#DIV/0!</v>
      </c>
      <c r="G56" s="1220" t="s">
        <v>1661</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1662</v>
      </c>
      <c r="B57" s="395" t="e">
        <f t="shared" si="17"/>
        <v>#DIV/0!</v>
      </c>
      <c r="C57" s="590">
        <f t="shared" si="16"/>
        <v>0</v>
      </c>
      <c r="D57" s="1214">
        <v>0.25</v>
      </c>
      <c r="E57" s="394">
        <f>'数据-汇总表'!E12</f>
        <v>0</v>
      </c>
      <c r="F57" s="1212" t="e">
        <f t="shared" si="15"/>
        <v>#DIV/0!</v>
      </c>
      <c r="G57" s="1221" t="s">
        <v>1663</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1664</v>
      </c>
      <c r="B58" s="395" t="e">
        <f t="shared" si="17"/>
        <v>#DIV/0!</v>
      </c>
      <c r="C58" s="590">
        <f t="shared" si="16"/>
        <v>0</v>
      </c>
      <c r="D58" s="1214">
        <v>0.25</v>
      </c>
      <c r="E58" s="394">
        <f>'数据-汇总表'!E13</f>
        <v>0</v>
      </c>
      <c r="F58" s="1212" t="e">
        <f t="shared" si="15"/>
        <v>#DIV/0!</v>
      </c>
      <c r="G58" s="1221" t="s">
        <v>1665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1666</v>
      </c>
      <c r="B59" s="395" t="e">
        <f t="shared" si="17"/>
        <v>#DIV/0!</v>
      </c>
      <c r="C59" s="590">
        <f t="shared" si="16"/>
        <v>0</v>
      </c>
      <c r="D59" s="1214">
        <v>0.25</v>
      </c>
      <c r="E59" s="394">
        <f>'数据-汇总表'!E14</f>
        <v>0</v>
      </c>
      <c r="F59" s="1212" t="e">
        <f t="shared" si="15"/>
        <v>#DIV/0!</v>
      </c>
      <c r="G59" s="1220" t="s">
        <v>1657</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1667</v>
      </c>
      <c r="B60" s="395" t="e">
        <f t="shared" si="17"/>
        <v>#DIV/0!</v>
      </c>
      <c r="C60" s="590">
        <f t="shared" si="16"/>
        <v>0</v>
      </c>
      <c r="D60" s="1214">
        <v>0.25</v>
      </c>
      <c r="E60" s="394">
        <f>'数据-汇总表'!E15</f>
        <v>18997.900000000001</v>
      </c>
      <c r="F60" s="1212" t="e">
        <f t="shared" si="15"/>
        <v>#DIV/0!</v>
      </c>
      <c r="G60" s="1222" t="s">
        <v>1661</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1668</v>
      </c>
      <c r="B61" s="1225" t="s">
        <v>1669</v>
      </c>
      <c r="C61" s="1225" t="s">
        <v>1669</v>
      </c>
      <c r="D61" s="1225" t="s">
        <v>1669</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2023-4-1</v>
      </c>
      <c r="D63" s="1231">
        <f>EDATE(C63,-3)</f>
        <v>44927</v>
      </c>
      <c r="E63" s="1231">
        <f>EDATE(D63,-3)</f>
        <v>44835</v>
      </c>
      <c r="F63" s="1231">
        <f t="shared" ref="F63:O63" si="18">EDATE(E63,-3)</f>
        <v>44743</v>
      </c>
      <c r="G63" s="1231">
        <f t="shared" si="18"/>
        <v>44652</v>
      </c>
      <c r="H63" s="1231">
        <f t="shared" si="18"/>
        <v>44562</v>
      </c>
      <c r="I63" s="1231">
        <f t="shared" si="18"/>
        <v>44470</v>
      </c>
      <c r="J63" s="1231">
        <f t="shared" si="18"/>
        <v>44378</v>
      </c>
      <c r="K63" s="1231">
        <f t="shared" si="18"/>
        <v>44287</v>
      </c>
      <c r="L63" s="1231">
        <f t="shared" si="18"/>
        <v>44197</v>
      </c>
      <c r="M63" s="1231">
        <f t="shared" si="18"/>
        <v>44105</v>
      </c>
      <c r="N63" s="1231">
        <f t="shared" si="18"/>
        <v>44013</v>
      </c>
      <c r="O63" s="1231">
        <f t="shared" si="18"/>
        <v>43922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1670</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1680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1613</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1636</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1637</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1672</v>
      </c>
      <c r="D95" s="1329" t="s">
        <v>1673</v>
      </c>
      <c r="E95" s="1329" t="s">
        <v>1674</v>
      </c>
      <c r="F95" s="1329" t="s">
        <v>1675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1640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1681</v>
      </c>
      <c r="C1" s="3734" t="s">
        <v>1682</v>
      </c>
      <c r="D1" s="3735"/>
      <c r="E1" s="3735"/>
      <c r="F1" s="3735"/>
      <c r="G1" s="3735"/>
      <c r="H1" s="3735"/>
      <c r="I1" s="3735"/>
      <c r="J1" s="3735"/>
      <c r="K1" s="3735"/>
      <c r="L1" s="3735"/>
      <c r="M1" s="3735"/>
      <c r="N1" s="3735"/>
      <c r="O1" s="3735"/>
      <c r="P1" s="3735"/>
      <c r="Q1" s="3735"/>
      <c r="R1" s="3735"/>
      <c r="S1" s="3736"/>
      <c r="T1" s="960" t="s">
        <v>1683</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1690</v>
      </c>
      <c r="B17" s="993" t="s">
        <v>1691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1692</v>
      </c>
      <c r="E19" s="1003"/>
      <c r="F19" s="1003"/>
      <c r="G19" s="1003"/>
      <c r="H19" s="1004"/>
      <c r="I19" s="1001"/>
      <c r="J19" s="1001"/>
      <c r="K19" s="1001"/>
      <c r="L19" s="1001"/>
      <c r="M19" s="1001"/>
      <c r="N19" s="1001"/>
      <c r="O19" s="1001"/>
      <c r="P19" s="1001"/>
      <c r="Q19" s="1001"/>
      <c r="R19" s="1068"/>
      <c r="S19" s="1000"/>
    </row>
    <row r="20" spans="1:45" ht="15.75">
      <c r="A20" s="1005" t="s">
        <v>1693</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1695</v>
      </c>
      <c r="B22" s="1011">
        <f>SUM(B24:B10000)</f>
        <v>0</v>
      </c>
      <c r="C22" s="3737" t="s">
        <v>124</v>
      </c>
      <c r="D22" s="3738"/>
      <c r="E22" s="3738"/>
      <c r="F22" s="3738"/>
      <c r="G22" s="3738"/>
      <c r="H22" s="3738"/>
      <c r="I22" s="3738"/>
      <c r="J22" s="3738"/>
      <c r="K22" s="3738"/>
      <c r="L22" s="3738"/>
      <c r="M22" s="3738"/>
      <c r="N22" s="3738"/>
      <c r="O22" s="3738"/>
      <c r="P22" s="3738"/>
      <c r="Q22" s="3739"/>
      <c r="R22" s="1070" t="e">
        <f>ROUND(S22*10000/B22,0)</f>
        <v>#DIV/0!</v>
      </c>
      <c r="S22" s="1011">
        <f>SUM(S24:S10000)</f>
        <v>0</v>
      </c>
    </row>
    <row r="23" spans="1:45" s="953" customFormat="1" ht="24">
      <c r="A23" s="1014" t="s">
        <v>1696</v>
      </c>
      <c r="B23" s="1014" t="s">
        <v>457</v>
      </c>
      <c r="C23" s="1014" t="s">
        <v>1683</v>
      </c>
      <c r="D23" s="1014" t="str">
        <f>B5</f>
        <v>修正项2</v>
      </c>
      <c r="E23" s="1014" t="s">
        <v>1683</v>
      </c>
      <c r="F23" s="1014" t="str">
        <f>B7</f>
        <v>修正项3</v>
      </c>
      <c r="G23" s="1014" t="s">
        <v>1683</v>
      </c>
      <c r="H23" s="1014" t="str">
        <f>B9</f>
        <v>修正项4</v>
      </c>
      <c r="I23" s="1014" t="s">
        <v>1683</v>
      </c>
      <c r="J23" s="1014" t="str">
        <f>B11</f>
        <v>修正项5</v>
      </c>
      <c r="K23" s="1014" t="s">
        <v>1683</v>
      </c>
      <c r="L23" s="1014" t="str">
        <f>B13</f>
        <v>修正项6</v>
      </c>
      <c r="M23" s="1014" t="s">
        <v>1683</v>
      </c>
      <c r="N23" s="1014" t="str">
        <f>B15</f>
        <v>修正项7</v>
      </c>
      <c r="O23" s="1014" t="s">
        <v>1683</v>
      </c>
      <c r="P23" s="1014" t="str">
        <f>B17</f>
        <v>楼层</v>
      </c>
      <c r="Q23" s="1014" t="s">
        <v>1683</v>
      </c>
      <c r="R23" s="1071" t="s">
        <v>1697</v>
      </c>
      <c r="S23" s="1014" t="s">
        <v>1698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1700</v>
      </c>
      <c r="B1" s="939"/>
      <c r="C1" s="939"/>
      <c r="D1" s="939"/>
      <c r="E1" s="939"/>
      <c r="F1" s="940"/>
      <c r="G1" s="940"/>
      <c r="H1" s="940"/>
      <c r="I1" s="940"/>
      <c r="J1" s="940"/>
      <c r="K1" s="940"/>
      <c r="L1" s="940"/>
      <c r="M1" s="940"/>
      <c r="N1" s="940"/>
      <c r="O1" s="940"/>
      <c r="P1" s="940"/>
    </row>
    <row r="2" spans="1:16" ht="15.75">
      <c r="A2" s="941" t="s">
        <v>97</v>
      </c>
      <c r="B2" s="942">
        <f ca="1">SUMIF(B6:B13,"&lt;&gt;#ref!",B6:B13)</f>
        <v>96671</v>
      </c>
      <c r="C2" s="941" t="s">
        <v>1701</v>
      </c>
      <c r="D2" s="941" t="s">
        <v>1702</v>
      </c>
      <c r="E2" s="943">
        <f ca="1">SUMIF(E6:E13,"&lt;&gt;#ref!",E6:E13)</f>
        <v>111101.31</v>
      </c>
      <c r="F2" s="940"/>
      <c r="G2" s="940"/>
      <c r="H2" s="940"/>
      <c r="I2" s="940"/>
      <c r="J2" s="940"/>
      <c r="K2" s="940"/>
      <c r="L2" s="940"/>
      <c r="M2" s="940"/>
      <c r="N2" s="940"/>
      <c r="O2" s="940"/>
      <c r="P2" s="940"/>
    </row>
    <row r="3" spans="1:16" ht="15.75">
      <c r="A3" s="941" t="s">
        <v>1703</v>
      </c>
      <c r="B3" s="942">
        <f ca="1">ROUND(B2*10000/E2,0)</f>
        <v>8701</v>
      </c>
      <c r="C3" s="941" t="s">
        <v>1704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1705</v>
      </c>
      <c r="B5" s="946" t="s">
        <v>1706</v>
      </c>
      <c r="C5" s="947"/>
      <c r="D5" s="940"/>
      <c r="E5" s="948" t="s">
        <v>1707</v>
      </c>
      <c r="F5" s="940"/>
      <c r="G5" s="940"/>
      <c r="H5" s="940"/>
      <c r="I5" s="940"/>
      <c r="J5" s="940"/>
      <c r="K5" s="940"/>
      <c r="L5" s="940"/>
      <c r="M5" s="940"/>
      <c r="N5" s="940"/>
      <c r="O5" s="940"/>
      <c r="P5" s="940"/>
    </row>
    <row r="6" spans="1:16" ht="15.75">
      <c r="A6" s="949" t="s">
        <v>1708</v>
      </c>
      <c r="B6" s="942">
        <f ca="1">SUMIF(INDIRECT("'"&amp;A6&amp;"'"&amp;"!A:A"),"总价",INDIRECT("'"&amp;A6&amp;"'"&amp;"!B:B"))</f>
        <v>96671</v>
      </c>
      <c r="C6" s="941" t="s">
        <v>1701</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1701</v>
      </c>
      <c r="D8" s="940"/>
      <c r="E8" s="943" t="e">
        <f t="shared" ca="1" si="0"/>
        <v>#REF!</v>
      </c>
      <c r="F8" s="940"/>
      <c r="G8" s="940"/>
      <c r="H8" s="940"/>
      <c r="I8" s="940"/>
      <c r="J8" s="940"/>
      <c r="K8" s="940"/>
      <c r="L8" s="940"/>
      <c r="M8" s="940"/>
      <c r="N8" s="940"/>
      <c r="O8" s="940"/>
      <c r="P8" s="940"/>
    </row>
    <row r="9" spans="1:16" ht="15.75">
      <c r="A9" s="949"/>
      <c r="B9" s="942" t="e">
        <f t="shared" ca="1" si="1"/>
        <v>#REF!</v>
      </c>
      <c r="C9" s="941" t="s">
        <v>1701</v>
      </c>
      <c r="D9" s="940"/>
      <c r="E9" s="943" t="e">
        <f t="shared" ca="1" si="0"/>
        <v>#REF!</v>
      </c>
      <c r="F9" s="940"/>
      <c r="G9" s="940"/>
      <c r="H9" s="940"/>
      <c r="I9" s="940"/>
      <c r="J9" s="940"/>
      <c r="K9" s="940"/>
      <c r="L9" s="940"/>
      <c r="M9" s="940"/>
      <c r="N9" s="940"/>
      <c r="O9" s="940"/>
      <c r="P9" s="940"/>
    </row>
    <row r="10" spans="1:16" ht="15.75">
      <c r="A10" s="949"/>
      <c r="B10" s="942" t="e">
        <f t="shared" ca="1" si="1"/>
        <v>#REF!</v>
      </c>
      <c r="C10" s="941" t="s">
        <v>1701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16" sqref="L16"/>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1709</v>
      </c>
      <c r="B1" s="375"/>
      <c r="C1" s="378" t="s">
        <v>1488</v>
      </c>
      <c r="D1" s="554">
        <f>SUM(D33:D34,D37:D42)</f>
        <v>111101.31</v>
      </c>
      <c r="E1" s="555"/>
      <c r="F1" s="555"/>
      <c r="G1" s="555"/>
      <c r="H1" s="555"/>
      <c r="I1" s="555"/>
      <c r="J1" s="555"/>
      <c r="K1" s="547"/>
      <c r="L1" s="759" t="s">
        <v>1710</v>
      </c>
      <c r="M1" s="760">
        <f>SUMPRODUCT((区片价!B5:B9=I2)*(区片价!C3:G3=E2)*(区片价!C5:G9))</f>
        <v>0</v>
      </c>
      <c r="N1" s="761">
        <f>SUMPRODUCT((因素修正幅度!B5:B9=I2)*(因素修正幅度!C3:G3=E2)*(因素修正幅度!C5:G9))</f>
        <v>0</v>
      </c>
      <c r="O1" s="548"/>
      <c r="P1" s="548"/>
      <c r="Q1" s="547"/>
      <c r="R1" s="853" t="s">
        <v>1711</v>
      </c>
      <c r="S1" s="853" t="s">
        <v>1712</v>
      </c>
      <c r="T1" s="853" t="s">
        <v>1713</v>
      </c>
      <c r="U1" s="853" t="s">
        <v>1714</v>
      </c>
      <c r="V1" s="853" t="s">
        <v>1715</v>
      </c>
      <c r="W1" s="854"/>
      <c r="X1" s="854"/>
      <c r="Y1" s="854"/>
      <c r="Z1" s="854"/>
      <c r="AA1" s="854"/>
      <c r="AB1" s="854"/>
      <c r="AC1" s="865"/>
      <c r="AD1" s="866"/>
      <c r="AE1" s="866"/>
      <c r="AF1" s="866"/>
      <c r="AG1" s="866"/>
      <c r="AH1" s="866"/>
      <c r="AI1" s="866"/>
      <c r="AJ1" s="875"/>
    </row>
    <row r="2" spans="1:36" ht="15.75">
      <c r="A2" s="378" t="s">
        <v>1000</v>
      </c>
      <c r="B2" s="382">
        <f>C30</f>
        <v>96671</v>
      </c>
      <c r="C2" s="556" t="s">
        <v>1001</v>
      </c>
      <c r="D2" s="557" t="s">
        <v>1716</v>
      </c>
      <c r="E2" s="558" t="s">
        <v>280</v>
      </c>
      <c r="F2" s="557" t="s">
        <v>1717</v>
      </c>
      <c r="G2" s="559" t="str">
        <f>IF(E2="商业",项目基本情况!B37,IF(E2="办公",项目基本情况!C37,IF(E2="住宅",项目基本情况!D37,IF(E2="工业",项目基本情况!E37,项目基本情况!F37))))</f>
        <v>三级</v>
      </c>
      <c r="H2" s="557" t="s">
        <v>1718</v>
      </c>
      <c r="I2" s="559" t="str">
        <f>IF(E2="商业",项目基本情况!B38,IF(E2="办公",项目基本情况!C38,IF(E2="住宅",项目基本情况!D38,IF(E2="工业",项目基本情况!E38,项目基本情况!F38))))</f>
        <v>Ⅲ—17</v>
      </c>
      <c r="J2" s="762"/>
      <c r="K2" s="547"/>
      <c r="L2" s="763" t="s">
        <v>1719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18696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8701</v>
      </c>
      <c r="C3" s="556" t="s">
        <v>1004</v>
      </c>
      <c r="D3" s="557" t="s">
        <v>1720</v>
      </c>
      <c r="E3" s="560" t="s">
        <v>1721</v>
      </c>
      <c r="F3" s="561" t="s">
        <v>1722</v>
      </c>
      <c r="G3" s="562">
        <f>IF(F3="宗地容积率",'数据-汇总表'!I4,IF(F3="估价对象容积率",'数据-汇总表'!I6,'数据-汇总表'!I7))</f>
        <v>5.72</v>
      </c>
      <c r="H3" s="563" t="s">
        <v>1723</v>
      </c>
      <c r="I3" s="765"/>
      <c r="J3" s="762" t="s">
        <v>1724</v>
      </c>
      <c r="K3" s="547"/>
      <c r="L3" s="763" t="s">
        <v>1725</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14736</v>
      </c>
      <c r="U3" s="856"/>
      <c r="V3" s="855">
        <f t="shared" ref="V3:V16" si="1">ROUND(T3*U3/10000,0)</f>
        <v>0</v>
      </c>
      <c r="W3" s="854"/>
      <c r="X3" s="854"/>
      <c r="Y3" s="854"/>
      <c r="Z3" s="854"/>
      <c r="AA3" s="854"/>
      <c r="AB3" s="854"/>
      <c r="AC3" s="865"/>
      <c r="AD3" s="866"/>
      <c r="AE3" s="866"/>
      <c r="AF3" s="866"/>
      <c r="AG3" s="866"/>
      <c r="AH3" s="866"/>
      <c r="AI3" s="866"/>
      <c r="AJ3" s="875"/>
    </row>
    <row r="4" spans="1:36" ht="15.75">
      <c r="A4" s="3740"/>
      <c r="B4" s="3741"/>
      <c r="C4" s="3741"/>
      <c r="D4" s="3742"/>
      <c r="E4" s="3742"/>
      <c r="F4" s="3742"/>
      <c r="G4" s="3742"/>
      <c r="H4" s="3742"/>
      <c r="I4" s="3742"/>
      <c r="J4" s="3743"/>
      <c r="K4" s="547"/>
      <c r="L4" s="763" t="s">
        <v>1726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12455</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1727</v>
      </c>
      <c r="C5" s="566">
        <f>ROUND(IF(E2="商业",C6*C7*C17+C20,(IF(E2="住宅",C6*C13*C17+C20,IF(E2="办公",C6*C12*C17+C20,C6+C20)))),0)</f>
        <v>16055</v>
      </c>
      <c r="D5" s="567">
        <f>ROUND(C6*C17+C20,0)</f>
        <v>16055</v>
      </c>
      <c r="E5" s="567"/>
      <c r="F5" s="568"/>
      <c r="G5" s="569"/>
      <c r="H5" s="569"/>
      <c r="I5" s="569"/>
      <c r="J5" s="766"/>
      <c r="K5" s="767"/>
      <c r="L5" s="763" t="s">
        <v>1728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10984</v>
      </c>
      <c r="U5" s="856"/>
      <c r="V5" s="855">
        <f t="shared" si="1"/>
        <v>0</v>
      </c>
      <c r="W5" s="854"/>
      <c r="X5" s="854"/>
      <c r="Y5" s="854"/>
      <c r="Z5" s="854"/>
      <c r="AA5" s="854"/>
      <c r="AB5" s="854"/>
      <c r="AC5" s="867"/>
      <c r="AD5" s="868"/>
      <c r="AE5" s="868"/>
      <c r="AF5" s="868"/>
      <c r="AG5" s="868"/>
      <c r="AH5" s="868"/>
      <c r="AI5" s="868"/>
      <c r="AJ5" s="876"/>
    </row>
    <row r="6" spans="1:36" ht="15">
      <c r="A6" s="570" t="s">
        <v>1006</v>
      </c>
      <c r="B6" s="571" t="s">
        <v>1729</v>
      </c>
      <c r="C6" s="572">
        <f>SUMIF(L1:L12,G2,M1:M12)</f>
        <v>16100</v>
      </c>
      <c r="D6" s="573"/>
      <c r="E6" s="574"/>
      <c r="F6" s="574"/>
      <c r="G6" s="575"/>
      <c r="H6" s="575"/>
      <c r="I6" s="575"/>
      <c r="J6" s="768"/>
      <c r="K6" s="769"/>
      <c r="L6" s="763" t="s">
        <v>1730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10556</v>
      </c>
      <c r="U6" s="856"/>
      <c r="V6" s="855">
        <f t="shared" si="1"/>
        <v>0</v>
      </c>
      <c r="W6" s="854"/>
      <c r="X6" s="854"/>
      <c r="Y6" s="854"/>
      <c r="Z6" s="854"/>
      <c r="AA6" s="854"/>
      <c r="AB6" s="854"/>
      <c r="AC6" s="867"/>
      <c r="AD6" s="868"/>
      <c r="AE6" s="868"/>
      <c r="AF6" s="868"/>
      <c r="AG6" s="868"/>
      <c r="AH6" s="868"/>
      <c r="AI6" s="868"/>
      <c r="AJ6" s="876"/>
    </row>
    <row r="7" spans="1:36" ht="24">
      <c r="A7" s="576" t="s">
        <v>1731</v>
      </c>
      <c r="B7" s="577" t="s">
        <v>1732</v>
      </c>
      <c r="C7" s="578" t="e">
        <f>IF(C8="不临65条商业街",1,ROUND(1+(1.6*E8+1.2*E9+0.8*E10+0.4*E11)*C9,4))</f>
        <v>#DIV/0!</v>
      </c>
      <c r="D7" s="579" t="s">
        <v>1733</v>
      </c>
      <c r="E7" s="580"/>
      <c r="F7" s="581"/>
      <c r="G7" s="582"/>
      <c r="H7" s="582"/>
      <c r="I7" s="582"/>
      <c r="J7" s="770"/>
      <c r="K7" s="769"/>
      <c r="L7" s="763" t="s">
        <v>1734</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1735</v>
      </c>
      <c r="X7" s="859" t="str">
        <f>G2</f>
        <v>三级</v>
      </c>
      <c r="Y7" s="859" t="s">
        <v>1736</v>
      </c>
      <c r="Z7" s="869">
        <f>G3</f>
        <v>5.72</v>
      </c>
      <c r="AA7" s="854"/>
      <c r="AB7" s="854"/>
      <c r="AC7" s="865"/>
      <c r="AD7" s="866"/>
      <c r="AE7" s="866"/>
      <c r="AF7" s="866"/>
      <c r="AG7" s="866"/>
      <c r="AH7" s="866"/>
      <c r="AI7" s="866"/>
      <c r="AJ7" s="875"/>
    </row>
    <row r="8" spans="1:36" ht="15">
      <c r="A8" s="583"/>
      <c r="B8" s="563" t="s">
        <v>1737</v>
      </c>
      <c r="C8" s="584"/>
      <c r="D8" s="585" t="s">
        <v>1738</v>
      </c>
      <c r="E8" s="586" t="e">
        <f>ROUND(C11/E7,4)</f>
        <v>#DIV/0!</v>
      </c>
      <c r="F8" s="587" t="s">
        <v>1739</v>
      </c>
      <c r="G8" s="588"/>
      <c r="H8" s="588"/>
      <c r="I8" s="588"/>
      <c r="J8" s="771"/>
      <c r="K8" s="547"/>
      <c r="L8" s="763" t="s">
        <v>1740</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4" t="s">
        <v>1741</v>
      </c>
      <c r="X8" s="3745"/>
      <c r="Y8" s="870" t="s">
        <v>1742</v>
      </c>
      <c r="Z8" s="870" t="s">
        <v>1743</v>
      </c>
      <c r="AA8" s="870" t="s">
        <v>1744</v>
      </c>
      <c r="AB8" s="870" t="s">
        <v>1745</v>
      </c>
      <c r="AC8" s="870" t="s">
        <v>1746</v>
      </c>
      <c r="AD8" s="870" t="s">
        <v>1747</v>
      </c>
      <c r="AE8" s="870" t="s">
        <v>1748</v>
      </c>
      <c r="AF8" s="870" t="s">
        <v>1749</v>
      </c>
      <c r="AG8" s="870" t="s">
        <v>1750</v>
      </c>
      <c r="AH8" s="870" t="s">
        <v>1751</v>
      </c>
      <c r="AI8" s="870" t="s">
        <v>1752</v>
      </c>
      <c r="AJ8" s="870" t="s">
        <v>1753</v>
      </c>
    </row>
    <row r="9" spans="1:36" ht="15">
      <c r="A9" s="583"/>
      <c r="B9" s="563" t="s">
        <v>1754</v>
      </c>
      <c r="C9" s="589">
        <f>SUMIF(修正!C71:C138,C8,修正!E71:E138)</f>
        <v>0</v>
      </c>
      <c r="D9" s="590" t="s">
        <v>1755</v>
      </c>
      <c r="E9" s="590" t="e">
        <f>ROUND(C11/E7,4)</f>
        <v>#DIV/0!</v>
      </c>
      <c r="F9" s="587" t="s">
        <v>1756</v>
      </c>
      <c r="G9" s="588"/>
      <c r="H9" s="588"/>
      <c r="I9" s="588"/>
      <c r="J9" s="771"/>
      <c r="K9" s="547"/>
      <c r="L9" s="763" t="s">
        <v>1757</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8"/>
      <c r="X9" s="860" t="s">
        <v>1758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1759</v>
      </c>
      <c r="C10" s="590">
        <f>SUMIF(修正!C71:C138,C8,修正!F71:F138)</f>
        <v>0</v>
      </c>
      <c r="D10" s="590" t="s">
        <v>1760</v>
      </c>
      <c r="E10" s="590" t="e">
        <f>ROUND(C11/E7,4)</f>
        <v>#DIV/0!</v>
      </c>
      <c r="F10" s="587" t="s">
        <v>1761</v>
      </c>
      <c r="G10" s="588"/>
      <c r="H10" s="588"/>
      <c r="I10" s="588"/>
      <c r="J10" s="771"/>
      <c r="K10" s="547"/>
      <c r="L10" s="763" t="s">
        <v>1762</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58"/>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1763</v>
      </c>
      <c r="C11" s="593">
        <f>C10/4</f>
        <v>0</v>
      </c>
      <c r="D11" s="593" t="s">
        <v>1764</v>
      </c>
      <c r="E11" s="593" t="e">
        <f>ROUND(C11/E7,4)</f>
        <v>#DIV/0!</v>
      </c>
      <c r="F11" s="594" t="s">
        <v>1765</v>
      </c>
      <c r="G11" s="595"/>
      <c r="H11" s="595"/>
      <c r="I11" s="595"/>
      <c r="J11" s="772"/>
      <c r="K11" s="547"/>
      <c r="L11" s="763" t="s">
        <v>1766</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1767</v>
      </c>
      <c r="B12" s="596" t="s">
        <v>1768</v>
      </c>
      <c r="C12" s="597"/>
      <c r="D12" s="598" t="s">
        <v>1769</v>
      </c>
      <c r="E12" s="599" t="s">
        <v>1770</v>
      </c>
      <c r="F12" s="600"/>
      <c r="G12" s="601"/>
      <c r="H12" s="601"/>
      <c r="I12" s="601"/>
      <c r="J12" s="773"/>
      <c r="K12" s="547"/>
      <c r="L12" s="774" t="s">
        <v>1771</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1772</v>
      </c>
      <c r="B13" s="602" t="s">
        <v>1773</v>
      </c>
      <c r="C13" s="578">
        <f>ROUND(C16*D16*E16*F16*G16*H16*I16*J16,4)</f>
        <v>0</v>
      </c>
      <c r="D13" s="603" t="s">
        <v>1774</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1775</v>
      </c>
      <c r="C14" s="608" t="s">
        <v>1776</v>
      </c>
      <c r="D14" s="609" t="s">
        <v>1777</v>
      </c>
      <c r="E14" s="610" t="s">
        <v>1778</v>
      </c>
      <c r="F14" s="611" t="s">
        <v>1779</v>
      </c>
      <c r="G14" s="611" t="s">
        <v>1779</v>
      </c>
      <c r="H14" s="611" t="s">
        <v>1779</v>
      </c>
      <c r="I14" s="611" t="s">
        <v>1779</v>
      </c>
      <c r="J14" s="611" t="s">
        <v>1779</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1780</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1781</v>
      </c>
      <c r="B17" s="622" t="s">
        <v>1782</v>
      </c>
      <c r="C17" s="623">
        <f>ROUND(IF(OR(E2="工业",E2="公共服务"),1,IF(AND(E18=0,E19=0),1,IF(AND(E18=J24,E19=G19),0.8,IF(E19=0,1+E17*(-0.2),1+E17*G17*(-0.2))))),4)</f>
        <v>1</v>
      </c>
      <c r="D17" s="624" t="s">
        <v>1783</v>
      </c>
      <c r="E17" s="623">
        <f>ROUND(G18/I18,2)</f>
        <v>0</v>
      </c>
      <c r="F17" s="624" t="s">
        <v>1784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1785</v>
      </c>
      <c r="E18" s="629"/>
      <c r="F18" s="630" t="s">
        <v>1786</v>
      </c>
      <c r="G18" s="627">
        <f>ROUND(1-(1/(POWER(1+G24,E18))),4)</f>
        <v>0</v>
      </c>
      <c r="H18" s="630" t="s">
        <v>1787</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1788</v>
      </c>
      <c r="E19" s="634"/>
      <c r="F19" s="635" t="s">
        <v>1789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0" t="s">
        <v>1790</v>
      </c>
      <c r="B20" s="636" t="s">
        <v>1791</v>
      </c>
      <c r="C20" s="637">
        <f>ROUND(IF(F21="与级别开发程度一致",0,(G21-E21)/C21),0)</f>
        <v>-45</v>
      </c>
      <c r="D20" s="638" t="s">
        <v>1792</v>
      </c>
      <c r="E20" s="639"/>
      <c r="F20" s="3746" t="s">
        <v>1793</v>
      </c>
      <c r="G20" s="3747"/>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1"/>
      <c r="B21" s="641" t="s">
        <v>1794</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1795</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1796</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1797</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1798</v>
      </c>
      <c r="E23" s="656">
        <v>44197</v>
      </c>
      <c r="F23" s="655" t="s">
        <v>1799</v>
      </c>
      <c r="G23" s="657">
        <f>'数据-取费表'!B2</f>
        <v>45026</v>
      </c>
      <c r="H23" s="658" t="s">
        <v>1800</v>
      </c>
      <c r="I23" s="795" t="str">
        <f>IF(H23="季度增幅（自定义）",SUMIF(N25:N28,E2,O25:O28),"")</f>
        <v/>
      </c>
      <c r="J23" s="796" t="s">
        <v>1801</v>
      </c>
      <c r="K23" s="792"/>
      <c r="L23" s="797" t="s">
        <v>1802</v>
      </c>
      <c r="M23" s="798">
        <f>ROUND(SUMIF(地价!B2:G2,E2,地价!B16:G16),0)</f>
        <v>0</v>
      </c>
      <c r="N23" s="799" t="s">
        <v>1803</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1804</v>
      </c>
      <c r="C24" s="661">
        <f>ROUND(POWER(1+G24,J24-I24)*(POWER(1+G24,I24)-1)/(POWER(1+G24,J24)-1),4)</f>
        <v>0.92169999999999996</v>
      </c>
      <c r="D24" s="662" t="s">
        <v>1805</v>
      </c>
      <c r="E24" s="663">
        <f>存贷款利率!E22/100</f>
        <v>4.3499999999999997E-2</v>
      </c>
      <c r="F24" s="662" t="s">
        <v>1806</v>
      </c>
      <c r="G24" s="664">
        <f>SUMIF(M30:Q30,E2,M33:Q33)</f>
        <v>0.05</v>
      </c>
      <c r="H24" s="662" t="s">
        <v>1807</v>
      </c>
      <c r="I24" s="802">
        <f>SUMIF('数据-取费表'!C6:C15,E2,'数据-取费表'!F6:F15)/COUNTIF('数据-取费表'!C6:C15,E2)</f>
        <v>37.729999999999997</v>
      </c>
      <c r="J24" s="803">
        <f>IF(E2="住宅",70,IF(E2="商业",40,50))</f>
        <v>50</v>
      </c>
      <c r="K24" s="792"/>
      <c r="L24" s="804" t="s">
        <v>1808</v>
      </c>
      <c r="M24" s="805">
        <f>ROUND(SUMPRODUCT((地价!A4:A16=YEAR(G23)&amp;"-"&amp;ROUNDUP(MONTH(G23)/3,0))*(地价!B2:G2=E2)*(地价!B4:G16)),0)</f>
        <v>0</v>
      </c>
      <c r="N24" s="806" t="s">
        <v>1809</v>
      </c>
      <c r="O24" s="807" t="s">
        <v>1810</v>
      </c>
      <c r="P24" s="808" t="s">
        <v>1811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1812</v>
      </c>
      <c r="C25" s="667">
        <f>IF(B25="容积率修正",IF(G3&lt;10,D26,J26),C27)</f>
        <v>0.83350000000000002</v>
      </c>
      <c r="D25" s="668"/>
      <c r="E25" s="668"/>
      <c r="F25" s="668"/>
      <c r="G25" s="668"/>
      <c r="H25" s="668"/>
      <c r="I25" s="668"/>
      <c r="J25" s="809"/>
      <c r="K25" s="792"/>
      <c r="L25" s="793"/>
      <c r="M25" s="793"/>
      <c r="N25" s="810" t="s">
        <v>1813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1814</v>
      </c>
      <c r="B26" s="670" t="s">
        <v>1815</v>
      </c>
      <c r="C26" s="671" t="s">
        <v>1816</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1817</v>
      </c>
      <c r="J26" s="813" t="str">
        <f>IF(G3&gt;=10,D115,"——")</f>
        <v>——</v>
      </c>
      <c r="K26" s="792"/>
      <c r="L26" s="793"/>
      <c r="M26" s="793"/>
      <c r="N26" s="810" t="s">
        <v>1818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1819</v>
      </c>
      <c r="B27" s="673" t="s">
        <v>1820</v>
      </c>
      <c r="C27" s="674">
        <f>ROUND(IF(I3&lt;6,SUMPRODUCT((B106:B110=I3)*(C105:N105=G2)*(C106:N110)),SUMIF(C105:N105,G2,C112:N112)),4)</f>
        <v>0</v>
      </c>
      <c r="D27" s="675"/>
      <c r="E27" s="675"/>
      <c r="F27" s="676"/>
      <c r="G27" s="677"/>
      <c r="H27" s="678"/>
      <c r="I27" s="814"/>
      <c r="J27" s="815"/>
      <c r="K27" s="547"/>
      <c r="L27" s="548"/>
      <c r="M27" s="548"/>
      <c r="N27" s="810" t="s">
        <v>1821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1822</v>
      </c>
      <c r="B28" s="653" t="s">
        <v>1823</v>
      </c>
      <c r="C28" s="654">
        <f>SUMIF(A47:A101,E2,B47:B101)</f>
        <v>1.0365</v>
      </c>
      <c r="D28" s="679"/>
      <c r="E28" s="680"/>
      <c r="F28" s="680"/>
      <c r="G28" s="680"/>
      <c r="H28" s="680"/>
      <c r="I28" s="680"/>
      <c r="J28" s="816"/>
      <c r="K28" s="792"/>
      <c r="L28" s="793"/>
      <c r="M28" s="793"/>
      <c r="N28" s="817" t="s">
        <v>1824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1825</v>
      </c>
      <c r="B29" s="681" t="s">
        <v>1826</v>
      </c>
      <c r="C29" s="682"/>
      <c r="D29" s="582"/>
      <c r="E29" s="582"/>
      <c r="F29" s="683"/>
      <c r="G29" s="582"/>
      <c r="H29" s="582"/>
      <c r="I29" s="582"/>
      <c r="J29" s="770"/>
      <c r="K29" s="547"/>
      <c r="L29" s="548"/>
      <c r="M29" s="548"/>
      <c r="N29" s="820" t="s">
        <v>1827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1828</v>
      </c>
      <c r="C30" s="685">
        <f>IF(B25="容积率修正",E33+SUM(E37:E42),SUM(V2:V16)+SUM(E37:E42))</f>
        <v>96671</v>
      </c>
      <c r="D30" s="686"/>
      <c r="E30" s="675"/>
      <c r="F30" s="687"/>
      <c r="G30" s="675"/>
      <c r="H30" s="675"/>
      <c r="I30" s="675"/>
      <c r="J30" s="823"/>
      <c r="K30" s="547"/>
      <c r="L30" s="824" t="s">
        <v>1716</v>
      </c>
      <c r="M30" s="825" t="s">
        <v>1829</v>
      </c>
      <c r="N30" s="825" t="s">
        <v>1830</v>
      </c>
      <c r="O30" s="825" t="s">
        <v>1831</v>
      </c>
      <c r="P30" s="825" t="s">
        <v>1832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1833</v>
      </c>
      <c r="C31" s="689">
        <f>E34+SUM(I37:I42)</f>
        <v>1149</v>
      </c>
      <c r="D31" s="690"/>
      <c r="E31" s="691"/>
      <c r="F31" s="692"/>
      <c r="G31" s="691"/>
      <c r="H31" s="691"/>
      <c r="I31" s="691"/>
      <c r="J31" s="826"/>
      <c r="K31" s="547"/>
      <c r="L31" s="827" t="s">
        <v>1834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1835</v>
      </c>
      <c r="C32" s="695" t="s">
        <v>1836</v>
      </c>
      <c r="D32" s="695" t="s">
        <v>566</v>
      </c>
      <c r="E32" s="696" t="s">
        <v>1837</v>
      </c>
      <c r="F32" s="697"/>
      <c r="G32" s="605"/>
      <c r="H32" s="605"/>
      <c r="I32" s="605"/>
      <c r="J32" s="776"/>
      <c r="K32" s="547"/>
      <c r="L32" s="828" t="s">
        <v>1806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1838</v>
      </c>
      <c r="C33" s="700">
        <f>ROUND(C5*C22*C23*C24*C25*C28,0)</f>
        <v>10376</v>
      </c>
      <c r="D33" s="701">
        <f>'数据-汇总表'!F19</f>
        <v>88740.02</v>
      </c>
      <c r="E33" s="702">
        <f>ROUND(C33*D33/10000,0)</f>
        <v>92077</v>
      </c>
      <c r="F33" s="703" t="s">
        <v>1839</v>
      </c>
      <c r="G33" s="704"/>
      <c r="H33" s="704"/>
      <c r="I33" s="704"/>
      <c r="J33" s="830"/>
      <c r="K33" s="547"/>
      <c r="L33" s="831" t="s">
        <v>1840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1841</v>
      </c>
      <c r="C34" s="643">
        <f>ROUND(IF(E2="工业",C33*M42,IF(B25="楼层修正",SUM(V2:V16)*M41*10000/D34,C33*M41)),0)</f>
        <v>2594</v>
      </c>
      <c r="D34" s="707"/>
      <c r="E34" s="702">
        <f>ROUND(IF(B25="楼层修正",SUM(V2:V16)*M40,C34*D34/10000),0)</f>
        <v>0</v>
      </c>
      <c r="F34" s="708" t="s">
        <v>1842</v>
      </c>
      <c r="G34" s="709"/>
      <c r="H34" s="709"/>
      <c r="I34" s="709"/>
      <c r="J34" s="833"/>
      <c r="K34" s="547"/>
      <c r="L34" s="831" t="s">
        <v>1843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1844</v>
      </c>
      <c r="C35" s="712" t="s">
        <v>1845</v>
      </c>
      <c r="D35" s="605"/>
      <c r="E35" s="713"/>
      <c r="F35" s="713"/>
      <c r="G35" s="603" t="s">
        <v>1842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1836</v>
      </c>
      <c r="D36" s="716" t="s">
        <v>566</v>
      </c>
      <c r="E36" s="716" t="s">
        <v>1837</v>
      </c>
      <c r="F36" s="554" t="s">
        <v>1846</v>
      </c>
      <c r="G36" s="717" t="s">
        <v>1836</v>
      </c>
      <c r="H36" s="717" t="s">
        <v>566</v>
      </c>
      <c r="I36" s="717" t="s">
        <v>1837</v>
      </c>
      <c r="J36" s="429"/>
      <c r="K36" s="835" t="s">
        <v>1847</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2"/>
      <c r="B37" s="718" t="s">
        <v>1848</v>
      </c>
      <c r="C37" s="700">
        <f>ROUND(D5*C22*C23*C24*C28*F37,0)</f>
        <v>7469</v>
      </c>
      <c r="D37" s="701"/>
      <c r="E37" s="590">
        <f>ROUND(C37*D37/10000,0)</f>
        <v>0</v>
      </c>
      <c r="F37" s="590">
        <f>SUMIF(修正!A57:A68,G2,修正!B57:B68)</f>
        <v>0.6</v>
      </c>
      <c r="G37" s="590">
        <f>ROUND(IF(E2="工业",C37*$M$42,C37*$M$41),0)</f>
        <v>1867</v>
      </c>
      <c r="H37" s="590">
        <f>D37</f>
        <v>0</v>
      </c>
      <c r="I37" s="590">
        <f>ROUND(G37*H37/10000,0)</f>
        <v>0</v>
      </c>
      <c r="J37" s="838"/>
      <c r="K37" s="839" t="s">
        <v>1849</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3"/>
      <c r="B38" s="608" t="s">
        <v>1850</v>
      </c>
      <c r="C38" s="700">
        <f>ROUND(D5*C22*C23*C24*C28*F38,0)</f>
        <v>3735</v>
      </c>
      <c r="D38" s="701"/>
      <c r="E38" s="590">
        <f t="shared" ref="E38:E42" si="4">ROUND(C38*D38/10000,0)</f>
        <v>0</v>
      </c>
      <c r="F38" s="590">
        <f>SUMIF(修正!A57:A68,G2,修正!C57:C68)</f>
        <v>0.3</v>
      </c>
      <c r="G38" s="590">
        <f>ROUND(IF(E2="工业",C38*$M$42,C38*$M$41),0)</f>
        <v>934</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3"/>
      <c r="B39" s="608" t="s">
        <v>1851</v>
      </c>
      <c r="C39" s="700">
        <f>ROUND(D5*C22*C23*C24*C28*F39,0)</f>
        <v>3112</v>
      </c>
      <c r="D39" s="701"/>
      <c r="E39" s="590">
        <f t="shared" si="4"/>
        <v>0</v>
      </c>
      <c r="F39" s="590">
        <f>SUMIF(修正!A57:A68,G2,修正!D57:D68)</f>
        <v>0.25</v>
      </c>
      <c r="G39" s="590">
        <f>ROUND(IF(E2="工业",C39*$M$42,C39*$M$41),0)</f>
        <v>778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1852</v>
      </c>
      <c r="C40" s="590">
        <f>ROUND(D5*C22*C23*C24*C28*F40,0)</f>
        <v>3112</v>
      </c>
      <c r="D40" s="701">
        <f>'数据-汇总表'!G19</f>
        <v>3363.39</v>
      </c>
      <c r="E40" s="590">
        <f t="shared" si="4"/>
        <v>1047</v>
      </c>
      <c r="F40" s="700">
        <f>SUMIF(修正!A57:A68,G2,修正!E57:E68)</f>
        <v>0.25</v>
      </c>
      <c r="G40" s="590">
        <f>ROUND(IF(E2="工业",C40*$M$42,C40*$M$41),0)</f>
        <v>778</v>
      </c>
      <c r="H40" s="590">
        <f t="shared" si="5"/>
        <v>3363.39</v>
      </c>
      <c r="I40" s="590">
        <f t="shared" si="6"/>
        <v>262</v>
      </c>
      <c r="J40" s="840"/>
      <c r="L40" s="841" t="s">
        <v>1853</v>
      </c>
      <c r="M40" s="842"/>
      <c r="Z40" s="723"/>
      <c r="AA40" s="723"/>
      <c r="AB40" s="723"/>
      <c r="AC40" s="723"/>
      <c r="AD40" s="723"/>
      <c r="AE40" s="723"/>
      <c r="AF40" s="723"/>
      <c r="AG40" s="723"/>
      <c r="AH40" s="723"/>
      <c r="AI40" s="723"/>
      <c r="AJ40" s="723"/>
    </row>
    <row r="41" spans="1:37" s="547" customFormat="1">
      <c r="A41" s="720"/>
      <c r="B41" s="608" t="s">
        <v>1854</v>
      </c>
      <c r="C41" s="590">
        <f>ROUND(D5*C22*C23*C44*C28*F41,0)</f>
        <v>3112</v>
      </c>
      <c r="D41" s="701"/>
      <c r="E41" s="590">
        <f t="shared" si="4"/>
        <v>0</v>
      </c>
      <c r="F41" s="700">
        <f>SUMIF(修正!A57:A68,G2,修正!F57:F68)</f>
        <v>0.25</v>
      </c>
      <c r="G41" s="590">
        <f>ROUND(IF(E2="工业",C41*$M$42,C41*$M$41),0)</f>
        <v>778</v>
      </c>
      <c r="H41" s="590">
        <f t="shared" si="5"/>
        <v>0</v>
      </c>
      <c r="I41" s="590">
        <f t="shared" si="6"/>
        <v>0</v>
      </c>
      <c r="J41" s="840"/>
      <c r="L41" s="843" t="s">
        <v>1855</v>
      </c>
      <c r="M41" s="844">
        <v>0.25</v>
      </c>
      <c r="Z41" s="723"/>
      <c r="AA41" s="723"/>
      <c r="AB41" s="723"/>
      <c r="AC41" s="723"/>
      <c r="AD41" s="723"/>
      <c r="AE41" s="723"/>
      <c r="AF41" s="723"/>
      <c r="AG41" s="723"/>
      <c r="AH41" s="723"/>
      <c r="AI41" s="723"/>
      <c r="AJ41" s="723"/>
    </row>
    <row r="42" spans="1:37" s="547" customFormat="1">
      <c r="A42" s="705"/>
      <c r="B42" s="721" t="s">
        <v>1856</v>
      </c>
      <c r="C42" s="643">
        <f>ROUND(D5*C22*C23*C44*C28*F42,0)</f>
        <v>1867</v>
      </c>
      <c r="D42" s="707">
        <f>'数据-汇总表'!G20</f>
        <v>18997.900000000001</v>
      </c>
      <c r="E42" s="643">
        <f t="shared" si="4"/>
        <v>3547</v>
      </c>
      <c r="F42" s="722">
        <f>SUMIF(修正!A57:A68,G2,修正!G57:G68)</f>
        <v>0.15</v>
      </c>
      <c r="G42" s="643">
        <f>ROUND(IF(E2="工业",C42*$M$42,C42*$M$41),0)</f>
        <v>467</v>
      </c>
      <c r="H42" s="643">
        <f t="shared" si="5"/>
        <v>18997.900000000001</v>
      </c>
      <c r="I42" s="643">
        <f t="shared" si="6"/>
        <v>887</v>
      </c>
      <c r="J42" s="845"/>
      <c r="L42" s="846" t="s">
        <v>1832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1857</v>
      </c>
      <c r="C44" s="554">
        <f>ROUND(POWER(1+E44,H44-G44)*(POWER(1+E44,G44)-1)/(POWER(1+E44,H44)-1),4)</f>
        <v>0.92169999999999996</v>
      </c>
      <c r="D44" s="590" t="s">
        <v>1806</v>
      </c>
      <c r="E44" s="725">
        <f>G24</f>
        <v>0.05</v>
      </c>
      <c r="F44" s="590" t="s">
        <v>1807</v>
      </c>
      <c r="G44" s="726">
        <f>I24</f>
        <v>37.729999999999997</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1860</v>
      </c>
      <c r="B49" s="739" t="s">
        <v>1861</v>
      </c>
      <c r="C49" s="739" t="s">
        <v>1862</v>
      </c>
      <c r="D49" s="739" t="s">
        <v>1863</v>
      </c>
      <c r="E49" s="740" t="s">
        <v>1864</v>
      </c>
      <c r="F49" s="741" t="s">
        <v>1865</v>
      </c>
      <c r="G49" s="739" t="s">
        <v>1683</v>
      </c>
      <c r="H49" s="742" t="s">
        <v>1866</v>
      </c>
      <c r="I49" s="739" t="s">
        <v>1867</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1870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1871</v>
      </c>
      <c r="B53" s="752" t="s">
        <v>1872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1874</v>
      </c>
      <c r="B55" s="753" t="s">
        <v>1875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1860</v>
      </c>
      <c r="B60" s="739"/>
      <c r="C60" s="739" t="s">
        <v>1862</v>
      </c>
      <c r="D60" s="739" t="s">
        <v>1863</v>
      </c>
      <c r="E60" s="740" t="s">
        <v>1864</v>
      </c>
      <c r="F60" s="741" t="s">
        <v>1880</v>
      </c>
      <c r="G60" s="739" t="s">
        <v>1683</v>
      </c>
      <c r="H60" s="742" t="s">
        <v>1866</v>
      </c>
      <c r="I60" s="739" t="s">
        <v>1867</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1870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1871</v>
      </c>
      <c r="B64" s="752" t="s">
        <v>1872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1874</v>
      </c>
      <c r="B66" s="753" t="s">
        <v>1875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1860</v>
      </c>
      <c r="B71" s="739"/>
      <c r="C71" s="739" t="s">
        <v>1862</v>
      </c>
      <c r="D71" s="739" t="s">
        <v>1863</v>
      </c>
      <c r="E71" s="740" t="s">
        <v>1864</v>
      </c>
      <c r="F71" s="741" t="s">
        <v>1880</v>
      </c>
      <c r="G71" s="739" t="s">
        <v>1683</v>
      </c>
      <c r="H71" s="742" t="s">
        <v>1866</v>
      </c>
      <c r="I71" s="739" t="s">
        <v>1867</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1870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1874</v>
      </c>
      <c r="B78" s="753" t="s">
        <v>1875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1886</v>
      </c>
      <c r="B81" s="733">
        <f>1+E83</f>
        <v>1</v>
      </c>
      <c r="C81" s="735"/>
      <c r="D81" s="735"/>
      <c r="E81" s="736"/>
      <c r="F81" s="737"/>
      <c r="G81" s="731"/>
      <c r="H81" s="731"/>
      <c r="I81" s="731"/>
      <c r="J81" s="730"/>
      <c r="K81" s="730"/>
      <c r="L81" s="730"/>
      <c r="M81" s="730"/>
      <c r="N81" s="730"/>
      <c r="Z81" s="551"/>
      <c r="AA81" s="549"/>
      <c r="AG81" s="553"/>
      <c r="AK81" s="549"/>
    </row>
    <row r="82" spans="1:37" ht="24.75">
      <c r="A82" s="738" t="s">
        <v>1860</v>
      </c>
      <c r="B82" s="739"/>
      <c r="C82" s="739" t="s">
        <v>1862</v>
      </c>
      <c r="D82" s="739" t="s">
        <v>1863</v>
      </c>
      <c r="E82" s="740" t="s">
        <v>1864</v>
      </c>
      <c r="F82" s="741" t="s">
        <v>1880</v>
      </c>
      <c r="G82" s="739" t="s">
        <v>1683</v>
      </c>
      <c r="H82" s="742" t="s">
        <v>1866</v>
      </c>
      <c r="I82" s="739" t="s">
        <v>1867</v>
      </c>
      <c r="J82" s="849" t="s">
        <v>1546</v>
      </c>
      <c r="K82" s="849" t="s">
        <v>1547</v>
      </c>
      <c r="L82" s="849" t="s">
        <v>1548</v>
      </c>
      <c r="M82" s="849" t="s">
        <v>1549</v>
      </c>
      <c r="N82" s="849" t="s">
        <v>1550</v>
      </c>
      <c r="Z82" s="551"/>
      <c r="AA82" s="549"/>
      <c r="AG82" s="553"/>
      <c r="AK82" s="549"/>
    </row>
    <row r="83" spans="1:37" ht="38.25">
      <c r="A83" s="738" t="s">
        <v>1887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1870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1874</v>
      </c>
      <c r="B89" s="753" t="s">
        <v>1888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1860</v>
      </c>
      <c r="B92" s="894"/>
      <c r="C92" s="894" t="s">
        <v>1862</v>
      </c>
      <c r="D92" s="894" t="s">
        <v>1863</v>
      </c>
      <c r="E92" s="863" t="s">
        <v>1864</v>
      </c>
      <c r="F92" s="895" t="s">
        <v>1880</v>
      </c>
      <c r="G92" s="894" t="s">
        <v>1683</v>
      </c>
      <c r="H92" s="896" t="s">
        <v>1866</v>
      </c>
      <c r="I92" s="894" t="s">
        <v>1867</v>
      </c>
      <c r="J92" s="929" t="s">
        <v>1546</v>
      </c>
      <c r="K92" s="929" t="s">
        <v>1547</v>
      </c>
      <c r="L92" s="929" t="s">
        <v>1548</v>
      </c>
      <c r="M92" s="929" t="s">
        <v>1549</v>
      </c>
      <c r="N92" s="929" t="s">
        <v>1550</v>
      </c>
    </row>
    <row r="93" spans="1:37" ht="24">
      <c r="A93" s="751" t="s">
        <v>1890</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1869</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1870</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1871</v>
      </c>
      <c r="B96" s="902" t="s">
        <v>1872</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1873</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1874</v>
      </c>
      <c r="B98" s="903" t="s">
        <v>1875</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1876</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1877</v>
      </c>
      <c r="B100" s="900" t="str">
        <f>估价对象房地状况!C22</f>
        <v>估价对象所在区域基础设施水平</v>
      </c>
      <c r="C100" s="614" t="s">
        <v>1891</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1878</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48" t="s">
        <v>1892</v>
      </c>
      <c r="B103" s="3748"/>
      <c r="C103" s="3748"/>
      <c r="D103" s="3748"/>
      <c r="E103" s="3748"/>
      <c r="F103" s="3748"/>
      <c r="G103" s="3748"/>
      <c r="H103" s="3748"/>
      <c r="I103" s="3748"/>
      <c r="J103" s="3748"/>
      <c r="K103" s="907"/>
      <c r="L103" s="907"/>
      <c r="M103" s="907"/>
      <c r="N103" s="907"/>
    </row>
    <row r="104" spans="1:14">
      <c r="A104" s="3754" t="s">
        <v>1893</v>
      </c>
      <c r="B104" s="3754" t="s">
        <v>1894</v>
      </c>
      <c r="C104" s="909" t="s">
        <v>1895</v>
      </c>
      <c r="D104" s="910"/>
      <c r="E104" s="910"/>
      <c r="F104" s="910"/>
      <c r="G104" s="910"/>
      <c r="H104" s="910"/>
      <c r="I104" s="910"/>
      <c r="J104" s="930"/>
      <c r="K104" s="931"/>
      <c r="L104" s="931"/>
      <c r="M104" s="931"/>
      <c r="N104" s="931"/>
    </row>
    <row r="105" spans="1:14">
      <c r="A105" s="3754"/>
      <c r="B105" s="3754"/>
      <c r="C105" s="908" t="s">
        <v>1742</v>
      </c>
      <c r="D105" s="908" t="s">
        <v>1743</v>
      </c>
      <c r="E105" s="908" t="s">
        <v>1744</v>
      </c>
      <c r="F105" s="908" t="s">
        <v>1745</v>
      </c>
      <c r="G105" s="908" t="s">
        <v>1746</v>
      </c>
      <c r="H105" s="908" t="s">
        <v>1747</v>
      </c>
      <c r="I105" s="908" t="s">
        <v>1748</v>
      </c>
      <c r="J105" s="908" t="s">
        <v>1749</v>
      </c>
      <c r="K105" s="908" t="s">
        <v>1750</v>
      </c>
      <c r="L105" s="908" t="s">
        <v>1751</v>
      </c>
      <c r="M105" s="908" t="s">
        <v>1752</v>
      </c>
      <c r="N105" s="908" t="s">
        <v>1753</v>
      </c>
    </row>
    <row r="106" spans="1:14">
      <c r="A106" s="3755" t="s">
        <v>1896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6"/>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6"/>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6"/>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6"/>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6"/>
      <c r="B111" s="908" t="s">
        <v>1758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7"/>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49" t="s">
        <v>1897</v>
      </c>
      <c r="B113" s="3749"/>
      <c r="C113" s="3749"/>
      <c r="D113" s="3749"/>
      <c r="E113" s="3749"/>
      <c r="F113" s="3749"/>
      <c r="G113" s="3749"/>
      <c r="H113" s="3749"/>
      <c r="I113" s="3749"/>
      <c r="J113" s="3749"/>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1898</v>
      </c>
      <c r="B116" s="915">
        <f>G3</f>
        <v>5.72</v>
      </c>
      <c r="C116" s="916" t="s">
        <v>1899</v>
      </c>
      <c r="D116" s="917">
        <f>SUMPRODUCT((A118:A122=F116)*(B117:M117=H116)*B118:M122)</f>
        <v>0.81830000000000003</v>
      </c>
      <c r="E116" s="557" t="s">
        <v>1716</v>
      </c>
      <c r="F116" s="918" t="str">
        <f>E2</f>
        <v>公共服务</v>
      </c>
      <c r="G116" s="557" t="s">
        <v>1717</v>
      </c>
      <c r="H116" s="918" t="str">
        <f>G2</f>
        <v>三级</v>
      </c>
      <c r="I116" s="557"/>
      <c r="J116" s="932"/>
      <c r="K116" s="932"/>
      <c r="L116" s="932"/>
      <c r="M116" s="932"/>
      <c r="N116" s="913"/>
    </row>
    <row r="117" spans="1:14">
      <c r="A117" s="919"/>
      <c r="B117" s="920" t="s">
        <v>1900</v>
      </c>
      <c r="C117" s="920" t="s">
        <v>1901</v>
      </c>
      <c r="D117" s="920" t="s">
        <v>1902</v>
      </c>
      <c r="E117" s="921" t="s">
        <v>1903</v>
      </c>
      <c r="F117" s="921" t="s">
        <v>1904</v>
      </c>
      <c r="G117" s="921" t="s">
        <v>1905</v>
      </c>
      <c r="H117" s="922" t="s">
        <v>1906</v>
      </c>
      <c r="I117" s="922" t="s">
        <v>1907</v>
      </c>
      <c r="J117" s="933" t="s">
        <v>1908</v>
      </c>
      <c r="K117" s="933" t="s">
        <v>1909</v>
      </c>
      <c r="L117" s="933" t="s">
        <v>1910</v>
      </c>
      <c r="M117" s="934" t="s">
        <v>1911</v>
      </c>
      <c r="N117" s="913"/>
    </row>
    <row r="118" spans="1:14">
      <c r="A118" s="923" t="s">
        <v>1829</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1830</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1831</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1832</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1912</v>
      </c>
      <c r="B1" t="s">
        <v>1913</v>
      </c>
      <c r="C1" t="s">
        <v>1914</v>
      </c>
      <c r="D1" t="s">
        <v>1915</v>
      </c>
      <c r="E1" t="s">
        <v>1916</v>
      </c>
      <c r="F1" t="s">
        <v>1917</v>
      </c>
      <c r="G1" t="s">
        <v>1918</v>
      </c>
    </row>
    <row r="2" spans="1:14">
      <c r="A2" t="s">
        <v>1919</v>
      </c>
      <c r="B2" s="3759" t="s">
        <v>1920</v>
      </c>
      <c r="C2">
        <v>3363.39</v>
      </c>
      <c r="D2" s="3760">
        <v>44501</v>
      </c>
      <c r="E2" s="3760">
        <v>46517</v>
      </c>
      <c r="F2" s="544">
        <v>5226626.07</v>
      </c>
      <c r="G2">
        <v>3.48</v>
      </c>
      <c r="H2">
        <v>3.48</v>
      </c>
      <c r="I2">
        <v>3.48</v>
      </c>
      <c r="J2">
        <v>3.48</v>
      </c>
      <c r="K2">
        <v>3.48</v>
      </c>
      <c r="L2">
        <v>3.69</v>
      </c>
      <c r="M2">
        <v>3.69</v>
      </c>
      <c r="N2">
        <v>3.69</v>
      </c>
    </row>
    <row r="3" spans="1:14">
      <c r="A3" t="s">
        <v>1921</v>
      </c>
      <c r="B3" s="3759"/>
      <c r="C3">
        <v>4496.3500000000004</v>
      </c>
      <c r="D3" s="3760"/>
      <c r="E3" s="3760"/>
      <c r="F3" s="544"/>
      <c r="G3">
        <v>8.1199999999999992</v>
      </c>
      <c r="H3">
        <v>8.1199999999999992</v>
      </c>
      <c r="I3">
        <v>8.1199999999999992</v>
      </c>
      <c r="J3">
        <v>8.1199999999999992</v>
      </c>
      <c r="K3">
        <v>8.1199999999999992</v>
      </c>
      <c r="L3">
        <v>8.61</v>
      </c>
      <c r="M3">
        <v>8.61</v>
      </c>
      <c r="N3">
        <v>8.61</v>
      </c>
    </row>
    <row r="4" spans="1:14">
      <c r="A4" t="s">
        <v>1922</v>
      </c>
      <c r="B4" t="s">
        <v>1923</v>
      </c>
      <c r="C4">
        <v>3211.71</v>
      </c>
      <c r="D4" s="3760">
        <v>44531</v>
      </c>
      <c r="E4" s="3760">
        <v>46517</v>
      </c>
      <c r="F4">
        <v>8966722.5</v>
      </c>
      <c r="G4">
        <v>8.1199999999999992</v>
      </c>
    </row>
    <row r="5" spans="1:14">
      <c r="A5" t="s">
        <v>1924</v>
      </c>
      <c r="C5">
        <v>6676.94</v>
      </c>
      <c r="D5" s="3760"/>
      <c r="E5" s="3760"/>
      <c r="G5">
        <v>9.11</v>
      </c>
    </row>
    <row r="6" spans="1:14">
      <c r="A6" t="s">
        <v>1925</v>
      </c>
      <c r="B6" t="s">
        <v>1926</v>
      </c>
      <c r="C6">
        <v>38318</v>
      </c>
      <c r="D6" s="545">
        <v>44501</v>
      </c>
      <c r="E6" s="545">
        <v>46517</v>
      </c>
      <c r="F6">
        <v>32417028</v>
      </c>
      <c r="G6">
        <v>8.1199999999999992</v>
      </c>
    </row>
    <row r="7" spans="1:14">
      <c r="A7" t="s">
        <v>1927</v>
      </c>
      <c r="B7" t="s">
        <v>1928</v>
      </c>
      <c r="C7">
        <v>20205.21</v>
      </c>
      <c r="D7" s="545">
        <v>44501</v>
      </c>
      <c r="E7" s="545">
        <v>46517</v>
      </c>
      <c r="F7">
        <v>17093607.66</v>
      </c>
      <c r="G7">
        <v>8.1199999999999992</v>
      </c>
    </row>
    <row r="8" spans="1:14">
      <c r="A8" t="s">
        <v>1929</v>
      </c>
      <c r="B8" t="s">
        <v>1923</v>
      </c>
      <c r="C8">
        <v>19934.669999999998</v>
      </c>
      <c r="D8" s="545">
        <v>44501</v>
      </c>
      <c r="E8" s="545">
        <v>46517</v>
      </c>
      <c r="F8">
        <v>16864730.82</v>
      </c>
      <c r="G8">
        <v>8.1199999999999992</v>
      </c>
    </row>
  </sheetData>
  <mergeCells count="5">
    <mergeCell ref="B2:B3"/>
    <mergeCell ref="D2:D3"/>
    <mergeCell ref="D4:D5"/>
    <mergeCell ref="E2:E3"/>
    <mergeCell ref="E4:E5"/>
  </mergeCells>
  <phoneticPr fontId="232"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401"/>
      <c r="B4" s="3455" t="s">
        <v>95</v>
      </c>
      <c r="C4" s="3455"/>
      <c r="D4" s="3455"/>
      <c r="E4" s="3401"/>
    </row>
    <row r="5" spans="1:5" ht="15.75">
      <c r="A5" s="3400"/>
      <c r="B5" s="3456" t="s">
        <v>96</v>
      </c>
      <c r="C5" s="3402" t="s">
        <v>97</v>
      </c>
      <c r="D5" s="3403">
        <f ca="1">结果表!H101</f>
        <v>368573</v>
      </c>
      <c r="E5" s="3400"/>
    </row>
    <row r="6" spans="1:5" ht="15.75">
      <c r="A6" s="3400"/>
      <c r="B6" s="3456"/>
      <c r="C6" s="3402" t="s">
        <v>98</v>
      </c>
      <c r="D6" s="3403" t="str">
        <f ca="1">NUMBERSTRING(INT(D5*10000),2)&amp;"元整"</f>
        <v>叁拾陆亿捌仟伍佰柒拾叁万元整</v>
      </c>
      <c r="E6" s="3400"/>
    </row>
    <row r="7" spans="1:5" ht="15.75">
      <c r="A7" s="3400"/>
      <c r="B7" s="3457"/>
      <c r="C7" s="3404" t="s">
        <v>99</v>
      </c>
      <c r="D7" s="3405">
        <f ca="1">结果表!H102</f>
        <v>30659</v>
      </c>
      <c r="E7" s="3400"/>
    </row>
    <row r="8" spans="1:5" ht="15.75">
      <c r="A8" s="3400"/>
      <c r="B8" s="3458" t="str">
        <f>结果表!E103</f>
        <v>2.估价师知悉的法定优先受偿款</v>
      </c>
      <c r="C8" s="3406" t="s">
        <v>100</v>
      </c>
      <c r="D8" s="3405">
        <f>结果表!H103</f>
        <v>0</v>
      </c>
      <c r="E8" s="3400"/>
    </row>
    <row r="9" spans="1:5" ht="15.75">
      <c r="A9" s="3400"/>
      <c r="B9" s="345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0" t="str">
        <f>结果表!E107</f>
        <v>3.房地产抵押价值</v>
      </c>
      <c r="C13" s="3410" t="s">
        <v>97</v>
      </c>
      <c r="D13" s="3411">
        <f ca="1">结果表!H107</f>
        <v>368573</v>
      </c>
      <c r="E13" s="3400"/>
    </row>
    <row r="14" spans="1:5" ht="15.75">
      <c r="A14" s="3400"/>
      <c r="B14" s="3456"/>
      <c r="C14" s="3402" t="s">
        <v>98</v>
      </c>
      <c r="D14" s="3403" t="str">
        <f ca="1">NUMBERSTRING(INT(D13*10000),2)&amp;"元整"</f>
        <v>叁拾陆亿捌仟伍佰柒拾叁万元整</v>
      </c>
      <c r="E14" s="3400"/>
    </row>
    <row r="15" spans="1:5" ht="15">
      <c r="A15" s="3400"/>
      <c r="B15" s="3457"/>
      <c r="C15" s="3404" t="s">
        <v>99</v>
      </c>
      <c r="D15" s="3412">
        <f ca="1">结果表!H108</f>
        <v>30659</v>
      </c>
      <c r="E15" s="3400"/>
    </row>
    <row r="16" spans="1:5" ht="15">
      <c r="A16" s="3400"/>
      <c r="B16" s="3458" t="str">
        <f>结果表!E109</f>
        <v>——</v>
      </c>
      <c r="C16" s="3410" t="s">
        <v>97</v>
      </c>
      <c r="D16" s="3413" t="str">
        <f>结果表!H109</f>
        <v>——</v>
      </c>
      <c r="E16" s="3400"/>
    </row>
    <row r="17" spans="1:5" ht="15.75">
      <c r="A17" s="3400"/>
      <c r="B17" s="3461"/>
      <c r="C17" s="3402" t="s">
        <v>98</v>
      </c>
      <c r="D17" s="3403" t="e">
        <f>NUMBERSTRING(INT(D16*10000),2)&amp;"元整"</f>
        <v>#VALUE!</v>
      </c>
      <c r="E17" s="3400"/>
    </row>
    <row r="18" spans="1:5" ht="15">
      <c r="A18" s="3400"/>
      <c r="B18" s="3459"/>
      <c r="C18" s="3404" t="s">
        <v>99</v>
      </c>
      <c r="D18" s="3412" t="str">
        <f>结果表!H110</f>
        <v>——</v>
      </c>
      <c r="E18" s="3400"/>
    </row>
    <row r="19" spans="1:5" ht="15.75">
      <c r="A19" s="3400"/>
      <c r="B19" s="3460" t="str">
        <f>结果表!E111</f>
        <v>——</v>
      </c>
      <c r="C19" s="3410" t="s">
        <v>97</v>
      </c>
      <c r="D19" s="3405" t="str">
        <f>结果表!H111</f>
        <v>——</v>
      </c>
      <c r="E19" s="3400"/>
    </row>
    <row r="20" spans="1:5" ht="15.75">
      <c r="A20" s="3400"/>
      <c r="B20" s="3456"/>
      <c r="C20" s="3402" t="s">
        <v>98</v>
      </c>
      <c r="D20" s="3403" t="e">
        <f>NUMBERSTRING(INT(D19*10000),2)&amp;"元整"</f>
        <v>#VALUE!</v>
      </c>
      <c r="E20" s="3400"/>
    </row>
    <row r="21" spans="1:5" ht="1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1930</v>
      </c>
      <c r="B1" s="540" t="s">
        <v>763</v>
      </c>
      <c r="C1" s="540" t="s">
        <v>1931</v>
      </c>
      <c r="D1" s="540" t="s">
        <v>1932</v>
      </c>
      <c r="E1" s="540" t="s">
        <v>1933</v>
      </c>
      <c r="F1" s="540" t="s">
        <v>1934</v>
      </c>
      <c r="G1" s="540" t="s">
        <v>405</v>
      </c>
      <c r="H1" s="540" t="s">
        <v>1935</v>
      </c>
      <c r="I1" s="540" t="s">
        <v>1936</v>
      </c>
      <c r="J1" s="540" t="s">
        <v>1937</v>
      </c>
      <c r="K1" s="540" t="s">
        <v>1938</v>
      </c>
      <c r="L1" s="540" t="s">
        <v>1939</v>
      </c>
      <c r="M1" s="540" t="s">
        <v>1940</v>
      </c>
      <c r="N1" s="540" t="s">
        <v>1941</v>
      </c>
      <c r="O1" s="540" t="s">
        <v>1942</v>
      </c>
      <c r="P1" s="540" t="s">
        <v>1943</v>
      </c>
      <c r="Q1" s="540" t="s">
        <v>1944</v>
      </c>
      <c r="R1" s="540" t="s">
        <v>1945</v>
      </c>
      <c r="S1" s="540" t="s">
        <v>1946</v>
      </c>
      <c r="T1" s="540" t="s">
        <v>1947</v>
      </c>
      <c r="U1" s="540" t="s">
        <v>1948</v>
      </c>
      <c r="V1" s="540" t="s">
        <v>1949</v>
      </c>
      <c r="W1" s="540" t="s">
        <v>1950</v>
      </c>
    </row>
    <row r="2" spans="1:24" s="538" customFormat="1">
      <c r="A2">
        <v>8</v>
      </c>
      <c r="B2" t="s">
        <v>1951</v>
      </c>
      <c r="C2" t="s">
        <v>1952</v>
      </c>
      <c r="D2" t="s">
        <v>1953</v>
      </c>
      <c r="E2" t="s">
        <v>1954</v>
      </c>
      <c r="F2" t="s">
        <v>1955</v>
      </c>
      <c r="G2" t="s">
        <v>1956</v>
      </c>
      <c r="H2"/>
      <c r="I2">
        <v>25834.13</v>
      </c>
      <c r="J2">
        <v>25834.13</v>
      </c>
      <c r="K2"/>
      <c r="L2">
        <v>78491</v>
      </c>
      <c r="M2">
        <v>30383</v>
      </c>
      <c r="N2">
        <v>30383</v>
      </c>
      <c r="O2" t="s">
        <v>1957</v>
      </c>
      <c r="P2" s="542">
        <v>44257</v>
      </c>
      <c r="Q2" t="s">
        <v>1958</v>
      </c>
      <c r="R2" t="s">
        <v>1959</v>
      </c>
      <c r="S2"/>
      <c r="T2"/>
      <c r="U2"/>
      <c r="V2"/>
      <c r="W2"/>
      <c r="X2"/>
    </row>
    <row r="3" spans="1:24" s="538" customFormat="1">
      <c r="A3">
        <v>9</v>
      </c>
      <c r="B3" t="s">
        <v>1960</v>
      </c>
      <c r="C3" t="s">
        <v>1952</v>
      </c>
      <c r="D3" t="s">
        <v>1953</v>
      </c>
      <c r="E3" t="s">
        <v>1954</v>
      </c>
      <c r="F3" t="s">
        <v>1955</v>
      </c>
      <c r="G3" t="s">
        <v>1956</v>
      </c>
      <c r="H3"/>
      <c r="I3">
        <v>12857.96</v>
      </c>
      <c r="J3">
        <v>12857.96</v>
      </c>
      <c r="K3"/>
      <c r="L3">
        <v>39210</v>
      </c>
      <c r="M3">
        <v>30495</v>
      </c>
      <c r="N3">
        <v>30495</v>
      </c>
      <c r="O3" t="s">
        <v>1957</v>
      </c>
      <c r="P3" s="542">
        <v>44257</v>
      </c>
      <c r="Q3" t="s">
        <v>1958</v>
      </c>
      <c r="R3" t="s">
        <v>1959</v>
      </c>
      <c r="S3"/>
      <c r="T3"/>
      <c r="U3"/>
      <c r="V3"/>
      <c r="W3"/>
      <c r="X3"/>
    </row>
    <row r="4" spans="1:24" s="538" customFormat="1">
      <c r="A4">
        <v>10</v>
      </c>
      <c r="B4" t="s">
        <v>1961</v>
      </c>
      <c r="C4" t="s">
        <v>1952</v>
      </c>
      <c r="D4" t="s">
        <v>1953</v>
      </c>
      <c r="E4" t="s">
        <v>1954</v>
      </c>
      <c r="F4" t="s">
        <v>1955</v>
      </c>
      <c r="G4" t="s">
        <v>1956</v>
      </c>
      <c r="H4"/>
      <c r="I4">
        <v>12955.85</v>
      </c>
      <c r="J4">
        <v>12955.85</v>
      </c>
      <c r="K4"/>
      <c r="L4">
        <v>38868</v>
      </c>
      <c r="M4">
        <v>30000</v>
      </c>
      <c r="N4">
        <v>30000</v>
      </c>
      <c r="O4" t="s">
        <v>1957</v>
      </c>
      <c r="P4" s="542">
        <v>44161</v>
      </c>
      <c r="Q4" t="s">
        <v>1958</v>
      </c>
      <c r="R4" t="s">
        <v>1959</v>
      </c>
      <c r="S4"/>
      <c r="T4"/>
      <c r="U4"/>
      <c r="V4"/>
      <c r="W4"/>
      <c r="X4"/>
    </row>
    <row r="5" spans="1:24" s="539" customFormat="1">
      <c r="A5" s="541">
        <v>15</v>
      </c>
      <c r="B5" s="541" t="s">
        <v>1962</v>
      </c>
      <c r="C5" s="541" t="s">
        <v>1963</v>
      </c>
      <c r="D5" s="541" t="s">
        <v>1953</v>
      </c>
      <c r="E5" s="541" t="s">
        <v>1954</v>
      </c>
      <c r="F5" s="541" t="s">
        <v>1955</v>
      </c>
      <c r="G5" s="541" t="s">
        <v>1964</v>
      </c>
      <c r="H5" s="541"/>
      <c r="I5" s="541">
        <v>66987.539999999994</v>
      </c>
      <c r="J5" s="541">
        <v>66987.539999999994</v>
      </c>
      <c r="K5" s="541"/>
      <c r="L5" s="541">
        <v>267950</v>
      </c>
      <c r="M5" s="541">
        <v>40000</v>
      </c>
      <c r="N5" s="541">
        <v>40000</v>
      </c>
      <c r="O5" s="541" t="s">
        <v>124</v>
      </c>
      <c r="P5" s="543">
        <v>44161</v>
      </c>
      <c r="Q5" s="541" t="s">
        <v>1965</v>
      </c>
      <c r="R5" s="541" t="s">
        <v>1966</v>
      </c>
      <c r="S5" s="541"/>
      <c r="T5" s="541"/>
      <c r="U5" s="541"/>
      <c r="V5" s="541"/>
      <c r="W5" s="541"/>
      <c r="X5" s="541"/>
    </row>
    <row r="6" spans="1:24" s="539" customFormat="1" ht="48.95" customHeight="1">
      <c r="A6" s="541">
        <v>67</v>
      </c>
      <c r="B6" s="541" t="s">
        <v>1967</v>
      </c>
      <c r="C6" s="541" t="s">
        <v>1968</v>
      </c>
      <c r="D6" s="541" t="s">
        <v>1969</v>
      </c>
      <c r="E6" s="541" t="s">
        <v>1970</v>
      </c>
      <c r="F6" s="541" t="s">
        <v>1971</v>
      </c>
      <c r="G6" s="541" t="s">
        <v>1972</v>
      </c>
      <c r="H6" s="541"/>
      <c r="I6" s="541">
        <v>11235.4</v>
      </c>
      <c r="J6" s="541">
        <v>11235.4</v>
      </c>
      <c r="K6" s="541"/>
      <c r="L6" s="541">
        <v>42694.52</v>
      </c>
      <c r="M6" s="541">
        <v>38000</v>
      </c>
      <c r="N6" s="541">
        <v>38000</v>
      </c>
      <c r="O6" s="541" t="s">
        <v>1973</v>
      </c>
      <c r="P6" s="543">
        <v>44531</v>
      </c>
      <c r="Q6" s="541" t="s">
        <v>1974</v>
      </c>
      <c r="R6" s="541" t="s">
        <v>1975</v>
      </c>
      <c r="S6" s="541"/>
      <c r="T6" s="541">
        <v>0</v>
      </c>
      <c r="U6" s="541"/>
      <c r="V6" s="541" t="e">
        <v>#DIV/0!</v>
      </c>
      <c r="W6" s="541"/>
      <c r="X6" s="541"/>
    </row>
    <row r="7" spans="1:24" s="539" customFormat="1" ht="71.099999999999994" customHeight="1">
      <c r="A7" s="541">
        <v>93</v>
      </c>
      <c r="B7" s="541" t="s">
        <v>1976</v>
      </c>
      <c r="C7" s="541" t="s">
        <v>1968</v>
      </c>
      <c r="D7" s="541" t="s">
        <v>1969</v>
      </c>
      <c r="E7" s="541" t="s">
        <v>1970</v>
      </c>
      <c r="F7" s="541" t="s">
        <v>1971</v>
      </c>
      <c r="G7" s="541" t="s">
        <v>1972</v>
      </c>
      <c r="H7" s="541"/>
      <c r="I7" s="541">
        <v>11235.4</v>
      </c>
      <c r="J7" s="541">
        <v>11235.4</v>
      </c>
      <c r="K7" s="541"/>
      <c r="L7" s="541">
        <v>43033</v>
      </c>
      <c r="M7" s="541">
        <v>38301</v>
      </c>
      <c r="N7" s="541">
        <v>38301</v>
      </c>
      <c r="O7" s="541" t="s">
        <v>1977</v>
      </c>
      <c r="P7" s="543">
        <v>44531</v>
      </c>
      <c r="Q7" s="541" t="s">
        <v>1974</v>
      </c>
      <c r="R7" s="541" t="s">
        <v>1975</v>
      </c>
      <c r="S7" s="541"/>
      <c r="T7" s="541">
        <v>0</v>
      </c>
      <c r="U7" s="541"/>
      <c r="V7" s="541" t="e">
        <v>#DIV/0!</v>
      </c>
      <c r="W7" s="541"/>
      <c r="X7" s="541"/>
    </row>
  </sheetData>
  <phoneticPr fontId="232"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1978</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1980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1982</v>
      </c>
      <c r="B18" s="499"/>
      <c r="C18" s="500"/>
      <c r="D18" s="500"/>
      <c r="E18" s="499"/>
      <c r="F18" s="500"/>
      <c r="G18" s="500"/>
    </row>
    <row r="19" spans="1:13" ht="19.5" customHeight="1">
      <c r="A19" s="498" t="s">
        <v>1983</v>
      </c>
      <c r="B19" s="501" t="s">
        <v>1984</v>
      </c>
      <c r="C19" s="501" t="s">
        <v>1985</v>
      </c>
      <c r="D19" s="502"/>
      <c r="E19" s="498" t="s">
        <v>1986</v>
      </c>
      <c r="F19" s="503"/>
      <c r="G19" s="503"/>
    </row>
    <row r="20" spans="1:13" ht="19.5" customHeight="1">
      <c r="A20" s="3761" t="s">
        <v>1978</v>
      </c>
      <c r="B20" s="3767" t="s">
        <v>1987</v>
      </c>
      <c r="C20" s="504" t="s">
        <v>1988</v>
      </c>
      <c r="D20" s="505"/>
      <c r="E20" s="506">
        <v>1</v>
      </c>
      <c r="F20" s="507" t="s">
        <v>1989</v>
      </c>
      <c r="G20" s="507"/>
    </row>
    <row r="21" spans="1:13" ht="19.5" customHeight="1">
      <c r="A21" s="3762"/>
      <c r="B21" s="3768"/>
      <c r="C21" s="508" t="s">
        <v>1990</v>
      </c>
      <c r="D21" s="509"/>
      <c r="E21" s="510">
        <v>1</v>
      </c>
      <c r="F21" s="507" t="s">
        <v>1991</v>
      </c>
      <c r="G21" s="507"/>
    </row>
    <row r="22" spans="1:13" ht="19.5" customHeight="1">
      <c r="A22" s="3762"/>
      <c r="B22" s="3768"/>
      <c r="C22" s="508" t="s">
        <v>1992</v>
      </c>
      <c r="D22" s="509"/>
      <c r="E22" s="510">
        <v>0.9</v>
      </c>
      <c r="F22" s="507" t="s">
        <v>1993</v>
      </c>
      <c r="G22" s="507"/>
    </row>
    <row r="23" spans="1:13" ht="19.5" customHeight="1">
      <c r="A23" s="3762"/>
      <c r="B23" s="3768"/>
      <c r="C23" s="508" t="s">
        <v>1994</v>
      </c>
      <c r="D23" s="509"/>
      <c r="E23" s="510">
        <v>0.9</v>
      </c>
      <c r="F23" s="507" t="s">
        <v>1995</v>
      </c>
      <c r="G23" s="507"/>
    </row>
    <row r="24" spans="1:13" ht="19.5" customHeight="1">
      <c r="A24" s="3762"/>
      <c r="B24" s="3768"/>
      <c r="C24" s="508" t="s">
        <v>1996</v>
      </c>
      <c r="D24" s="509"/>
      <c r="E24" s="510">
        <v>0.8</v>
      </c>
      <c r="F24" s="507" t="s">
        <v>1997</v>
      </c>
      <c r="G24" s="507"/>
    </row>
    <row r="25" spans="1:13" ht="19.5" customHeight="1">
      <c r="A25" s="3763"/>
      <c r="B25" s="3769"/>
      <c r="C25" s="511" t="s">
        <v>1998</v>
      </c>
      <c r="D25" s="512"/>
      <c r="E25" s="513">
        <v>0.8</v>
      </c>
      <c r="F25" s="507" t="s">
        <v>1999</v>
      </c>
      <c r="G25" s="507"/>
    </row>
    <row r="26" spans="1:13" ht="19.5" customHeight="1">
      <c r="A26" s="514" t="s">
        <v>606</v>
      </c>
      <c r="B26" s="515" t="s">
        <v>1987</v>
      </c>
      <c r="C26" s="516" t="s">
        <v>2000</v>
      </c>
      <c r="D26" s="517"/>
      <c r="E26" s="518">
        <v>1</v>
      </c>
      <c r="F26" s="507" t="s">
        <v>2001</v>
      </c>
      <c r="G26" s="507"/>
    </row>
    <row r="27" spans="1:13" ht="19.5" customHeight="1">
      <c r="A27" s="3764" t="s">
        <v>280</v>
      </c>
      <c r="B27" s="3767" t="s">
        <v>280</v>
      </c>
      <c r="C27" s="504" t="s">
        <v>2002</v>
      </c>
      <c r="D27" s="505"/>
      <c r="E27" s="506">
        <v>1</v>
      </c>
      <c r="F27" s="507" t="s">
        <v>2003</v>
      </c>
      <c r="G27" s="507"/>
    </row>
    <row r="28" spans="1:13" ht="19.5" customHeight="1">
      <c r="A28" s="3765"/>
      <c r="B28" s="3768"/>
      <c r="C28" s="508" t="s">
        <v>2004</v>
      </c>
      <c r="D28" s="509"/>
      <c r="E28" s="510">
        <v>1</v>
      </c>
      <c r="F28" s="507" t="s">
        <v>2005</v>
      </c>
      <c r="G28" s="507"/>
    </row>
    <row r="29" spans="1:13" ht="19.5" customHeight="1">
      <c r="A29" s="3765"/>
      <c r="B29" s="3768"/>
      <c r="C29" s="508" t="s">
        <v>1721</v>
      </c>
      <c r="D29" s="509"/>
      <c r="E29" s="510">
        <v>0.8</v>
      </c>
      <c r="F29" s="507" t="s">
        <v>2006</v>
      </c>
      <c r="G29" s="507"/>
    </row>
    <row r="30" spans="1:13" ht="19.5" customHeight="1">
      <c r="A30" s="3765"/>
      <c r="B30" s="3768"/>
      <c r="C30" s="508" t="s">
        <v>2007</v>
      </c>
      <c r="D30" s="509"/>
      <c r="E30" s="510">
        <v>0.8</v>
      </c>
      <c r="F30" s="507" t="s">
        <v>2008</v>
      </c>
      <c r="G30" s="507"/>
    </row>
    <row r="31" spans="1:13" ht="19.5" customHeight="1">
      <c r="A31" s="3765"/>
      <c r="B31" s="3768"/>
      <c r="C31" s="508" t="s">
        <v>2009</v>
      </c>
      <c r="D31" s="509"/>
      <c r="E31" s="510">
        <v>0.8</v>
      </c>
      <c r="F31" s="507" t="s">
        <v>2010</v>
      </c>
      <c r="G31" s="507"/>
    </row>
    <row r="32" spans="1:13" ht="19.5" customHeight="1">
      <c r="A32" s="3765"/>
      <c r="B32" s="3768"/>
      <c r="C32" s="508" t="s">
        <v>2011</v>
      </c>
      <c r="D32" s="509"/>
      <c r="E32" s="510">
        <v>0.7</v>
      </c>
      <c r="F32" s="507" t="s">
        <v>2012</v>
      </c>
      <c r="G32" s="507"/>
    </row>
    <row r="33" spans="1:7" ht="19.5" customHeight="1">
      <c r="A33" s="3765"/>
      <c r="B33" s="3768"/>
      <c r="C33" s="508" t="s">
        <v>2013</v>
      </c>
      <c r="D33" s="509"/>
      <c r="E33" s="510">
        <v>0.8</v>
      </c>
      <c r="F33" s="507" t="s">
        <v>2014</v>
      </c>
      <c r="G33" s="507"/>
    </row>
    <row r="34" spans="1:7" ht="19.5" customHeight="1">
      <c r="A34" s="3765"/>
      <c r="B34" s="3768"/>
      <c r="C34" s="508" t="s">
        <v>2015</v>
      </c>
      <c r="D34" s="509"/>
      <c r="E34" s="510">
        <v>0.6</v>
      </c>
      <c r="F34" s="507" t="s">
        <v>2016</v>
      </c>
      <c r="G34" s="507"/>
    </row>
    <row r="35" spans="1:7" ht="19.5" customHeight="1">
      <c r="A35" s="3765"/>
      <c r="B35" s="3768"/>
      <c r="C35" s="508" t="s">
        <v>2017</v>
      </c>
      <c r="D35" s="509"/>
      <c r="E35" s="510">
        <v>0.2</v>
      </c>
      <c r="F35" s="507" t="s">
        <v>2018</v>
      </c>
      <c r="G35" s="507"/>
    </row>
    <row r="36" spans="1:7" ht="19.5" customHeight="1">
      <c r="A36" s="3765"/>
      <c r="B36" s="3768"/>
      <c r="C36" s="508" t="s">
        <v>2019</v>
      </c>
      <c r="D36" s="509"/>
      <c r="E36" s="510">
        <v>0.2</v>
      </c>
      <c r="F36" s="507" t="s">
        <v>2020</v>
      </c>
      <c r="G36" s="507"/>
    </row>
    <row r="37" spans="1:7" ht="19.5" customHeight="1">
      <c r="A37" s="3765"/>
      <c r="B37" s="3770" t="s">
        <v>2021</v>
      </c>
      <c r="C37" s="508" t="s">
        <v>2022</v>
      </c>
      <c r="D37" s="509"/>
      <c r="E37" s="510">
        <v>0.6</v>
      </c>
      <c r="F37" s="507" t="s">
        <v>2023</v>
      </c>
      <c r="G37" s="507"/>
    </row>
    <row r="38" spans="1:7" ht="19.5" customHeight="1">
      <c r="A38" s="3765"/>
      <c r="B38" s="3768"/>
      <c r="C38" s="508" t="s">
        <v>2024</v>
      </c>
      <c r="D38" s="509"/>
      <c r="E38" s="510">
        <v>0.6</v>
      </c>
      <c r="F38" s="507" t="s">
        <v>2025</v>
      </c>
      <c r="G38" s="507"/>
    </row>
    <row r="39" spans="1:7" ht="19.5" customHeight="1">
      <c r="A39" s="3766"/>
      <c r="B39" s="3769"/>
      <c r="C39" s="511" t="s">
        <v>2026</v>
      </c>
      <c r="D39" s="512"/>
      <c r="E39" s="513">
        <v>0.6</v>
      </c>
      <c r="F39" s="507" t="s">
        <v>2027</v>
      </c>
      <c r="G39" s="507"/>
    </row>
    <row r="40" spans="1:7" ht="19.5" customHeight="1">
      <c r="A40" s="514" t="s">
        <v>413</v>
      </c>
      <c r="B40" s="515" t="s">
        <v>413</v>
      </c>
      <c r="C40" s="516" t="s">
        <v>2028</v>
      </c>
      <c r="D40" s="517"/>
      <c r="E40" s="518">
        <v>1</v>
      </c>
      <c r="F40" s="507" t="s">
        <v>2029</v>
      </c>
      <c r="G40" s="507"/>
    </row>
    <row r="41" spans="1:7" ht="19.5" customHeight="1">
      <c r="A41" s="3761" t="s">
        <v>409</v>
      </c>
      <c r="B41" s="3767" t="s">
        <v>2030</v>
      </c>
      <c r="C41" s="504" t="s">
        <v>2031</v>
      </c>
      <c r="D41" s="505"/>
      <c r="E41" s="506">
        <v>1</v>
      </c>
      <c r="F41" s="507" t="s">
        <v>2032</v>
      </c>
      <c r="G41" s="507"/>
    </row>
    <row r="42" spans="1:7" ht="19.5" customHeight="1">
      <c r="A42" s="3762"/>
      <c r="B42" s="3768"/>
      <c r="C42" s="508" t="s">
        <v>2033</v>
      </c>
      <c r="D42" s="509"/>
      <c r="E42" s="510">
        <v>1</v>
      </c>
      <c r="F42" s="507" t="s">
        <v>2034</v>
      </c>
      <c r="G42" s="507"/>
    </row>
    <row r="43" spans="1:7" ht="19.5" customHeight="1">
      <c r="A43" s="3762"/>
      <c r="B43" s="3771"/>
      <c r="C43" s="508" t="s">
        <v>2035</v>
      </c>
      <c r="D43" s="509"/>
      <c r="E43" s="510">
        <v>1.5</v>
      </c>
      <c r="F43" s="507" t="s">
        <v>2036</v>
      </c>
      <c r="G43" s="507"/>
    </row>
    <row r="44" spans="1:7" ht="19.5" customHeight="1">
      <c r="A44" s="3762"/>
      <c r="B44" s="520" t="s">
        <v>280</v>
      </c>
      <c r="C44" s="508" t="s">
        <v>1979</v>
      </c>
      <c r="D44" s="509"/>
      <c r="E44" s="510">
        <v>2</v>
      </c>
      <c r="F44" s="507" t="s">
        <v>2037</v>
      </c>
      <c r="G44" s="507"/>
    </row>
    <row r="45" spans="1:7" ht="19.5" customHeight="1">
      <c r="A45" s="3762"/>
      <c r="B45" s="3770" t="s">
        <v>2038</v>
      </c>
      <c r="C45" s="508" t="s">
        <v>2039</v>
      </c>
      <c r="D45" s="509"/>
      <c r="E45" s="510">
        <v>1</v>
      </c>
      <c r="F45" s="507" t="s">
        <v>2040</v>
      </c>
      <c r="G45" s="507"/>
    </row>
    <row r="46" spans="1:7" ht="19.5" customHeight="1">
      <c r="A46" s="3762"/>
      <c r="B46" s="3768"/>
      <c r="C46" s="508" t="s">
        <v>2041</v>
      </c>
      <c r="D46" s="509"/>
      <c r="E46" s="510">
        <v>1</v>
      </c>
      <c r="F46" s="507" t="s">
        <v>2042</v>
      </c>
      <c r="G46" s="507"/>
    </row>
    <row r="47" spans="1:7" ht="19.5" customHeight="1">
      <c r="A47" s="3762"/>
      <c r="B47" s="3768"/>
      <c r="C47" s="508" t="s">
        <v>2043</v>
      </c>
      <c r="D47" s="509"/>
      <c r="E47" s="510">
        <v>1</v>
      </c>
      <c r="F47" s="507" t="s">
        <v>2044</v>
      </c>
      <c r="G47" s="507"/>
    </row>
    <row r="48" spans="1:7" ht="19.5" customHeight="1">
      <c r="A48" s="3762"/>
      <c r="B48" s="3768"/>
      <c r="C48" s="508" t="s">
        <v>2045</v>
      </c>
      <c r="D48" s="509"/>
      <c r="E48" s="510">
        <v>1</v>
      </c>
      <c r="F48" s="507" t="s">
        <v>2046</v>
      </c>
      <c r="G48" s="507"/>
    </row>
    <row r="49" spans="1:7" ht="19.5" customHeight="1">
      <c r="A49" s="3762"/>
      <c r="B49" s="3768"/>
      <c r="C49" s="508" t="s">
        <v>2047</v>
      </c>
      <c r="D49" s="509"/>
      <c r="E49" s="510">
        <v>1</v>
      </c>
      <c r="F49" s="507" t="s">
        <v>2048</v>
      </c>
      <c r="G49" s="507"/>
    </row>
    <row r="50" spans="1:7" ht="19.5" customHeight="1">
      <c r="A50" s="3762"/>
      <c r="B50" s="3768"/>
      <c r="C50" s="508" t="s">
        <v>2049</v>
      </c>
      <c r="D50" s="509"/>
      <c r="E50" s="510">
        <v>1</v>
      </c>
      <c r="F50" s="507" t="s">
        <v>2050</v>
      </c>
      <c r="G50" s="507"/>
    </row>
    <row r="51" spans="1:7" ht="19.5" customHeight="1">
      <c r="A51" s="3763"/>
      <c r="B51" s="3769"/>
      <c r="C51" s="511" t="s">
        <v>2051</v>
      </c>
      <c r="D51" s="512"/>
      <c r="E51" s="513">
        <v>1</v>
      </c>
      <c r="F51" s="507" t="s">
        <v>2052</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2053</v>
      </c>
      <c r="G54" s="498" t="s">
        <v>543</v>
      </c>
    </row>
    <row r="55" spans="1:7" ht="19.5" customHeight="1">
      <c r="A55" s="523"/>
      <c r="B55" s="498" t="s">
        <v>1978</v>
      </c>
      <c r="C55" s="498" t="s">
        <v>1978</v>
      </c>
      <c r="D55" s="498" t="s">
        <v>1978</v>
      </c>
      <c r="E55" s="496" t="s">
        <v>606</v>
      </c>
      <c r="F55" s="496" t="s">
        <v>409</v>
      </c>
      <c r="G55" s="496" t="s">
        <v>555</v>
      </c>
    </row>
    <row r="56" spans="1:7" ht="19.5" customHeight="1">
      <c r="A56" s="524"/>
      <c r="B56" s="496">
        <v>1</v>
      </c>
      <c r="C56" s="496">
        <v>2</v>
      </c>
      <c r="D56" s="496">
        <v>3</v>
      </c>
      <c r="E56" s="525" t="s">
        <v>2054</v>
      </c>
      <c r="F56" s="525" t="s">
        <v>2054</v>
      </c>
      <c r="G56" s="525" t="s">
        <v>2054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2055</v>
      </c>
      <c r="E70" s="537"/>
      <c r="F70" s="537"/>
    </row>
    <row r="71" spans="1:7" ht="19.5" customHeight="1">
      <c r="A71" s="520" t="s">
        <v>1930</v>
      </c>
      <c r="B71" s="520" t="s">
        <v>2056</v>
      </c>
      <c r="C71" s="520" t="s">
        <v>2057</v>
      </c>
      <c r="D71" s="520" t="s">
        <v>2058</v>
      </c>
      <c r="E71" s="520" t="s">
        <v>2059</v>
      </c>
      <c r="F71" s="520" t="s">
        <v>2060</v>
      </c>
    </row>
    <row r="72" spans="1:7" ht="13.5">
      <c r="A72" s="520"/>
      <c r="B72" s="520"/>
      <c r="C72" s="520" t="s">
        <v>2061</v>
      </c>
      <c r="D72" s="520"/>
      <c r="E72" s="520" t="s">
        <v>124</v>
      </c>
      <c r="F72" s="520" t="s">
        <v>124</v>
      </c>
    </row>
    <row r="73" spans="1:7" ht="13.5">
      <c r="A73" s="520">
        <v>1</v>
      </c>
      <c r="B73" s="3770" t="s">
        <v>2062</v>
      </c>
      <c r="C73" s="496" t="s">
        <v>2063</v>
      </c>
      <c r="D73" s="496" t="s">
        <v>2064</v>
      </c>
      <c r="E73" s="520">
        <v>0.2</v>
      </c>
      <c r="F73" s="520">
        <v>25</v>
      </c>
    </row>
    <row r="74" spans="1:7" ht="24">
      <c r="A74" s="520">
        <v>2</v>
      </c>
      <c r="B74" s="3768"/>
      <c r="C74" s="496" t="s">
        <v>2065</v>
      </c>
      <c r="D74" s="496" t="s">
        <v>2066</v>
      </c>
      <c r="E74" s="520">
        <v>0.2</v>
      </c>
      <c r="F74" s="520">
        <v>25</v>
      </c>
    </row>
    <row r="75" spans="1:7" ht="24">
      <c r="A75" s="520">
        <v>3</v>
      </c>
      <c r="B75" s="3768"/>
      <c r="C75" s="496" t="s">
        <v>2067</v>
      </c>
      <c r="D75" s="496" t="s">
        <v>2068</v>
      </c>
      <c r="E75" s="520">
        <v>0.2</v>
      </c>
      <c r="F75" s="520">
        <v>25</v>
      </c>
    </row>
    <row r="76" spans="1:7" ht="13.5">
      <c r="A76" s="520">
        <v>4</v>
      </c>
      <c r="B76" s="3768"/>
      <c r="C76" s="496" t="s">
        <v>2069</v>
      </c>
      <c r="D76" s="496" t="s">
        <v>2070</v>
      </c>
      <c r="E76" s="520">
        <v>0.15</v>
      </c>
      <c r="F76" s="520">
        <v>20</v>
      </c>
    </row>
    <row r="77" spans="1:7" ht="24">
      <c r="A77" s="520">
        <v>5</v>
      </c>
      <c r="B77" s="3768"/>
      <c r="C77" s="496" t="s">
        <v>2071</v>
      </c>
      <c r="D77" s="496" t="s">
        <v>2072</v>
      </c>
      <c r="E77" s="520">
        <v>0.15</v>
      </c>
      <c r="F77" s="520">
        <v>20</v>
      </c>
    </row>
    <row r="78" spans="1:7" ht="24">
      <c r="A78" s="520">
        <v>6</v>
      </c>
      <c r="B78" s="3768"/>
      <c r="C78" s="496" t="s">
        <v>2073</v>
      </c>
      <c r="D78" s="496" t="s">
        <v>2074</v>
      </c>
      <c r="E78" s="520">
        <v>0.15</v>
      </c>
      <c r="F78" s="520">
        <v>20</v>
      </c>
    </row>
    <row r="79" spans="1:7" ht="24">
      <c r="A79" s="520">
        <v>7</v>
      </c>
      <c r="B79" s="3768"/>
      <c r="C79" s="496" t="s">
        <v>2075</v>
      </c>
      <c r="D79" s="496" t="s">
        <v>2076</v>
      </c>
      <c r="E79" s="520">
        <v>0.15</v>
      </c>
      <c r="F79" s="520">
        <v>20</v>
      </c>
    </row>
    <row r="80" spans="1:7" ht="24">
      <c r="A80" s="520">
        <v>8</v>
      </c>
      <c r="B80" s="3768"/>
      <c r="C80" s="496" t="s">
        <v>2077</v>
      </c>
      <c r="D80" s="496" t="s">
        <v>2078</v>
      </c>
      <c r="E80" s="520">
        <v>0.1</v>
      </c>
      <c r="F80" s="520">
        <v>15</v>
      </c>
    </row>
    <row r="81" spans="1:6" ht="24">
      <c r="A81" s="520">
        <v>9</v>
      </c>
      <c r="B81" s="3768"/>
      <c r="C81" s="496" t="s">
        <v>2079</v>
      </c>
      <c r="D81" s="496" t="s">
        <v>2080</v>
      </c>
      <c r="E81" s="520">
        <v>0.1</v>
      </c>
      <c r="F81" s="520">
        <v>15</v>
      </c>
    </row>
    <row r="82" spans="1:6" ht="24">
      <c r="A82" s="520">
        <v>10</v>
      </c>
      <c r="B82" s="3768"/>
      <c r="C82" s="496" t="s">
        <v>2081</v>
      </c>
      <c r="D82" s="496" t="s">
        <v>2082</v>
      </c>
      <c r="E82" s="520">
        <v>0.1</v>
      </c>
      <c r="F82" s="520">
        <v>15</v>
      </c>
    </row>
    <row r="83" spans="1:6" ht="24">
      <c r="A83" s="520">
        <v>11</v>
      </c>
      <c r="B83" s="3768"/>
      <c r="C83" s="496" t="s">
        <v>2083</v>
      </c>
      <c r="D83" s="496" t="s">
        <v>2084</v>
      </c>
      <c r="E83" s="520">
        <v>0.1</v>
      </c>
      <c r="F83" s="520">
        <v>15</v>
      </c>
    </row>
    <row r="84" spans="1:6" ht="24">
      <c r="A84" s="520">
        <v>12</v>
      </c>
      <c r="B84" s="3768"/>
      <c r="C84" s="496" t="s">
        <v>2085</v>
      </c>
      <c r="D84" s="496" t="s">
        <v>2086</v>
      </c>
      <c r="E84" s="520">
        <v>0.1</v>
      </c>
      <c r="F84" s="520">
        <v>15</v>
      </c>
    </row>
    <row r="85" spans="1:6" ht="13.5">
      <c r="A85" s="520">
        <v>13</v>
      </c>
      <c r="B85" s="3768"/>
      <c r="C85" s="496" t="s">
        <v>2087</v>
      </c>
      <c r="D85" s="496" t="s">
        <v>2088</v>
      </c>
      <c r="E85" s="520">
        <v>0.1</v>
      </c>
      <c r="F85" s="520">
        <v>15</v>
      </c>
    </row>
    <row r="86" spans="1:6" ht="13.5">
      <c r="A86" s="520">
        <v>14</v>
      </c>
      <c r="B86" s="3768"/>
      <c r="C86" s="496" t="s">
        <v>2089</v>
      </c>
      <c r="D86" s="496" t="s">
        <v>2090</v>
      </c>
      <c r="E86" s="520">
        <v>0.1</v>
      </c>
      <c r="F86" s="520">
        <v>15</v>
      </c>
    </row>
    <row r="87" spans="1:6" ht="13.5">
      <c r="A87" s="520">
        <v>15</v>
      </c>
      <c r="B87" s="3768"/>
      <c r="C87" s="496" t="s">
        <v>2091</v>
      </c>
      <c r="D87" s="496" t="s">
        <v>2092</v>
      </c>
      <c r="E87" s="520">
        <v>0.1</v>
      </c>
      <c r="F87" s="520">
        <v>15</v>
      </c>
    </row>
    <row r="88" spans="1:6" ht="24">
      <c r="A88" s="520">
        <v>16</v>
      </c>
      <c r="B88" s="3768"/>
      <c r="C88" s="496" t="s">
        <v>2093</v>
      </c>
      <c r="D88" s="496" t="s">
        <v>2094</v>
      </c>
      <c r="E88" s="520">
        <v>0.1</v>
      </c>
      <c r="F88" s="520">
        <v>15</v>
      </c>
    </row>
    <row r="89" spans="1:6" ht="24">
      <c r="A89" s="520">
        <v>17</v>
      </c>
      <c r="B89" s="3771"/>
      <c r="C89" s="496" t="s">
        <v>2095</v>
      </c>
      <c r="D89" s="496" t="s">
        <v>2096</v>
      </c>
      <c r="E89" s="520">
        <v>0.1</v>
      </c>
      <c r="F89" s="520">
        <v>15</v>
      </c>
    </row>
    <row r="90" spans="1:6" ht="13.5">
      <c r="A90" s="520">
        <v>18</v>
      </c>
      <c r="B90" s="3770" t="s">
        <v>2097</v>
      </c>
      <c r="C90" s="496" t="s">
        <v>2098</v>
      </c>
      <c r="D90" s="496" t="s">
        <v>2099</v>
      </c>
      <c r="E90" s="520">
        <v>0.2</v>
      </c>
      <c r="F90" s="520">
        <v>25</v>
      </c>
    </row>
    <row r="91" spans="1:6" ht="24">
      <c r="A91" s="520">
        <v>19</v>
      </c>
      <c r="B91" s="3768"/>
      <c r="C91" s="496" t="s">
        <v>2100</v>
      </c>
      <c r="D91" s="496" t="s">
        <v>2101</v>
      </c>
      <c r="E91" s="520">
        <v>0.2</v>
      </c>
      <c r="F91" s="520">
        <v>25</v>
      </c>
    </row>
    <row r="92" spans="1:6" ht="13.5">
      <c r="A92" s="520">
        <v>20</v>
      </c>
      <c r="B92" s="3768"/>
      <c r="C92" s="496" t="s">
        <v>2102</v>
      </c>
      <c r="D92" s="496" t="s">
        <v>2103</v>
      </c>
      <c r="E92" s="520">
        <v>0.15</v>
      </c>
      <c r="F92" s="520">
        <v>20</v>
      </c>
    </row>
    <row r="93" spans="1:6" ht="13.5">
      <c r="A93" s="520">
        <v>21</v>
      </c>
      <c r="B93" s="3768"/>
      <c r="C93" s="496" t="s">
        <v>2104</v>
      </c>
      <c r="D93" s="496" t="s">
        <v>2105</v>
      </c>
      <c r="E93" s="520">
        <v>0.15</v>
      </c>
      <c r="F93" s="520">
        <v>20</v>
      </c>
    </row>
    <row r="94" spans="1:6" ht="13.5">
      <c r="A94" s="520">
        <v>22</v>
      </c>
      <c r="B94" s="3768"/>
      <c r="C94" s="496" t="s">
        <v>2106</v>
      </c>
      <c r="D94" s="496" t="s">
        <v>2107</v>
      </c>
      <c r="E94" s="520">
        <v>0.15</v>
      </c>
      <c r="F94" s="520">
        <v>20</v>
      </c>
    </row>
    <row r="95" spans="1:6" ht="36">
      <c r="A95" s="520">
        <v>23</v>
      </c>
      <c r="B95" s="3768"/>
      <c r="C95" s="496" t="s">
        <v>2108</v>
      </c>
      <c r="D95" s="496" t="s">
        <v>2109</v>
      </c>
      <c r="E95" s="520">
        <v>0.15</v>
      </c>
      <c r="F95" s="520">
        <v>20</v>
      </c>
    </row>
    <row r="96" spans="1:6" ht="13.5">
      <c r="A96" s="520">
        <v>24</v>
      </c>
      <c r="B96" s="3768"/>
      <c r="C96" s="496" t="s">
        <v>2110</v>
      </c>
      <c r="D96" s="496" t="s">
        <v>2111</v>
      </c>
      <c r="E96" s="520">
        <v>0.1</v>
      </c>
      <c r="F96" s="520">
        <v>15</v>
      </c>
    </row>
    <row r="97" spans="1:6" ht="13.5">
      <c r="A97" s="520">
        <v>25</v>
      </c>
      <c r="B97" s="3768"/>
      <c r="C97" s="496" t="s">
        <v>2112</v>
      </c>
      <c r="D97" s="496" t="s">
        <v>2113</v>
      </c>
      <c r="E97" s="520">
        <v>0.1</v>
      </c>
      <c r="F97" s="520">
        <v>15</v>
      </c>
    </row>
    <row r="98" spans="1:6" ht="24">
      <c r="A98" s="520">
        <v>26</v>
      </c>
      <c r="B98" s="3768"/>
      <c r="C98" s="496" t="s">
        <v>2114</v>
      </c>
      <c r="D98" s="496" t="s">
        <v>2115</v>
      </c>
      <c r="E98" s="520">
        <v>0.1</v>
      </c>
      <c r="F98" s="520">
        <v>15</v>
      </c>
    </row>
    <row r="99" spans="1:6" ht="24">
      <c r="A99" s="520">
        <v>27</v>
      </c>
      <c r="B99" s="3768"/>
      <c r="C99" s="496" t="s">
        <v>2116</v>
      </c>
      <c r="D99" s="496" t="s">
        <v>2117</v>
      </c>
      <c r="E99" s="520">
        <v>0.1</v>
      </c>
      <c r="F99" s="520">
        <v>15</v>
      </c>
    </row>
    <row r="100" spans="1:6" ht="13.5">
      <c r="A100" s="520">
        <v>28</v>
      </c>
      <c r="B100" s="3768"/>
      <c r="C100" s="496" t="s">
        <v>2118</v>
      </c>
      <c r="D100" s="496" t="s">
        <v>2119</v>
      </c>
      <c r="E100" s="520">
        <v>0.1</v>
      </c>
      <c r="F100" s="520">
        <v>15</v>
      </c>
    </row>
    <row r="101" spans="1:6" ht="13.5">
      <c r="A101" s="520">
        <v>29</v>
      </c>
      <c r="B101" s="3768"/>
      <c r="C101" s="496" t="s">
        <v>2120</v>
      </c>
      <c r="D101" s="496" t="s">
        <v>2121</v>
      </c>
      <c r="E101" s="520">
        <v>0.1</v>
      </c>
      <c r="F101" s="520">
        <v>15</v>
      </c>
    </row>
    <row r="102" spans="1:6" ht="13.5">
      <c r="A102" s="520">
        <v>30</v>
      </c>
      <c r="B102" s="3768"/>
      <c r="C102" s="496" t="s">
        <v>2122</v>
      </c>
      <c r="D102" s="496" t="s">
        <v>2123</v>
      </c>
      <c r="E102" s="520">
        <v>0.1</v>
      </c>
      <c r="F102" s="520">
        <v>15</v>
      </c>
    </row>
    <row r="103" spans="1:6" ht="24">
      <c r="A103" s="520">
        <v>31</v>
      </c>
      <c r="B103" s="3768"/>
      <c r="C103" s="496" t="s">
        <v>2124</v>
      </c>
      <c r="D103" s="496" t="s">
        <v>2125</v>
      </c>
      <c r="E103" s="520">
        <v>0.1</v>
      </c>
      <c r="F103" s="520">
        <v>15</v>
      </c>
    </row>
    <row r="104" spans="1:6" ht="24">
      <c r="A104" s="520">
        <v>32</v>
      </c>
      <c r="B104" s="3768"/>
      <c r="C104" s="496" t="s">
        <v>2126</v>
      </c>
      <c r="D104" s="496" t="s">
        <v>2127</v>
      </c>
      <c r="E104" s="520">
        <v>0.1</v>
      </c>
      <c r="F104" s="520">
        <v>15</v>
      </c>
    </row>
    <row r="105" spans="1:6" ht="24">
      <c r="A105" s="520">
        <v>33</v>
      </c>
      <c r="B105" s="3768"/>
      <c r="C105" s="496" t="s">
        <v>2128</v>
      </c>
      <c r="D105" s="496" t="s">
        <v>2129</v>
      </c>
      <c r="E105" s="520">
        <v>0.1</v>
      </c>
      <c r="F105" s="520">
        <v>15</v>
      </c>
    </row>
    <row r="106" spans="1:6" ht="24">
      <c r="A106" s="520">
        <v>34</v>
      </c>
      <c r="B106" s="3771"/>
      <c r="C106" s="496" t="s">
        <v>2130</v>
      </c>
      <c r="D106" s="496" t="s">
        <v>2131</v>
      </c>
      <c r="E106" s="520">
        <v>0.1</v>
      </c>
      <c r="F106" s="520">
        <v>15</v>
      </c>
    </row>
    <row r="107" spans="1:6" ht="24">
      <c r="A107" s="520">
        <v>35</v>
      </c>
      <c r="B107" s="3770" t="s">
        <v>1953</v>
      </c>
      <c r="C107" s="520" t="s">
        <v>2132</v>
      </c>
      <c r="D107" s="496" t="s">
        <v>2133</v>
      </c>
      <c r="E107" s="520">
        <v>0.15</v>
      </c>
      <c r="F107" s="520">
        <v>20</v>
      </c>
    </row>
    <row r="108" spans="1:6" ht="13.5">
      <c r="A108" s="520">
        <v>36</v>
      </c>
      <c r="B108" s="3768"/>
      <c r="C108" s="520" t="s">
        <v>2134</v>
      </c>
      <c r="D108" s="496" t="s">
        <v>2135</v>
      </c>
      <c r="E108" s="520">
        <v>0.15</v>
      </c>
      <c r="F108" s="520">
        <v>20</v>
      </c>
    </row>
    <row r="109" spans="1:6" ht="13.5">
      <c r="A109" s="520">
        <v>37</v>
      </c>
      <c r="B109" s="3768"/>
      <c r="C109" s="520" t="s">
        <v>2136</v>
      </c>
      <c r="D109" s="496" t="s">
        <v>2137</v>
      </c>
      <c r="E109" s="520">
        <v>0.15</v>
      </c>
      <c r="F109" s="520">
        <v>20</v>
      </c>
    </row>
    <row r="110" spans="1:6" ht="13.5">
      <c r="A110" s="520">
        <v>38</v>
      </c>
      <c r="B110" s="3768"/>
      <c r="C110" s="520" t="s">
        <v>2138</v>
      </c>
      <c r="D110" s="496" t="s">
        <v>2139</v>
      </c>
      <c r="E110" s="520">
        <v>0.1</v>
      </c>
      <c r="F110" s="520">
        <v>15</v>
      </c>
    </row>
    <row r="111" spans="1:6" ht="24">
      <c r="A111" s="520">
        <v>39</v>
      </c>
      <c r="B111" s="3768"/>
      <c r="C111" s="520" t="s">
        <v>2140</v>
      </c>
      <c r="D111" s="496" t="s">
        <v>2141</v>
      </c>
      <c r="E111" s="520">
        <v>0.1</v>
      </c>
      <c r="F111" s="520">
        <v>15</v>
      </c>
    </row>
    <row r="112" spans="1:6" ht="24">
      <c r="A112" s="520">
        <v>40</v>
      </c>
      <c r="B112" s="3771"/>
      <c r="C112" s="520" t="s">
        <v>2142</v>
      </c>
      <c r="D112" s="496" t="s">
        <v>2143</v>
      </c>
      <c r="E112" s="520">
        <v>0.1</v>
      </c>
      <c r="F112" s="520">
        <v>15</v>
      </c>
    </row>
    <row r="113" spans="1:6" ht="13.5">
      <c r="A113" s="520">
        <v>41</v>
      </c>
      <c r="B113" s="3772" t="s">
        <v>1969</v>
      </c>
      <c r="C113" s="520" t="s">
        <v>2144</v>
      </c>
      <c r="D113" s="496" t="s">
        <v>2145</v>
      </c>
      <c r="E113" s="520">
        <v>0.1</v>
      </c>
      <c r="F113" s="520">
        <v>15</v>
      </c>
    </row>
    <row r="114" spans="1:6" ht="13.5">
      <c r="A114" s="520">
        <v>42</v>
      </c>
      <c r="B114" s="3772"/>
      <c r="C114" s="520" t="s">
        <v>2146</v>
      </c>
      <c r="D114" s="496" t="s">
        <v>2147</v>
      </c>
      <c r="E114" s="520">
        <v>0.1</v>
      </c>
      <c r="F114" s="520">
        <v>15</v>
      </c>
    </row>
    <row r="115" spans="1:6" ht="24">
      <c r="A115" s="520">
        <v>43</v>
      </c>
      <c r="B115" s="3772"/>
      <c r="C115" s="520" t="s">
        <v>2148</v>
      </c>
      <c r="D115" s="496" t="s">
        <v>2149</v>
      </c>
      <c r="E115" s="520">
        <v>0.1</v>
      </c>
      <c r="F115" s="520">
        <v>15</v>
      </c>
    </row>
    <row r="116" spans="1:6" ht="13.5">
      <c r="A116" s="520">
        <v>44</v>
      </c>
      <c r="B116" s="3770" t="s">
        <v>2150</v>
      </c>
      <c r="C116" s="520" t="s">
        <v>2151</v>
      </c>
      <c r="D116" s="496" t="s">
        <v>2152</v>
      </c>
      <c r="E116" s="520">
        <v>0.1</v>
      </c>
      <c r="F116" s="520">
        <v>15</v>
      </c>
    </row>
    <row r="117" spans="1:6" ht="24">
      <c r="A117" s="520">
        <v>45</v>
      </c>
      <c r="B117" s="3771"/>
      <c r="C117" s="496" t="s">
        <v>2153</v>
      </c>
      <c r="D117" s="496" t="s">
        <v>2154</v>
      </c>
      <c r="E117" s="520">
        <v>0.1</v>
      </c>
      <c r="F117" s="520">
        <v>15</v>
      </c>
    </row>
    <row r="118" spans="1:6" ht="24">
      <c r="A118" s="520">
        <v>46</v>
      </c>
      <c r="B118" s="3770" t="s">
        <v>2155</v>
      </c>
      <c r="C118" s="520" t="s">
        <v>2156</v>
      </c>
      <c r="D118" s="496" t="s">
        <v>2157</v>
      </c>
      <c r="E118" s="520">
        <v>0.1</v>
      </c>
      <c r="F118" s="520">
        <v>15</v>
      </c>
    </row>
    <row r="119" spans="1:6" ht="24">
      <c r="A119" s="520">
        <v>47</v>
      </c>
      <c r="B119" s="3771"/>
      <c r="C119" s="520" t="s">
        <v>2158</v>
      </c>
      <c r="D119" s="496" t="s">
        <v>2159</v>
      </c>
      <c r="E119" s="520">
        <v>0.1</v>
      </c>
      <c r="F119" s="520">
        <v>15</v>
      </c>
    </row>
    <row r="120" spans="1:6" ht="13.5">
      <c r="A120" s="520">
        <v>48</v>
      </c>
      <c r="B120" s="3770" t="s">
        <v>2160</v>
      </c>
      <c r="C120" s="520" t="s">
        <v>2161</v>
      </c>
      <c r="D120" s="496" t="s">
        <v>2162</v>
      </c>
      <c r="E120" s="520">
        <v>0.1</v>
      </c>
      <c r="F120" s="520">
        <v>15</v>
      </c>
    </row>
    <row r="121" spans="1:6" ht="13.5">
      <c r="A121" s="520">
        <v>49</v>
      </c>
      <c r="B121" s="3771"/>
      <c r="C121" s="520" t="s">
        <v>2163</v>
      </c>
      <c r="D121" s="496" t="s">
        <v>2164</v>
      </c>
      <c r="E121" s="520">
        <v>0.1</v>
      </c>
      <c r="F121" s="520">
        <v>15</v>
      </c>
    </row>
    <row r="122" spans="1:6" ht="24">
      <c r="A122" s="520">
        <v>50</v>
      </c>
      <c r="B122" s="3772" t="s">
        <v>2165</v>
      </c>
      <c r="C122" s="520" t="s">
        <v>2166</v>
      </c>
      <c r="D122" s="496" t="s">
        <v>2167</v>
      </c>
      <c r="E122" s="520">
        <v>0.1</v>
      </c>
      <c r="F122" s="520">
        <v>15</v>
      </c>
    </row>
    <row r="123" spans="1:6" ht="24">
      <c r="A123" s="520">
        <v>51</v>
      </c>
      <c r="B123" s="3772"/>
      <c r="C123" s="520" t="s">
        <v>2168</v>
      </c>
      <c r="D123" s="496" t="s">
        <v>2169</v>
      </c>
      <c r="E123" s="520">
        <v>0.1</v>
      </c>
      <c r="F123" s="520">
        <v>15</v>
      </c>
    </row>
    <row r="124" spans="1:6" ht="24">
      <c r="A124" s="520">
        <v>52</v>
      </c>
      <c r="B124" s="3772" t="s">
        <v>2170</v>
      </c>
      <c r="C124" s="520" t="s">
        <v>2171</v>
      </c>
      <c r="D124" s="496" t="s">
        <v>2172</v>
      </c>
      <c r="E124" s="520">
        <v>0.1</v>
      </c>
      <c r="F124" s="520">
        <v>15</v>
      </c>
    </row>
    <row r="125" spans="1:6" ht="24">
      <c r="A125" s="520">
        <v>53</v>
      </c>
      <c r="B125" s="3772"/>
      <c r="C125" s="520" t="s">
        <v>2173</v>
      </c>
      <c r="D125" s="496" t="s">
        <v>2174</v>
      </c>
      <c r="E125" s="520">
        <v>0.1</v>
      </c>
      <c r="F125" s="520">
        <v>15</v>
      </c>
    </row>
    <row r="126" spans="1:6" ht="13.5">
      <c r="A126" s="520">
        <v>54</v>
      </c>
      <c r="B126" s="520" t="s">
        <v>2175</v>
      </c>
      <c r="C126" s="520" t="s">
        <v>2176</v>
      </c>
      <c r="D126" s="496" t="s">
        <v>2177</v>
      </c>
      <c r="E126" s="520">
        <v>0.1</v>
      </c>
      <c r="F126" s="520">
        <v>15</v>
      </c>
    </row>
    <row r="127" spans="1:6" ht="13.5">
      <c r="A127" s="520">
        <v>55</v>
      </c>
      <c r="B127" s="3772" t="s">
        <v>2178</v>
      </c>
      <c r="C127" s="520" t="s">
        <v>2179</v>
      </c>
      <c r="D127" s="496" t="s">
        <v>2180</v>
      </c>
      <c r="E127" s="520">
        <v>0.1</v>
      </c>
      <c r="F127" s="520">
        <v>15</v>
      </c>
    </row>
    <row r="128" spans="1:6" ht="13.5">
      <c r="A128" s="520">
        <v>56</v>
      </c>
      <c r="B128" s="3772"/>
      <c r="C128" s="520" t="s">
        <v>2181</v>
      </c>
      <c r="D128" s="496" t="s">
        <v>2182</v>
      </c>
      <c r="E128" s="520">
        <v>0.1</v>
      </c>
      <c r="F128" s="520">
        <v>15</v>
      </c>
    </row>
    <row r="129" spans="1:6" ht="24">
      <c r="A129" s="520">
        <v>57</v>
      </c>
      <c r="B129" s="3772"/>
      <c r="C129" s="520" t="s">
        <v>2183</v>
      </c>
      <c r="D129" s="496" t="s">
        <v>2184</v>
      </c>
      <c r="E129" s="520">
        <v>0.1</v>
      </c>
      <c r="F129" s="520">
        <v>15</v>
      </c>
    </row>
    <row r="130" spans="1:6" ht="24">
      <c r="A130" s="520">
        <v>58</v>
      </c>
      <c r="B130" s="3772" t="s">
        <v>2185</v>
      </c>
      <c r="C130" s="520" t="s">
        <v>2186</v>
      </c>
      <c r="D130" s="496" t="s">
        <v>2187</v>
      </c>
      <c r="E130" s="520">
        <v>0.1</v>
      </c>
      <c r="F130" s="520">
        <v>15</v>
      </c>
    </row>
    <row r="131" spans="1:6" ht="13.5">
      <c r="A131" s="520">
        <v>59</v>
      </c>
      <c r="B131" s="3772"/>
      <c r="C131" s="520" t="s">
        <v>2188</v>
      </c>
      <c r="D131" s="496" t="s">
        <v>2189</v>
      </c>
      <c r="E131" s="520">
        <v>0.1</v>
      </c>
      <c r="F131" s="520">
        <v>15</v>
      </c>
    </row>
    <row r="132" spans="1:6" ht="13.5">
      <c r="A132" s="520">
        <v>60</v>
      </c>
      <c r="B132" s="3770" t="s">
        <v>2190</v>
      </c>
      <c r="C132" s="520" t="s">
        <v>2191</v>
      </c>
      <c r="D132" s="496" t="s">
        <v>2192</v>
      </c>
      <c r="E132" s="520">
        <v>0.1</v>
      </c>
      <c r="F132" s="520">
        <v>15</v>
      </c>
    </row>
    <row r="133" spans="1:6" ht="13.5">
      <c r="A133" s="520">
        <v>61</v>
      </c>
      <c r="B133" s="3771"/>
      <c r="C133" s="520" t="s">
        <v>2193</v>
      </c>
      <c r="D133" s="496" t="s">
        <v>2194</v>
      </c>
      <c r="E133" s="520">
        <v>0.1</v>
      </c>
      <c r="F133" s="520">
        <v>15</v>
      </c>
    </row>
    <row r="134" spans="1:6" ht="24">
      <c r="A134" s="520">
        <v>62</v>
      </c>
      <c r="B134" s="520" t="s">
        <v>2195</v>
      </c>
      <c r="C134" s="520" t="s">
        <v>2196</v>
      </c>
      <c r="D134" s="496" t="s">
        <v>2197</v>
      </c>
      <c r="E134" s="520">
        <v>0.1</v>
      </c>
      <c r="F134" s="520">
        <v>15</v>
      </c>
    </row>
    <row r="135" spans="1:6" ht="13.5">
      <c r="A135" s="520">
        <v>63</v>
      </c>
      <c r="B135" s="3772" t="s">
        <v>2198</v>
      </c>
      <c r="C135" s="520" t="s">
        <v>2199</v>
      </c>
      <c r="D135" s="496" t="s">
        <v>2200</v>
      </c>
      <c r="E135" s="520">
        <v>0.1</v>
      </c>
      <c r="F135" s="520">
        <v>15</v>
      </c>
    </row>
    <row r="136" spans="1:6" ht="13.5">
      <c r="A136" s="520">
        <v>64</v>
      </c>
      <c r="B136" s="3772"/>
      <c r="C136" s="520" t="s">
        <v>2201</v>
      </c>
      <c r="D136" s="496" t="s">
        <v>2202</v>
      </c>
      <c r="E136" s="520">
        <v>0.1</v>
      </c>
      <c r="F136" s="520">
        <v>15</v>
      </c>
    </row>
    <row r="137" spans="1:6" ht="13.5">
      <c r="A137" s="520">
        <v>65</v>
      </c>
      <c r="B137" s="520" t="s">
        <v>2203</v>
      </c>
      <c r="C137" s="520" t="s">
        <v>2204</v>
      </c>
      <c r="D137" s="496" t="s">
        <v>2205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2206</v>
      </c>
      <c r="B1" s="461"/>
      <c r="C1" s="461"/>
      <c r="D1" s="461"/>
      <c r="E1" s="461"/>
      <c r="F1" s="461"/>
      <c r="G1" s="461"/>
      <c r="H1" s="461"/>
      <c r="I1" s="461"/>
      <c r="J1" s="461"/>
      <c r="K1" s="461"/>
      <c r="L1" s="461"/>
      <c r="M1" s="461"/>
      <c r="N1" s="468"/>
    </row>
    <row r="2" spans="1:20">
      <c r="A2" s="462" t="s">
        <v>2207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2208</v>
      </c>
      <c r="R2" s="473" t="s">
        <v>2209</v>
      </c>
      <c r="S2" s="473" t="s">
        <v>2210</v>
      </c>
      <c r="T2" s="473" t="s">
        <v>2211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2212</v>
      </c>
      <c r="B93" s="461"/>
      <c r="C93" s="461"/>
      <c r="D93" s="461"/>
      <c r="E93" s="461"/>
      <c r="F93" s="461"/>
      <c r="G93" s="461"/>
      <c r="H93" s="461"/>
      <c r="I93" s="461"/>
      <c r="J93" s="461"/>
      <c r="K93" s="461"/>
      <c r="L93" s="461"/>
      <c r="M93" s="461"/>
    </row>
    <row r="94" spans="1:20">
      <c r="A94" s="462" t="s">
        <v>2207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2208</v>
      </c>
      <c r="R94" s="473" t="s">
        <v>2209</v>
      </c>
      <c r="S94" s="473" t="s">
        <v>2210</v>
      </c>
      <c r="T94" s="473" t="s">
        <v>2211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2213</v>
      </c>
      <c r="B185" s="461"/>
      <c r="C185" s="461"/>
      <c r="D185" s="461"/>
      <c r="E185" s="461"/>
      <c r="F185" s="461"/>
      <c r="G185" s="461"/>
      <c r="H185" s="461"/>
      <c r="I185" s="461"/>
      <c r="J185" s="461"/>
      <c r="K185" s="461"/>
      <c r="L185" s="461"/>
      <c r="M185" s="461"/>
    </row>
    <row r="186" spans="1:20">
      <c r="A186" s="462" t="s">
        <v>2207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2208</v>
      </c>
      <c r="R186" s="473" t="s">
        <v>2209</v>
      </c>
      <c r="S186" s="473" t="s">
        <v>2210</v>
      </c>
      <c r="T186" s="473" t="s">
        <v>2211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2214</v>
      </c>
      <c r="B277" s="461"/>
      <c r="C277" s="461"/>
      <c r="D277" s="461"/>
      <c r="E277" s="461"/>
      <c r="F277" s="461"/>
      <c r="G277" s="461"/>
      <c r="H277" s="461"/>
      <c r="I277" s="461"/>
      <c r="J277" s="461"/>
      <c r="K277" s="461"/>
      <c r="L277" s="461"/>
      <c r="M277" s="461"/>
    </row>
    <row r="278" spans="1:21">
      <c r="A278" s="462" t="s">
        <v>2207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2208</v>
      </c>
      <c r="R278" s="473" t="s">
        <v>2209</v>
      </c>
      <c r="S278" s="473" t="s">
        <v>2215</v>
      </c>
      <c r="T278" s="473" t="s">
        <v>2216</v>
      </c>
      <c r="U278" s="473" t="s">
        <v>2211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2217</v>
      </c>
      <c r="B369" s="477"/>
      <c r="C369" s="477"/>
      <c r="D369" s="477"/>
      <c r="E369" s="477"/>
      <c r="F369" s="477"/>
      <c r="G369" s="477"/>
      <c r="H369" s="477"/>
      <c r="I369" s="477"/>
      <c r="J369" s="477"/>
      <c r="K369" s="477"/>
      <c r="L369" s="477"/>
      <c r="M369" s="477"/>
    </row>
    <row r="370" spans="1:20">
      <c r="A370" s="462" t="s">
        <v>2207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2208</v>
      </c>
      <c r="R370" s="473" t="s">
        <v>2209</v>
      </c>
      <c r="S370" s="473" t="s">
        <v>2210</v>
      </c>
      <c r="T370" s="473" t="s">
        <v>2211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2218</v>
      </c>
      <c r="B1" s="375"/>
      <c r="C1" s="376"/>
      <c r="D1" s="376"/>
      <c r="E1" s="376"/>
      <c r="F1" s="376"/>
      <c r="G1" s="377"/>
    </row>
    <row r="2" spans="1:7" s="366" customFormat="1" ht="18" customHeight="1">
      <c r="A2" s="378" t="s">
        <v>2219</v>
      </c>
      <c r="B2" s="379">
        <f ca="1">C52</f>
        <v>135717</v>
      </c>
      <c r="C2" s="380" t="s">
        <v>1358</v>
      </c>
      <c r="D2" s="377"/>
      <c r="E2" s="377"/>
      <c r="F2" s="377"/>
      <c r="G2" s="377"/>
    </row>
    <row r="3" spans="1:7" s="366" customFormat="1" ht="18" customHeight="1">
      <c r="A3" s="381" t="s">
        <v>2220</v>
      </c>
      <c r="B3" s="382">
        <f ca="1">ROUND(B2*10000/'数据-汇总表'!E3,0)</f>
        <v>11289</v>
      </c>
      <c r="C3" s="380" t="s">
        <v>1626</v>
      </c>
      <c r="D3" s="377"/>
      <c r="E3" s="377"/>
      <c r="F3" s="377"/>
      <c r="G3" s="377"/>
    </row>
    <row r="4" spans="1:7" s="367" customFormat="1" ht="15.75">
      <c r="A4" s="383" t="s">
        <v>2221</v>
      </c>
      <c r="B4" s="384"/>
      <c r="C4" s="384"/>
      <c r="D4" s="384"/>
      <c r="E4" s="384"/>
      <c r="F4" s="384"/>
      <c r="G4" s="385"/>
    </row>
    <row r="5" spans="1:7" s="368" customFormat="1" ht="13.5" customHeight="1">
      <c r="A5" s="386" t="s">
        <v>1006</v>
      </c>
      <c r="B5" s="387" t="s">
        <v>2222</v>
      </c>
      <c r="C5" s="388">
        <f>C6+C7+C8</f>
        <v>20610</v>
      </c>
      <c r="D5" s="388" t="s">
        <v>2223</v>
      </c>
      <c r="E5" s="389" t="s">
        <v>2224</v>
      </c>
      <c r="F5" s="389" t="s">
        <v>2225</v>
      </c>
      <c r="G5" s="390"/>
    </row>
    <row r="6" spans="1:7" s="368" customFormat="1" ht="13.5" customHeight="1">
      <c r="A6" s="391" t="s">
        <v>1010</v>
      </c>
      <c r="B6" s="392" t="s">
        <v>2226</v>
      </c>
      <c r="C6" s="393">
        <v>20000</v>
      </c>
      <c r="D6" s="394"/>
      <c r="E6" s="395"/>
      <c r="F6" s="395"/>
      <c r="G6" s="396"/>
    </row>
    <row r="7" spans="1:7" s="368" customFormat="1" ht="13.5" customHeight="1">
      <c r="A7" s="391" t="s">
        <v>1012</v>
      </c>
      <c r="B7" s="392" t="s">
        <v>2227</v>
      </c>
      <c r="C7" s="397">
        <f>ROUND(C6*F7,0)</f>
        <v>610</v>
      </c>
      <c r="D7" s="397"/>
      <c r="E7" s="395"/>
      <c r="F7" s="398">
        <f>'数据-取费表'!B48+'数据-取费表'!B49</f>
        <v>3.0499999999999999E-2</v>
      </c>
      <c r="G7" s="396"/>
    </row>
    <row r="8" spans="1:7" s="369" customFormat="1">
      <c r="A8" s="391" t="s">
        <v>1014</v>
      </c>
      <c r="B8" s="392" t="s">
        <v>2228</v>
      </c>
      <c r="C8" s="397" t="str">
        <f>IF(G8="已包含在土地购买价格中","0",'数据-取费表'!B29)</f>
        <v>0</v>
      </c>
      <c r="D8" s="399"/>
      <c r="E8" s="397"/>
      <c r="F8" s="398"/>
      <c r="G8" s="400" t="s">
        <v>2229</v>
      </c>
    </row>
    <row r="9" spans="1:7" s="368" customFormat="1" ht="13.5" customHeight="1">
      <c r="A9" s="401" t="s">
        <v>1017</v>
      </c>
      <c r="B9" s="402" t="s">
        <v>2230</v>
      </c>
      <c r="C9" s="403">
        <f>ROUND(D9*E9/10000,0)</f>
        <v>0</v>
      </c>
      <c r="D9" s="404">
        <f>'数据-汇总表'!E5</f>
        <v>0</v>
      </c>
      <c r="E9" s="403">
        <f>'数据-取费表'!B27</f>
        <v>160</v>
      </c>
      <c r="F9" s="398"/>
      <c r="G9" s="405"/>
    </row>
    <row r="10" spans="1:7" s="368" customFormat="1" ht="13.5" customHeight="1">
      <c r="A10" s="401" t="s">
        <v>1021</v>
      </c>
      <c r="B10" s="402" t="s">
        <v>2231</v>
      </c>
      <c r="C10" s="403">
        <f>ROUND(D10*E10/10000,0)</f>
        <v>2404</v>
      </c>
      <c r="D10" s="404">
        <f>'数据-汇总表'!E6</f>
        <v>120218.42</v>
      </c>
      <c r="E10" s="403">
        <f>'数据-取费表'!B28</f>
        <v>200</v>
      </c>
      <c r="F10" s="398"/>
      <c r="G10" s="405"/>
    </row>
    <row r="11" spans="1:7" s="368" customFormat="1" ht="13.5" hidden="1" customHeight="1">
      <c r="A11" s="406" t="s">
        <v>1023</v>
      </c>
      <c r="B11" s="392" t="s">
        <v>2232</v>
      </c>
      <c r="C11" s="388"/>
      <c r="D11" s="407"/>
      <c r="E11" s="395"/>
      <c r="F11" s="395"/>
      <c r="G11" s="396"/>
    </row>
    <row r="12" spans="1:7" s="368" customFormat="1" ht="13.5" hidden="1" customHeight="1">
      <c r="A12" s="406" t="s">
        <v>1025</v>
      </c>
      <c r="B12" s="392" t="s">
        <v>2233</v>
      </c>
      <c r="C12" s="388">
        <v>0</v>
      </c>
      <c r="D12" s="407"/>
      <c r="E12" s="408"/>
      <c r="F12" s="398">
        <v>3.0499999999999999E-2</v>
      </c>
      <c r="G12" s="396"/>
    </row>
    <row r="13" spans="1:7" s="368" customFormat="1" ht="13.5" hidden="1" customHeight="1">
      <c r="A13" s="406" t="s">
        <v>1026</v>
      </c>
      <c r="B13" s="392" t="s">
        <v>2234</v>
      </c>
      <c r="C13" s="388"/>
      <c r="D13" s="407"/>
      <c r="E13" s="395"/>
      <c r="F13" s="395"/>
      <c r="G13" s="396"/>
    </row>
    <row r="14" spans="1:7" s="368" customFormat="1" ht="13.5" hidden="1" customHeight="1">
      <c r="A14" s="406" t="s">
        <v>1028</v>
      </c>
      <c r="B14" s="392" t="s">
        <v>2228</v>
      </c>
      <c r="C14" s="388"/>
      <c r="D14" s="407"/>
      <c r="E14" s="395"/>
      <c r="F14" s="395"/>
      <c r="G14" s="396" t="s">
        <v>2235</v>
      </c>
    </row>
    <row r="15" spans="1:7" s="368" customFormat="1" ht="13.5" hidden="1" customHeight="1">
      <c r="A15" s="406" t="s">
        <v>1030</v>
      </c>
      <c r="B15" s="392" t="s">
        <v>2236</v>
      </c>
      <c r="C15" s="397"/>
      <c r="D15" s="407"/>
      <c r="E15" s="395"/>
      <c r="F15" s="395"/>
      <c r="G15" s="396" t="s">
        <v>2237</v>
      </c>
    </row>
    <row r="16" spans="1:7" s="368" customFormat="1" ht="13.5" hidden="1" customHeight="1">
      <c r="A16" s="406" t="s">
        <v>1033</v>
      </c>
      <c r="B16" s="392" t="s">
        <v>2228</v>
      </c>
      <c r="C16" s="397"/>
      <c r="D16" s="407"/>
      <c r="E16" s="395"/>
      <c r="F16" s="395"/>
      <c r="G16" s="396"/>
    </row>
    <row r="17" spans="1:7" s="368" customFormat="1" ht="13.5" hidden="1" customHeight="1">
      <c r="A17" s="406" t="s">
        <v>1034</v>
      </c>
      <c r="B17" s="392" t="s">
        <v>2238</v>
      </c>
      <c r="C17" s="409"/>
      <c r="D17" s="410"/>
      <c r="E17" s="409"/>
      <c r="F17" s="409"/>
      <c r="G17" s="396" t="s">
        <v>2237</v>
      </c>
    </row>
    <row r="18" spans="1:7" s="368" customFormat="1" ht="13.5" hidden="1" customHeight="1">
      <c r="A18" s="406" t="s">
        <v>1036</v>
      </c>
      <c r="B18" s="392" t="s">
        <v>2239</v>
      </c>
      <c r="C18" s="397">
        <v>0</v>
      </c>
      <c r="D18" s="407"/>
      <c r="E18" s="395"/>
      <c r="F18" s="398">
        <v>3.0499999999999999E-2</v>
      </c>
      <c r="G18" s="396" t="s">
        <v>2240</v>
      </c>
    </row>
    <row r="19" spans="1:7" s="369" customFormat="1" ht="13.5" customHeight="1">
      <c r="A19" s="411" t="s">
        <v>1731</v>
      </c>
      <c r="B19" s="387" t="s">
        <v>2241</v>
      </c>
      <c r="C19" s="388">
        <f>IF(G19="已包含在土地取得成本中","0",ROUND(D19*E19/10000,0))</f>
        <v>2404</v>
      </c>
      <c r="D19" s="412">
        <f>'数据-汇总表'!E3</f>
        <v>120218.42</v>
      </c>
      <c r="E19" s="388">
        <f>'数据-取费表'!B31</f>
        <v>200</v>
      </c>
      <c r="F19" s="413"/>
      <c r="G19" s="400" t="s">
        <v>2242</v>
      </c>
    </row>
    <row r="20" spans="1:7" s="368" customFormat="1" ht="13.5" customHeight="1">
      <c r="A20" s="411" t="s">
        <v>1767</v>
      </c>
      <c r="B20" s="387" t="s">
        <v>2243</v>
      </c>
      <c r="C20" s="414">
        <f>ROUND((C5+C19)*F20,0)</f>
        <v>460</v>
      </c>
      <c r="D20" s="414"/>
      <c r="E20" s="414"/>
      <c r="F20" s="415">
        <f>'数据-取费表'!B37</f>
        <v>0.02</v>
      </c>
      <c r="G20" s="416" t="s">
        <v>2244</v>
      </c>
    </row>
    <row r="21" spans="1:7" s="368" customFormat="1" ht="13.5" customHeight="1">
      <c r="A21" s="411" t="s">
        <v>1772</v>
      </c>
      <c r="B21" s="387" t="s">
        <v>2245</v>
      </c>
      <c r="C21" s="417">
        <f>F21</f>
        <v>0.02</v>
      </c>
      <c r="D21" s="418" t="s">
        <v>2246</v>
      </c>
      <c r="E21" s="414"/>
      <c r="F21" s="415">
        <f>'数据-取费表'!B38</f>
        <v>0.02</v>
      </c>
      <c r="G21" s="419" t="s">
        <v>2247</v>
      </c>
    </row>
    <row r="22" spans="1:7" s="368" customFormat="1" ht="13.5" customHeight="1">
      <c r="A22" s="411" t="s">
        <v>1781</v>
      </c>
      <c r="B22" s="387" t="s">
        <v>2248</v>
      </c>
      <c r="C22" s="420">
        <f ca="1">ROUND(SUM(C23:C25),0)</f>
        <v>3015</v>
      </c>
      <c r="D22" s="417">
        <f ca="1">C26</f>
        <v>1.2999999999999999E-3</v>
      </c>
      <c r="E22" s="418" t="s">
        <v>2246</v>
      </c>
      <c r="F22" s="421">
        <f ca="1">'数据-取费表'!B40</f>
        <v>4.1499999999999995E-2</v>
      </c>
      <c r="G22" s="416" t="str">
        <f>IF('数据-取费表'!B22&lt;=1,"单利计息","复利计息")</f>
        <v>复利计息</v>
      </c>
    </row>
    <row r="23" spans="1:7" s="368" customFormat="1" ht="13.5" customHeight="1">
      <c r="A23" s="422" t="s">
        <v>1010</v>
      </c>
      <c r="B23" s="392" t="s">
        <v>2249</v>
      </c>
      <c r="C23" s="423">
        <f ca="1">ROUND(IF('数据-取费表'!B22&lt;=1,C5*F22*'数据-取费表'!B23,C5*(POWER((1+F22),'数据-取费表'!B23)-1)),0)</f>
        <v>2674</v>
      </c>
      <c r="D23" s="424"/>
      <c r="E23" s="424"/>
      <c r="F23" s="425"/>
      <c r="G23" s="426" t="s">
        <v>2250</v>
      </c>
    </row>
    <row r="24" spans="1:7" s="368" customFormat="1" ht="13.5" customHeight="1">
      <c r="A24" s="422" t="s">
        <v>1012</v>
      </c>
      <c r="B24" s="392" t="s">
        <v>2251</v>
      </c>
      <c r="C24" s="423">
        <f ca="1">ROUND(IF('数据-取费表'!B22&lt;=1,C19*F22*('数据-取费表'!B19/2+'数据-取费表'!B21),C19*(POWER((1+F22),('数据-取费表'!B19/2+'数据-取费表'!B21))-1)),0)</f>
        <v>312</v>
      </c>
      <c r="D24" s="424"/>
      <c r="E24" s="424"/>
      <c r="F24" s="425"/>
      <c r="G24" s="426" t="s">
        <v>2252</v>
      </c>
    </row>
    <row r="25" spans="1:7" s="368" customFormat="1" ht="24">
      <c r="A25" s="422" t="s">
        <v>1014</v>
      </c>
      <c r="B25" s="392" t="s">
        <v>2253</v>
      </c>
      <c r="C25" s="423">
        <f ca="1">ROUND(IF('数据-取费表'!B22&lt;=1,C20*F22*'数据-取费表'!B23/2,C20*(POWER((1+F22),'数据-取费表'!B23/2)-1)),0)</f>
        <v>29</v>
      </c>
      <c r="D25" s="424"/>
      <c r="E25" s="427"/>
      <c r="F25" s="425"/>
      <c r="G25" s="428" t="s">
        <v>2254</v>
      </c>
    </row>
    <row r="26" spans="1:7" s="368" customFormat="1">
      <c r="A26" s="422" t="s">
        <v>1057</v>
      </c>
      <c r="B26" s="392" t="s">
        <v>2255</v>
      </c>
      <c r="C26" s="424">
        <f ca="1">ROUND(IF('数据-取费表'!B22&lt;=1,F21*F22*'数据-取费表'!B23/2,F21*(POWER((1+F22),'数据-取费表'!B23/2)-1)),4)</f>
        <v>1.2999999999999999E-3</v>
      </c>
      <c r="D26" s="424"/>
      <c r="E26" s="427"/>
      <c r="F26" s="425"/>
      <c r="G26" s="429"/>
    </row>
    <row r="27" spans="1:7" s="368" customFormat="1" ht="24.75">
      <c r="A27" s="411" t="s">
        <v>1790</v>
      </c>
      <c r="B27" s="430" t="s">
        <v>2256</v>
      </c>
      <c r="C27" s="431">
        <f>C28</f>
        <v>3991</v>
      </c>
      <c r="D27" s="417">
        <f>C29</f>
        <v>3.3999999999999998E-3</v>
      </c>
      <c r="E27" s="418" t="s">
        <v>2246</v>
      </c>
      <c r="F27" s="432">
        <f>'数据-取费表'!Q16</f>
        <v>0.17</v>
      </c>
      <c r="G27" s="433" t="s">
        <v>2257</v>
      </c>
    </row>
    <row r="28" spans="1:7" s="368" customFormat="1" ht="13.5" customHeight="1">
      <c r="A28" s="422" t="s">
        <v>1010</v>
      </c>
      <c r="B28" s="434" t="s">
        <v>2258</v>
      </c>
      <c r="C28" s="435">
        <f>ROUND((C5+C19+C20)*F27*'数据-取费表'!B21/'数据-取费表'!B20,0)</f>
        <v>3991</v>
      </c>
      <c r="D28" s="417"/>
      <c r="E28" s="418"/>
      <c r="F28" s="432"/>
      <c r="G28" s="433"/>
    </row>
    <row r="29" spans="1:7" s="368" customFormat="1" ht="13.5" customHeight="1">
      <c r="A29" s="422" t="s">
        <v>1012</v>
      </c>
      <c r="B29" s="434" t="s">
        <v>2259</v>
      </c>
      <c r="C29" s="424">
        <f>ROUND(C21*F27*'数据-取费表'!B21/'数据-取费表'!B20,4)</f>
        <v>3.3999999999999998E-3</v>
      </c>
      <c r="D29" s="417"/>
      <c r="E29" s="418"/>
      <c r="F29" s="432"/>
      <c r="G29" s="433"/>
    </row>
    <row r="30" spans="1:7" s="368" customFormat="1" ht="13.5" customHeight="1">
      <c r="A30" s="411" t="s">
        <v>2260</v>
      </c>
      <c r="B30" s="387" t="s">
        <v>2261</v>
      </c>
      <c r="C30" s="417">
        <f>F30</f>
        <v>5.6000000000000001E-2</v>
      </c>
      <c r="D30" s="418" t="s">
        <v>2262</v>
      </c>
      <c r="E30" s="427"/>
      <c r="F30" s="421">
        <f>'数据-取费表'!B41</f>
        <v>5.6000000000000001E-2</v>
      </c>
      <c r="G30" s="419" t="s">
        <v>2263</v>
      </c>
    </row>
    <row r="31" spans="1:7" ht="16.5" customHeight="1">
      <c r="A31" s="436">
        <v>1</v>
      </c>
      <c r="B31" s="387" t="s">
        <v>2264</v>
      </c>
      <c r="C31" s="388">
        <f ca="1">ROUND((C5+C19+C20+C22+C27)/(1-C21-D22-D27-C30/(1+'数据-取费表'!B42)),0)</f>
        <v>33060</v>
      </c>
      <c r="D31" s="437"/>
      <c r="E31" s="388"/>
      <c r="F31" s="438"/>
      <c r="G31" s="419" t="s">
        <v>2265</v>
      </c>
    </row>
    <row r="32" spans="1:7" s="367" customFormat="1" ht="15.75">
      <c r="A32" s="439" t="s">
        <v>2266</v>
      </c>
      <c r="B32" s="440"/>
      <c r="C32" s="440"/>
      <c r="D32" s="440"/>
      <c r="E32" s="440"/>
      <c r="F32" s="440"/>
      <c r="G32" s="441"/>
    </row>
    <row r="33" spans="1:7" s="368" customFormat="1" ht="13.5" customHeight="1">
      <c r="A33" s="386" t="s">
        <v>1006</v>
      </c>
      <c r="B33" s="387" t="s">
        <v>2267</v>
      </c>
      <c r="C33" s="442">
        <f>SUM(C34:C38)</f>
        <v>79224</v>
      </c>
      <c r="D33" s="414"/>
      <c r="E33" s="389"/>
      <c r="F33" s="427"/>
      <c r="G33" s="419"/>
    </row>
    <row r="34" spans="1:7" s="370" customFormat="1" ht="13.5" customHeight="1">
      <c r="A34" s="422" t="s">
        <v>1010</v>
      </c>
      <c r="B34" s="392" t="s">
        <v>2268</v>
      </c>
      <c r="C34" s="397">
        <f>IF(F34=100%,'数据-取费表'!M16-SUMIF('数据-取费表'!C:C,"公共配套",'数据-取费表'!M:M),'数据-取费表'!O16-SUMIF('数据-取费表'!C:C,"公共配套",'数据-取费表'!O:O))</f>
        <v>72131</v>
      </c>
      <c r="D34" s="394"/>
      <c r="E34" s="397"/>
      <c r="F34" s="443">
        <f>IF('数据-取费表'!B24=0,1,'数据-取费表'!N16)</f>
        <v>1</v>
      </c>
      <c r="G34" s="396" t="s">
        <v>2269</v>
      </c>
    </row>
    <row r="35" spans="1:7" ht="13.5" customHeight="1">
      <c r="A35" s="422" t="s">
        <v>1012</v>
      </c>
      <c r="B35" s="392" t="s">
        <v>2270</v>
      </c>
      <c r="C35" s="397">
        <f>ROUND(C34*F35,0)</f>
        <v>3607</v>
      </c>
      <c r="D35" s="397"/>
      <c r="E35" s="397"/>
      <c r="F35" s="444">
        <f>'数据-取费表'!B33</f>
        <v>0.05</v>
      </c>
      <c r="G35" s="396" t="s">
        <v>2271</v>
      </c>
    </row>
    <row r="36" spans="1:7" ht="24">
      <c r="A36" s="422" t="s">
        <v>1014</v>
      </c>
      <c r="B36" s="392" t="s">
        <v>2272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2273</v>
      </c>
    </row>
    <row r="37" spans="1:7" s="370" customFormat="1" ht="13.5" customHeight="1">
      <c r="A37" s="422" t="s">
        <v>1057</v>
      </c>
      <c r="B37" s="392" t="s">
        <v>2274</v>
      </c>
      <c r="C37" s="435">
        <f>ROUND(E37*D37*F34/10000,0)</f>
        <v>2404</v>
      </c>
      <c r="D37" s="394">
        <f>'数据-汇总表'!E3</f>
        <v>120218.42</v>
      </c>
      <c r="E37" s="435">
        <f>'数据-取费表'!B35</f>
        <v>200</v>
      </c>
      <c r="F37" s="444"/>
      <c r="G37" s="446" t="s">
        <v>2275</v>
      </c>
    </row>
    <row r="38" spans="1:7" ht="13.5" customHeight="1">
      <c r="A38" s="422" t="s">
        <v>1079</v>
      </c>
      <c r="B38" s="392" t="s">
        <v>2233</v>
      </c>
      <c r="C38" s="397">
        <f>ROUND(C34*F38,0)</f>
        <v>1082</v>
      </c>
      <c r="D38" s="397"/>
      <c r="E38" s="397"/>
      <c r="F38" s="444">
        <f>'数据-取费表'!B36</f>
        <v>1.4999999999999999E-2</v>
      </c>
      <c r="G38" s="396" t="s">
        <v>2271</v>
      </c>
    </row>
    <row r="39" spans="1:7" s="368" customFormat="1" ht="13.5" customHeight="1">
      <c r="A39" s="411" t="s">
        <v>1731</v>
      </c>
      <c r="B39" s="387" t="s">
        <v>2243</v>
      </c>
      <c r="C39" s="414">
        <f>ROUND(C33*F20,0)</f>
        <v>1584</v>
      </c>
      <c r="D39" s="414"/>
      <c r="E39" s="414"/>
      <c r="F39" s="415"/>
      <c r="G39" s="416" t="s">
        <v>2276</v>
      </c>
    </row>
    <row r="40" spans="1:7" s="368" customFormat="1" ht="13.5" customHeight="1">
      <c r="A40" s="411" t="s">
        <v>1767</v>
      </c>
      <c r="B40" s="387" t="s">
        <v>2245</v>
      </c>
      <c r="C40" s="447">
        <f>F21</f>
        <v>0.02</v>
      </c>
      <c r="D40" s="418" t="s">
        <v>2277</v>
      </c>
      <c r="E40" s="414"/>
      <c r="F40" s="415"/>
      <c r="G40" s="419" t="s">
        <v>2278</v>
      </c>
    </row>
    <row r="41" spans="1:7" s="368" customFormat="1" ht="13.5" customHeight="1">
      <c r="A41" s="411" t="s">
        <v>1772</v>
      </c>
      <c r="B41" s="387" t="s">
        <v>2248</v>
      </c>
      <c r="C41" s="414">
        <f ca="1">ROUND(SUM(C42:C43),0)</f>
        <v>5083</v>
      </c>
      <c r="D41" s="417">
        <f ca="1">C44</f>
        <v>1.2999999999999999E-3</v>
      </c>
      <c r="E41" s="418" t="s">
        <v>2277</v>
      </c>
      <c r="F41" s="421"/>
      <c r="G41" s="416" t="str">
        <f>IF('数据-取费表'!B22&lt;=1,"单利计息","复利计息")</f>
        <v>复利计息</v>
      </c>
    </row>
    <row r="42" spans="1:7" ht="13.5" customHeight="1">
      <c r="A42" s="422" t="s">
        <v>1010</v>
      </c>
      <c r="B42" s="392" t="s">
        <v>2249</v>
      </c>
      <c r="C42" s="424">
        <f ca="1">ROUND(IF('数据-取费表'!B22&lt;=1,C33*F22*'数据-取费表'!B21/2,C33*(POWER((1+F22),'数据-取费表'!B21/2)-1)),0)</f>
        <v>4983</v>
      </c>
      <c r="D42" s="424"/>
      <c r="E42" s="424"/>
      <c r="F42" s="425"/>
      <c r="G42" s="3635" t="s">
        <v>2279</v>
      </c>
    </row>
    <row r="43" spans="1:7" ht="13.5" customHeight="1">
      <c r="A43" s="422" t="s">
        <v>1012</v>
      </c>
      <c r="B43" s="392" t="s">
        <v>2251</v>
      </c>
      <c r="C43" s="424">
        <f ca="1">ROUND(IF('数据-取费表'!B22&lt;=1,C39*F22*'数据-取费表'!B21/2,C39*(POWER((1+F22),'数据-取费表'!B21/2)-1)),0)</f>
        <v>100</v>
      </c>
      <c r="D43" s="424"/>
      <c r="E43" s="424"/>
      <c r="F43" s="425"/>
      <c r="G43" s="3636"/>
    </row>
    <row r="44" spans="1:7" ht="13.5" customHeight="1">
      <c r="A44" s="422" t="s">
        <v>1014</v>
      </c>
      <c r="B44" s="392" t="s">
        <v>2253</v>
      </c>
      <c r="C44" s="424">
        <f ca="1">ROUND(IF('数据-取费表'!B22&lt;=1,C40*F22*'数据-取费表'!B21/2,C40*(POWER((1+F22),'数据-取费表'!B21/2)-1)),4)</f>
        <v>1.2999999999999999E-3</v>
      </c>
      <c r="D44" s="424"/>
      <c r="E44" s="424"/>
      <c r="F44" s="425"/>
      <c r="G44" s="3637"/>
    </row>
    <row r="45" spans="1:7" s="368" customFormat="1" ht="13.5" customHeight="1">
      <c r="A45" s="411" t="s">
        <v>1781</v>
      </c>
      <c r="B45" s="430" t="s">
        <v>2256</v>
      </c>
      <c r="C45" s="431">
        <f>C46</f>
        <v>13737</v>
      </c>
      <c r="D45" s="417">
        <f>C47</f>
        <v>3.3999999999999998E-3</v>
      </c>
      <c r="E45" s="418" t="s">
        <v>2277</v>
      </c>
      <c r="F45" s="432"/>
      <c r="G45" s="433" t="s">
        <v>2280</v>
      </c>
    </row>
    <row r="46" spans="1:7" s="368" customFormat="1" ht="13.5" customHeight="1">
      <c r="A46" s="422" t="s">
        <v>1010</v>
      </c>
      <c r="B46" s="434" t="s">
        <v>2281</v>
      </c>
      <c r="C46" s="435">
        <f>ROUND((C33+C39)*F27,0)</f>
        <v>13737</v>
      </c>
      <c r="D46" s="448"/>
      <c r="E46" s="418"/>
      <c r="F46" s="432"/>
      <c r="G46" s="433"/>
    </row>
    <row r="47" spans="1:7" s="368" customFormat="1" ht="13.5" customHeight="1">
      <c r="A47" s="422" t="s">
        <v>1012</v>
      </c>
      <c r="B47" s="434" t="s">
        <v>2282</v>
      </c>
      <c r="C47" s="424">
        <f>ROUND(C40*F27,4)</f>
        <v>3.3999999999999998E-3</v>
      </c>
      <c r="D47" s="448"/>
      <c r="E47" s="418"/>
      <c r="F47" s="432"/>
      <c r="G47" s="433"/>
    </row>
    <row r="48" spans="1:7" s="368" customFormat="1" ht="13.5" customHeight="1">
      <c r="A48" s="411" t="s">
        <v>1790</v>
      </c>
      <c r="B48" s="387" t="s">
        <v>2261</v>
      </c>
      <c r="C48" s="447">
        <f>F30</f>
        <v>5.6000000000000001E-2</v>
      </c>
      <c r="D48" s="418" t="s">
        <v>2283</v>
      </c>
      <c r="E48" s="414"/>
      <c r="F48" s="421"/>
      <c r="G48" s="419" t="s">
        <v>2284</v>
      </c>
    </row>
    <row r="49" spans="1:7" ht="16.5" customHeight="1">
      <c r="A49" s="411" t="s">
        <v>2260</v>
      </c>
      <c r="B49" s="387" t="s">
        <v>2285</v>
      </c>
      <c r="C49" s="414">
        <f ca="1">ROUND((C33+C39+C41+C45)/(1-C40-D41-D45-C48/(1+'数据-取费表'!B42)),0)</f>
        <v>108060</v>
      </c>
      <c r="D49" s="414"/>
      <c r="E49" s="414"/>
      <c r="F49" s="449"/>
      <c r="G49" s="419" t="s">
        <v>2286</v>
      </c>
    </row>
    <row r="50" spans="1:7" s="370" customFormat="1" ht="24">
      <c r="A50" s="411" t="s">
        <v>2287</v>
      </c>
      <c r="B50" s="387" t="s">
        <v>2288</v>
      </c>
      <c r="C50" s="414"/>
      <c r="D50" s="414"/>
      <c r="E50" s="414"/>
      <c r="F50" s="449">
        <f>IF('数据-取费表'!B24=0,'数据-取费表'!N16,1)</f>
        <v>0.95</v>
      </c>
      <c r="G50" s="433" t="s">
        <v>2289</v>
      </c>
    </row>
    <row r="51" spans="1:7" ht="16.5" customHeight="1">
      <c r="A51" s="411" t="s">
        <v>2290</v>
      </c>
      <c r="B51" s="387" t="s">
        <v>2291</v>
      </c>
      <c r="C51" s="414">
        <f ca="1">ROUND(C49*F50,0)</f>
        <v>102657</v>
      </c>
      <c r="D51" s="414"/>
      <c r="E51" s="414"/>
      <c r="F51" s="449"/>
      <c r="G51" s="419" t="s">
        <v>2292</v>
      </c>
    </row>
    <row r="52" spans="1:7" s="367" customFormat="1" ht="15.75">
      <c r="A52" s="450" t="s">
        <v>2293</v>
      </c>
      <c r="B52" s="451"/>
      <c r="C52" s="452">
        <f ca="1">C31+C51</f>
        <v>135717</v>
      </c>
      <c r="D52" s="451"/>
      <c r="E52" s="451"/>
      <c r="F52" s="451"/>
      <c r="G52" s="453"/>
    </row>
    <row r="55" spans="1:7" ht="15">
      <c r="B55" s="454" t="s">
        <v>2294</v>
      </c>
      <c r="C55" s="455"/>
    </row>
    <row r="56" spans="1:7">
      <c r="B56" s="456" t="s">
        <v>2295</v>
      </c>
      <c r="C56" s="457">
        <f ca="1">ROUND(C51/C52,3)</f>
        <v>0.75600000000000001</v>
      </c>
    </row>
    <row r="57" spans="1:7">
      <c r="B57" s="456" t="s">
        <v>2296</v>
      </c>
      <c r="C57" s="458">
        <f ca="1">1-C56</f>
        <v>0.24399999999999999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3" t="s">
        <v>2297</v>
      </c>
      <c r="B1" s="3773"/>
      <c r="C1" s="3773"/>
      <c r="D1" s="3773"/>
      <c r="E1" s="3773"/>
      <c r="F1" s="3773"/>
      <c r="G1" s="377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2298</v>
      </c>
      <c r="B2" s="338"/>
      <c r="C2" s="338"/>
      <c r="D2" s="338"/>
      <c r="E2" s="338"/>
      <c r="F2" s="338"/>
      <c r="G2" s="339" t="s">
        <v>2299</v>
      </c>
      <c r="I2" s="346" t="s">
        <v>2300</v>
      </c>
      <c r="J2" s="346" t="s">
        <v>2301</v>
      </c>
      <c r="K2" s="346" t="s">
        <v>2302</v>
      </c>
      <c r="L2" s="346" t="s">
        <v>2303</v>
      </c>
      <c r="M2" s="346" t="s">
        <v>2304</v>
      </c>
      <c r="N2" s="346" t="s">
        <v>2305</v>
      </c>
      <c r="O2" s="346" t="s">
        <v>2306</v>
      </c>
      <c r="P2" s="346" t="s">
        <v>2307</v>
      </c>
      <c r="Q2" s="346" t="s">
        <v>2308</v>
      </c>
      <c r="R2" s="346" t="s">
        <v>2309</v>
      </c>
      <c r="S2" s="346" t="s">
        <v>2310</v>
      </c>
      <c r="T2" s="346" t="s">
        <v>2311</v>
      </c>
    </row>
    <row r="3" spans="1:20" s="335" customFormat="1">
      <c r="A3" s="3775" t="s">
        <v>2312</v>
      </c>
      <c r="B3" s="340"/>
      <c r="C3" s="341" t="s">
        <v>1978</v>
      </c>
      <c r="D3" s="341" t="s">
        <v>606</v>
      </c>
      <c r="E3" s="341" t="s">
        <v>413</v>
      </c>
      <c r="F3" s="341" t="s">
        <v>409</v>
      </c>
      <c r="G3" s="341" t="s">
        <v>280</v>
      </c>
      <c r="H3" s="342"/>
      <c r="I3" s="347" t="s">
        <v>2313</v>
      </c>
      <c r="J3" s="348" t="s">
        <v>2314</v>
      </c>
      <c r="K3" s="348" t="s">
        <v>2315</v>
      </c>
      <c r="L3" s="347" t="s">
        <v>2316</v>
      </c>
      <c r="M3" s="347" t="s">
        <v>2317</v>
      </c>
      <c r="N3" s="347" t="s">
        <v>2318</v>
      </c>
      <c r="O3" s="347" t="s">
        <v>2319</v>
      </c>
      <c r="P3" s="347" t="s">
        <v>2320</v>
      </c>
      <c r="Q3" s="347" t="s">
        <v>2321</v>
      </c>
      <c r="R3" s="347" t="s">
        <v>2322</v>
      </c>
      <c r="S3" s="347" t="s">
        <v>2323</v>
      </c>
      <c r="T3" s="347" t="s">
        <v>2324</v>
      </c>
    </row>
    <row r="4" spans="1:20" s="335" customFormat="1">
      <c r="A4" s="3776"/>
      <c r="B4" s="343" t="s">
        <v>2325</v>
      </c>
      <c r="C4" s="343" t="s">
        <v>2326</v>
      </c>
      <c r="D4" s="343" t="s">
        <v>2326</v>
      </c>
      <c r="E4" s="343" t="s">
        <v>2326</v>
      </c>
      <c r="F4" s="344" t="s">
        <v>2326</v>
      </c>
      <c r="G4" s="344" t="s">
        <v>2326</v>
      </c>
      <c r="H4" s="342"/>
      <c r="I4" s="348" t="s">
        <v>2327</v>
      </c>
      <c r="J4" s="348" t="s">
        <v>2328</v>
      </c>
      <c r="K4" s="348" t="s">
        <v>2329</v>
      </c>
      <c r="L4" s="347" t="s">
        <v>2330</v>
      </c>
      <c r="M4" s="347" t="s">
        <v>2331</v>
      </c>
      <c r="N4" s="347" t="s">
        <v>2332</v>
      </c>
      <c r="O4" s="347" t="s">
        <v>2333</v>
      </c>
      <c r="P4" s="347" t="s">
        <v>2334</v>
      </c>
      <c r="Q4" s="347" t="s">
        <v>2335</v>
      </c>
      <c r="R4" s="347" t="s">
        <v>2336</v>
      </c>
      <c r="S4" s="347" t="s">
        <v>2337</v>
      </c>
      <c r="T4" s="347" t="s">
        <v>2338</v>
      </c>
    </row>
    <row r="5" spans="1:20">
      <c r="A5" s="345" t="s">
        <v>230</v>
      </c>
      <c r="B5" s="346" t="s">
        <v>2300</v>
      </c>
      <c r="C5" s="346">
        <v>34550</v>
      </c>
      <c r="D5" s="346">
        <v>34470</v>
      </c>
      <c r="E5" s="346">
        <v>34330</v>
      </c>
      <c r="F5" s="346">
        <v>13400</v>
      </c>
      <c r="G5" s="346">
        <v>25450</v>
      </c>
      <c r="H5" s="342"/>
      <c r="I5" s="347" t="s">
        <v>2339</v>
      </c>
      <c r="J5" s="348" t="s">
        <v>2340</v>
      </c>
      <c r="K5" s="348" t="s">
        <v>2341</v>
      </c>
      <c r="L5" s="347" t="s">
        <v>2342</v>
      </c>
      <c r="M5" s="347" t="s">
        <v>2343</v>
      </c>
      <c r="N5" s="347" t="s">
        <v>2344</v>
      </c>
      <c r="O5" s="347" t="s">
        <v>2345</v>
      </c>
      <c r="P5" s="347" t="s">
        <v>2346</v>
      </c>
      <c r="Q5" s="347" t="s">
        <v>2347</v>
      </c>
      <c r="R5" s="347" t="s">
        <v>2348</v>
      </c>
      <c r="S5" s="347" t="s">
        <v>2349</v>
      </c>
      <c r="T5" s="347" t="s">
        <v>2350</v>
      </c>
    </row>
    <row r="6" spans="1:20">
      <c r="A6" s="347" t="s">
        <v>230</v>
      </c>
      <c r="B6" s="347" t="s">
        <v>2313</v>
      </c>
      <c r="C6" s="347">
        <v>36990</v>
      </c>
      <c r="D6" s="347">
        <v>36850</v>
      </c>
      <c r="E6" s="347">
        <v>36700</v>
      </c>
      <c r="F6" s="347">
        <v>14590</v>
      </c>
      <c r="G6" s="347">
        <v>27450</v>
      </c>
      <c r="H6" s="342"/>
      <c r="I6" s="350" t="s">
        <v>2351</v>
      </c>
      <c r="J6" s="348" t="s">
        <v>2352</v>
      </c>
      <c r="K6" s="348" t="s">
        <v>2353</v>
      </c>
      <c r="L6" s="347" t="s">
        <v>2354</v>
      </c>
      <c r="M6" s="347" t="s">
        <v>2355</v>
      </c>
      <c r="N6" s="347" t="s">
        <v>2356</v>
      </c>
      <c r="O6" s="347" t="s">
        <v>2357</v>
      </c>
      <c r="P6" s="347" t="s">
        <v>2358</v>
      </c>
      <c r="Q6" s="347" t="s">
        <v>2359</v>
      </c>
      <c r="R6" s="347" t="s">
        <v>2360</v>
      </c>
      <c r="S6" s="347" t="s">
        <v>2361</v>
      </c>
      <c r="T6" s="347" t="s">
        <v>2362</v>
      </c>
    </row>
    <row r="7" spans="1:20">
      <c r="A7" s="347" t="s">
        <v>230</v>
      </c>
      <c r="B7" s="348" t="s">
        <v>2327</v>
      </c>
      <c r="C7" s="347">
        <v>34850</v>
      </c>
      <c r="D7" s="347">
        <v>34690</v>
      </c>
      <c r="E7" s="347">
        <v>34550</v>
      </c>
      <c r="F7" s="347">
        <v>14360</v>
      </c>
      <c r="G7" s="347">
        <v>25620</v>
      </c>
      <c r="H7" s="342"/>
      <c r="J7" s="348" t="s">
        <v>2363</v>
      </c>
      <c r="K7" s="348" t="s">
        <v>2364</v>
      </c>
      <c r="L7" s="347" t="s">
        <v>2365</v>
      </c>
      <c r="M7" s="347" t="s">
        <v>2366</v>
      </c>
      <c r="N7" s="347" t="s">
        <v>2367</v>
      </c>
      <c r="O7" s="347" t="s">
        <v>2368</v>
      </c>
      <c r="P7" s="347" t="s">
        <v>2369</v>
      </c>
      <c r="Q7" s="347" t="s">
        <v>2370</v>
      </c>
      <c r="R7" s="347" t="s">
        <v>2371</v>
      </c>
      <c r="S7" s="347" t="s">
        <v>2372</v>
      </c>
      <c r="T7" s="347" t="s">
        <v>2373</v>
      </c>
    </row>
    <row r="8" spans="1:20">
      <c r="A8" s="347" t="s">
        <v>230</v>
      </c>
      <c r="B8" s="347" t="s">
        <v>2339</v>
      </c>
      <c r="C8" s="347">
        <v>32630</v>
      </c>
      <c r="D8" s="347">
        <v>32510</v>
      </c>
      <c r="E8" s="347">
        <v>32420</v>
      </c>
      <c r="F8" s="347">
        <v>13300</v>
      </c>
      <c r="G8" s="347">
        <v>24010</v>
      </c>
      <c r="H8" s="342"/>
      <c r="J8" s="348" t="s">
        <v>2374</v>
      </c>
      <c r="K8" s="348" t="s">
        <v>2375</v>
      </c>
      <c r="L8" s="347" t="s">
        <v>2376</v>
      </c>
      <c r="M8" s="347" t="s">
        <v>2377</v>
      </c>
      <c r="N8" s="347" t="s">
        <v>2378</v>
      </c>
      <c r="O8" s="347" t="s">
        <v>2379</v>
      </c>
      <c r="P8" s="347" t="s">
        <v>2380</v>
      </c>
      <c r="Q8" s="347" t="s">
        <v>2381</v>
      </c>
      <c r="R8" s="347" t="s">
        <v>2382</v>
      </c>
      <c r="S8" s="347" t="s">
        <v>2383</v>
      </c>
      <c r="T8" s="351" t="s">
        <v>2384</v>
      </c>
    </row>
    <row r="9" spans="1:20">
      <c r="A9" s="349" t="s">
        <v>230</v>
      </c>
      <c r="B9" s="350" t="s">
        <v>2351</v>
      </c>
      <c r="C9" s="351">
        <v>36370</v>
      </c>
      <c r="D9" s="351">
        <v>36210</v>
      </c>
      <c r="E9" s="351">
        <v>36050</v>
      </c>
      <c r="F9" s="351"/>
      <c r="G9" s="351">
        <v>26740</v>
      </c>
      <c r="H9" s="342"/>
      <c r="J9" s="348" t="s">
        <v>2385</v>
      </c>
      <c r="K9" s="348" t="s">
        <v>2386</v>
      </c>
      <c r="L9" s="347" t="s">
        <v>2387</v>
      </c>
      <c r="M9" s="347" t="s">
        <v>2388</v>
      </c>
      <c r="N9" s="347" t="s">
        <v>2389</v>
      </c>
      <c r="O9" s="347" t="s">
        <v>2390</v>
      </c>
      <c r="P9" s="347" t="s">
        <v>2391</v>
      </c>
      <c r="Q9" s="347" t="s">
        <v>2392</v>
      </c>
      <c r="R9" s="347" t="s">
        <v>2393</v>
      </c>
      <c r="S9" s="347" t="s">
        <v>2394</v>
      </c>
    </row>
    <row r="10" spans="1:20">
      <c r="A10" s="345" t="s">
        <v>241</v>
      </c>
      <c r="B10" s="346" t="s">
        <v>2301</v>
      </c>
      <c r="C10" s="347">
        <v>32350</v>
      </c>
      <c r="D10" s="347">
        <v>31430</v>
      </c>
      <c r="E10" s="347">
        <v>31320</v>
      </c>
      <c r="F10" s="347">
        <v>10850</v>
      </c>
      <c r="G10" s="347">
        <v>22860</v>
      </c>
      <c r="H10" s="342"/>
      <c r="J10" s="348" t="s">
        <v>2395</v>
      </c>
      <c r="K10" s="348" t="s">
        <v>2396</v>
      </c>
      <c r="L10" s="347" t="s">
        <v>2397</v>
      </c>
      <c r="M10" s="347" t="s">
        <v>2398</v>
      </c>
      <c r="N10" s="347" t="s">
        <v>2399</v>
      </c>
      <c r="O10" s="347" t="s">
        <v>2400</v>
      </c>
      <c r="P10" s="347" t="s">
        <v>2401</v>
      </c>
      <c r="Q10" s="347" t="s">
        <v>2402</v>
      </c>
      <c r="R10" s="347" t="s">
        <v>2403</v>
      </c>
      <c r="S10" s="347" t="s">
        <v>2404</v>
      </c>
    </row>
    <row r="11" spans="1:20">
      <c r="A11" s="347" t="s">
        <v>241</v>
      </c>
      <c r="B11" s="348" t="s">
        <v>2314</v>
      </c>
      <c r="C11" s="347">
        <v>31590</v>
      </c>
      <c r="D11" s="347">
        <v>29490</v>
      </c>
      <c r="E11" s="347">
        <v>28700</v>
      </c>
      <c r="F11" s="347">
        <v>10410</v>
      </c>
      <c r="G11" s="347">
        <v>21460</v>
      </c>
      <c r="H11" s="342"/>
      <c r="J11" s="348" t="s">
        <v>2405</v>
      </c>
      <c r="K11" s="348" t="s">
        <v>2406</v>
      </c>
      <c r="L11" s="347" t="s">
        <v>2407</v>
      </c>
      <c r="M11" s="347" t="s">
        <v>2408</v>
      </c>
      <c r="N11" s="347" t="s">
        <v>2409</v>
      </c>
      <c r="O11" s="347" t="s">
        <v>2410</v>
      </c>
      <c r="P11" s="347" t="s">
        <v>2411</v>
      </c>
      <c r="Q11" s="347" t="s">
        <v>2412</v>
      </c>
      <c r="R11" s="347" t="s">
        <v>2413</v>
      </c>
      <c r="S11" s="347" t="s">
        <v>2414</v>
      </c>
    </row>
    <row r="12" spans="1:20">
      <c r="A12" s="347" t="s">
        <v>241</v>
      </c>
      <c r="B12" s="348" t="s">
        <v>2328</v>
      </c>
      <c r="C12" s="347">
        <v>29640</v>
      </c>
      <c r="D12" s="347">
        <v>27550</v>
      </c>
      <c r="E12" s="347">
        <v>28010</v>
      </c>
      <c r="F12" s="347">
        <v>8730</v>
      </c>
      <c r="G12" s="347">
        <v>20050</v>
      </c>
      <c r="H12" s="342"/>
      <c r="J12" s="348" t="s">
        <v>2415</v>
      </c>
      <c r="K12" s="348" t="s">
        <v>2416</v>
      </c>
      <c r="L12" s="347" t="s">
        <v>2417</v>
      </c>
      <c r="M12" s="347" t="s">
        <v>2418</v>
      </c>
      <c r="N12" s="347" t="s">
        <v>2419</v>
      </c>
      <c r="O12" s="347" t="s">
        <v>2420</v>
      </c>
      <c r="P12" s="347" t="s">
        <v>2421</v>
      </c>
      <c r="Q12" s="347" t="s">
        <v>2422</v>
      </c>
      <c r="R12" s="347" t="s">
        <v>2423</v>
      </c>
      <c r="S12" s="347" t="s">
        <v>2424</v>
      </c>
    </row>
    <row r="13" spans="1:20">
      <c r="A13" s="347" t="s">
        <v>241</v>
      </c>
      <c r="B13" s="348" t="s">
        <v>2340</v>
      </c>
      <c r="C13" s="347">
        <v>29680</v>
      </c>
      <c r="D13" s="347">
        <v>27660</v>
      </c>
      <c r="E13" s="347">
        <v>28210</v>
      </c>
      <c r="F13" s="347">
        <v>9590</v>
      </c>
      <c r="G13" s="347">
        <v>20120</v>
      </c>
      <c r="H13" s="342"/>
      <c r="J13" s="348" t="s">
        <v>2425</v>
      </c>
      <c r="K13" s="348" t="s">
        <v>2426</v>
      </c>
      <c r="L13" s="347" t="s">
        <v>2427</v>
      </c>
      <c r="M13" s="347" t="s">
        <v>2428</v>
      </c>
      <c r="N13" s="347" t="s">
        <v>2429</v>
      </c>
      <c r="O13" s="347" t="s">
        <v>2430</v>
      </c>
      <c r="P13" s="347" t="s">
        <v>2431</v>
      </c>
      <c r="Q13" s="347" t="s">
        <v>2432</v>
      </c>
      <c r="R13" s="347" t="s">
        <v>2433</v>
      </c>
      <c r="S13" s="347" t="s">
        <v>2434</v>
      </c>
    </row>
    <row r="14" spans="1:20">
      <c r="A14" s="347" t="s">
        <v>241</v>
      </c>
      <c r="B14" s="348" t="s">
        <v>2352</v>
      </c>
      <c r="C14" s="347">
        <v>30520</v>
      </c>
      <c r="D14" s="347">
        <v>29510</v>
      </c>
      <c r="E14" s="347">
        <v>29400</v>
      </c>
      <c r="F14" s="347">
        <v>9630</v>
      </c>
      <c r="G14" s="347">
        <v>21480</v>
      </c>
      <c r="H14" s="342"/>
      <c r="J14" s="348" t="s">
        <v>2435</v>
      </c>
      <c r="K14" s="348" t="s">
        <v>2436</v>
      </c>
      <c r="L14" s="347" t="s">
        <v>2437</v>
      </c>
      <c r="M14" s="347" t="s">
        <v>2438</v>
      </c>
      <c r="N14" s="347" t="s">
        <v>2439</v>
      </c>
      <c r="O14" s="347" t="s">
        <v>2440</v>
      </c>
      <c r="P14" s="347" t="s">
        <v>2441</v>
      </c>
      <c r="Q14" s="347" t="s">
        <v>2442</v>
      </c>
      <c r="R14" s="347" t="s">
        <v>2443</v>
      </c>
      <c r="S14" s="347" t="s">
        <v>2444</v>
      </c>
    </row>
    <row r="15" spans="1:20">
      <c r="A15" s="347" t="s">
        <v>241</v>
      </c>
      <c r="B15" s="348" t="s">
        <v>2363</v>
      </c>
      <c r="C15" s="347">
        <v>29090</v>
      </c>
      <c r="D15" s="347">
        <v>27590</v>
      </c>
      <c r="E15" s="347">
        <v>28120</v>
      </c>
      <c r="F15" s="347">
        <v>9110</v>
      </c>
      <c r="G15" s="347">
        <v>20070</v>
      </c>
      <c r="H15" s="342"/>
      <c r="J15" s="348" t="s">
        <v>2445</v>
      </c>
      <c r="K15" s="348" t="s">
        <v>2446</v>
      </c>
      <c r="L15" s="347" t="s">
        <v>2447</v>
      </c>
      <c r="M15" s="347" t="s">
        <v>2448</v>
      </c>
      <c r="N15" s="347" t="s">
        <v>2449</v>
      </c>
      <c r="O15" s="347" t="s">
        <v>2450</v>
      </c>
      <c r="P15" s="347" t="s">
        <v>2451</v>
      </c>
      <c r="Q15" s="347" t="s">
        <v>2452</v>
      </c>
      <c r="R15" s="347" t="s">
        <v>2453</v>
      </c>
      <c r="S15" s="347" t="s">
        <v>2454</v>
      </c>
    </row>
    <row r="16" spans="1:20">
      <c r="A16" s="347" t="s">
        <v>241</v>
      </c>
      <c r="B16" s="348" t="s">
        <v>2374</v>
      </c>
      <c r="C16" s="347">
        <v>26790</v>
      </c>
      <c r="D16" s="347">
        <v>30370</v>
      </c>
      <c r="E16" s="347">
        <v>30240</v>
      </c>
      <c r="F16" s="347">
        <v>11590</v>
      </c>
      <c r="G16" s="347">
        <v>22090</v>
      </c>
      <c r="H16" s="342"/>
      <c r="J16" s="348" t="s">
        <v>2455</v>
      </c>
      <c r="K16" s="348" t="s">
        <v>2456</v>
      </c>
      <c r="L16" s="347" t="s">
        <v>2457</v>
      </c>
      <c r="M16" s="347" t="s">
        <v>2458</v>
      </c>
      <c r="N16" s="347" t="s">
        <v>2459</v>
      </c>
      <c r="O16" s="347" t="s">
        <v>2460</v>
      </c>
      <c r="P16" s="347" t="s">
        <v>2461</v>
      </c>
      <c r="Q16" s="347" t="s">
        <v>2462</v>
      </c>
      <c r="R16" s="347" t="s">
        <v>2463</v>
      </c>
      <c r="S16" s="347" t="s">
        <v>2464</v>
      </c>
    </row>
    <row r="17" spans="1:19" ht="14.25" customHeight="1">
      <c r="A17" s="347" t="s">
        <v>241</v>
      </c>
      <c r="B17" s="348" t="s">
        <v>2385</v>
      </c>
      <c r="C17" s="347">
        <v>29180</v>
      </c>
      <c r="D17" s="347">
        <v>27620</v>
      </c>
      <c r="E17" s="347">
        <v>28180</v>
      </c>
      <c r="F17" s="347">
        <v>10790</v>
      </c>
      <c r="G17" s="347">
        <v>20090</v>
      </c>
      <c r="H17" s="342"/>
      <c r="J17" s="348" t="s">
        <v>2465</v>
      </c>
      <c r="K17" s="348" t="s">
        <v>2466</v>
      </c>
      <c r="L17" s="347" t="s">
        <v>2467</v>
      </c>
      <c r="M17" s="347" t="s">
        <v>2468</v>
      </c>
      <c r="N17" s="347" t="s">
        <v>2469</v>
      </c>
      <c r="O17" s="347" t="s">
        <v>2470</v>
      </c>
      <c r="P17" s="347" t="s">
        <v>2471</v>
      </c>
      <c r="Q17" s="347" t="s">
        <v>2472</v>
      </c>
      <c r="R17" s="347" t="s">
        <v>2473</v>
      </c>
      <c r="S17" s="347" t="s">
        <v>2474</v>
      </c>
    </row>
    <row r="18" spans="1:19" ht="14.25" customHeight="1">
      <c r="A18" s="347" t="s">
        <v>241</v>
      </c>
      <c r="B18" s="348" t="s">
        <v>2395</v>
      </c>
      <c r="C18" s="347">
        <v>26840</v>
      </c>
      <c r="D18" s="347">
        <v>28930</v>
      </c>
      <c r="E18" s="347">
        <v>28820</v>
      </c>
      <c r="F18" s="347"/>
      <c r="G18" s="347">
        <v>21050</v>
      </c>
      <c r="H18" s="342"/>
      <c r="J18" s="348" t="s">
        <v>2475</v>
      </c>
      <c r="K18" s="348" t="s">
        <v>499</v>
      </c>
      <c r="L18" s="347" t="s">
        <v>2476</v>
      </c>
      <c r="M18" s="347" t="s">
        <v>2477</v>
      </c>
      <c r="N18" s="347" t="s">
        <v>2478</v>
      </c>
      <c r="O18" s="347" t="s">
        <v>2479</v>
      </c>
      <c r="P18" s="347" t="s">
        <v>2480</v>
      </c>
      <c r="Q18" s="347" t="s">
        <v>2481</v>
      </c>
      <c r="R18" s="347" t="s">
        <v>2482</v>
      </c>
      <c r="S18" s="347" t="s">
        <v>2483</v>
      </c>
    </row>
    <row r="19" spans="1:19" ht="14.25" customHeight="1">
      <c r="A19" s="347" t="s">
        <v>241</v>
      </c>
      <c r="B19" s="348" t="s">
        <v>2405</v>
      </c>
      <c r="C19" s="347">
        <v>27750</v>
      </c>
      <c r="D19" s="347">
        <v>26680</v>
      </c>
      <c r="E19" s="347">
        <v>26590</v>
      </c>
      <c r="F19" s="347"/>
      <c r="G19" s="347">
        <v>19420</v>
      </c>
      <c r="H19" s="342"/>
      <c r="J19" s="348" t="s">
        <v>2484</v>
      </c>
      <c r="K19" s="348" t="s">
        <v>2485</v>
      </c>
      <c r="L19" s="347" t="s">
        <v>2486</v>
      </c>
      <c r="M19" s="347" t="s">
        <v>2487</v>
      </c>
      <c r="N19" s="347" t="s">
        <v>2488</v>
      </c>
      <c r="O19" s="347" t="s">
        <v>2489</v>
      </c>
      <c r="P19" s="347" t="s">
        <v>2490</v>
      </c>
      <c r="Q19" s="347" t="s">
        <v>2491</v>
      </c>
      <c r="R19" s="347" t="s">
        <v>2492</v>
      </c>
      <c r="S19" s="347" t="s">
        <v>2493</v>
      </c>
    </row>
    <row r="20" spans="1:19" ht="14.25" customHeight="1">
      <c r="A20" s="347" t="s">
        <v>241</v>
      </c>
      <c r="B20" s="348" t="s">
        <v>2415</v>
      </c>
      <c r="C20" s="347">
        <v>27050</v>
      </c>
      <c r="D20" s="347">
        <v>29010</v>
      </c>
      <c r="E20" s="347">
        <v>28910</v>
      </c>
      <c r="F20" s="347"/>
      <c r="G20" s="347">
        <v>21110</v>
      </c>
      <c r="J20" s="348" t="s">
        <v>2494</v>
      </c>
      <c r="K20" s="348" t="s">
        <v>2495</v>
      </c>
      <c r="L20" s="347" t="s">
        <v>2496</v>
      </c>
      <c r="M20" s="347" t="s">
        <v>2497</v>
      </c>
      <c r="N20" s="347" t="s">
        <v>2498</v>
      </c>
      <c r="O20" s="347" t="s">
        <v>2499</v>
      </c>
      <c r="P20" s="347" t="s">
        <v>2500</v>
      </c>
      <c r="Q20" s="347" t="s">
        <v>2501</v>
      </c>
      <c r="R20" s="347" t="s">
        <v>2502</v>
      </c>
      <c r="S20" s="347" t="s">
        <v>2503</v>
      </c>
    </row>
    <row r="21" spans="1:19" ht="14.25" customHeight="1">
      <c r="A21" s="347" t="s">
        <v>241</v>
      </c>
      <c r="B21" s="348" t="s">
        <v>2425</v>
      </c>
      <c r="C21" s="347">
        <v>32370</v>
      </c>
      <c r="D21" s="347">
        <v>26730</v>
      </c>
      <c r="E21" s="347">
        <v>26640</v>
      </c>
      <c r="F21" s="347"/>
      <c r="G21" s="347">
        <v>19440</v>
      </c>
      <c r="J21" s="351" t="s">
        <v>2504</v>
      </c>
      <c r="K21" s="348" t="s">
        <v>2505</v>
      </c>
      <c r="L21" s="347" t="s">
        <v>2506</v>
      </c>
      <c r="M21" s="347" t="s">
        <v>2507</v>
      </c>
      <c r="N21" s="347" t="s">
        <v>2508</v>
      </c>
      <c r="O21" s="347" t="s">
        <v>2509</v>
      </c>
      <c r="P21" s="347" t="s">
        <v>2510</v>
      </c>
      <c r="Q21" s="347" t="s">
        <v>2511</v>
      </c>
      <c r="R21" s="347" t="s">
        <v>2512</v>
      </c>
      <c r="S21" s="351" t="s">
        <v>2513</v>
      </c>
    </row>
    <row r="22" spans="1:19" ht="14.25" customHeight="1">
      <c r="A22" s="347" t="s">
        <v>241</v>
      </c>
      <c r="B22" s="348" t="s">
        <v>2435</v>
      </c>
      <c r="C22" s="347">
        <v>29830</v>
      </c>
      <c r="D22" s="347">
        <v>27600</v>
      </c>
      <c r="E22" s="347">
        <v>28150</v>
      </c>
      <c r="F22" s="347"/>
      <c r="G22" s="347">
        <v>20080</v>
      </c>
      <c r="K22" s="348" t="s">
        <v>2514</v>
      </c>
      <c r="L22" s="347" t="s">
        <v>2515</v>
      </c>
      <c r="M22" s="347" t="s">
        <v>2516</v>
      </c>
      <c r="N22" s="347" t="s">
        <v>2517</v>
      </c>
      <c r="O22" s="347" t="s">
        <v>2518</v>
      </c>
      <c r="P22" s="347" t="s">
        <v>2519</v>
      </c>
      <c r="Q22" s="347" t="s">
        <v>2520</v>
      </c>
      <c r="R22" s="347" t="s">
        <v>2521</v>
      </c>
    </row>
    <row r="23" spans="1:19" ht="14.25" customHeight="1">
      <c r="A23" s="347" t="s">
        <v>241</v>
      </c>
      <c r="B23" s="348" t="s">
        <v>2445</v>
      </c>
      <c r="C23" s="347">
        <v>27800</v>
      </c>
      <c r="D23" s="347">
        <v>26900</v>
      </c>
      <c r="E23" s="347">
        <v>27170</v>
      </c>
      <c r="F23" s="347"/>
      <c r="G23" s="347">
        <v>19570</v>
      </c>
      <c r="K23" s="348" t="s">
        <v>2522</v>
      </c>
      <c r="L23" s="347" t="s">
        <v>2523</v>
      </c>
      <c r="M23" s="347" t="s">
        <v>2524</v>
      </c>
      <c r="N23" s="347" t="s">
        <v>2525</v>
      </c>
      <c r="O23" s="347" t="s">
        <v>2526</v>
      </c>
      <c r="P23" s="347" t="s">
        <v>2527</v>
      </c>
      <c r="Q23" s="347" t="s">
        <v>2528</v>
      </c>
      <c r="R23" s="347" t="s">
        <v>2529</v>
      </c>
    </row>
    <row r="24" spans="1:19" ht="14.25" customHeight="1">
      <c r="A24" s="347" t="s">
        <v>241</v>
      </c>
      <c r="B24" s="348" t="s">
        <v>2455</v>
      </c>
      <c r="C24" s="347">
        <v>27930</v>
      </c>
      <c r="D24" s="347">
        <v>32260</v>
      </c>
      <c r="E24" s="347">
        <v>32120</v>
      </c>
      <c r="F24" s="347"/>
      <c r="G24" s="347">
        <v>23470</v>
      </c>
      <c r="K24" s="348" t="s">
        <v>2530</v>
      </c>
      <c r="L24" s="347" t="s">
        <v>2531</v>
      </c>
      <c r="M24" s="347" t="s">
        <v>2532</v>
      </c>
      <c r="N24" s="347" t="s">
        <v>2533</v>
      </c>
      <c r="O24" s="347" t="s">
        <v>2534</v>
      </c>
      <c r="P24" s="347" t="s">
        <v>2535</v>
      </c>
      <c r="Q24" s="361" t="s">
        <v>2536</v>
      </c>
      <c r="R24" s="347" t="s">
        <v>2537</v>
      </c>
    </row>
    <row r="25" spans="1:19" ht="14.25" customHeight="1">
      <c r="A25" s="347" t="s">
        <v>241</v>
      </c>
      <c r="B25" s="348" t="s">
        <v>2465</v>
      </c>
      <c r="C25" s="347">
        <v>32230</v>
      </c>
      <c r="D25" s="347">
        <v>29640</v>
      </c>
      <c r="E25" s="347">
        <v>29510</v>
      </c>
      <c r="F25" s="347"/>
      <c r="G25" s="347">
        <v>21560</v>
      </c>
      <c r="K25" s="348" t="s">
        <v>2538</v>
      </c>
      <c r="L25" s="347" t="s">
        <v>2539</v>
      </c>
      <c r="M25" s="347" t="s">
        <v>2540</v>
      </c>
      <c r="N25" s="347" t="s">
        <v>2541</v>
      </c>
      <c r="O25" s="347" t="s">
        <v>2542</v>
      </c>
      <c r="P25" s="347" t="s">
        <v>2543</v>
      </c>
      <c r="Q25" s="361" t="s">
        <v>2544</v>
      </c>
      <c r="R25" s="347" t="s">
        <v>2545</v>
      </c>
    </row>
    <row r="26" spans="1:19" ht="14.25" customHeight="1">
      <c r="A26" s="347" t="s">
        <v>241</v>
      </c>
      <c r="B26" s="348" t="s">
        <v>2475</v>
      </c>
      <c r="C26" s="347">
        <v>31690</v>
      </c>
      <c r="D26" s="347">
        <v>27650</v>
      </c>
      <c r="E26" s="347">
        <v>28200</v>
      </c>
      <c r="F26" s="347"/>
      <c r="G26" s="347">
        <v>20110</v>
      </c>
      <c r="K26" s="350" t="s">
        <v>2546</v>
      </c>
      <c r="L26" s="347" t="s">
        <v>2547</v>
      </c>
      <c r="M26" s="347" t="s">
        <v>2548</v>
      </c>
      <c r="N26" s="347" t="s">
        <v>2549</v>
      </c>
      <c r="O26" s="347" t="s">
        <v>2550</v>
      </c>
      <c r="P26" s="347" t="s">
        <v>2551</v>
      </c>
      <c r="Q26" s="361" t="s">
        <v>2552</v>
      </c>
      <c r="R26" s="347" t="s">
        <v>2553</v>
      </c>
    </row>
    <row r="27" spans="1:19" ht="14.25" customHeight="1">
      <c r="A27" s="347" t="s">
        <v>241</v>
      </c>
      <c r="B27" s="348" t="s">
        <v>2484</v>
      </c>
      <c r="C27" s="347">
        <v>29610</v>
      </c>
      <c r="D27" s="347">
        <v>27770</v>
      </c>
      <c r="E27" s="347">
        <v>28300</v>
      </c>
      <c r="F27" s="347"/>
      <c r="G27" s="347">
        <v>20210</v>
      </c>
      <c r="L27" s="347" t="s">
        <v>2554</v>
      </c>
      <c r="M27" s="347" t="s">
        <v>2555</v>
      </c>
      <c r="N27" s="347" t="s">
        <v>2556</v>
      </c>
      <c r="O27" s="347" t="s">
        <v>2557</v>
      </c>
      <c r="P27" s="347" t="s">
        <v>2558</v>
      </c>
      <c r="Q27" s="347" t="s">
        <v>2559</v>
      </c>
      <c r="R27" s="347" t="s">
        <v>2560</v>
      </c>
    </row>
    <row r="28" spans="1:19" ht="14.25" customHeight="1">
      <c r="A28" s="347" t="s">
        <v>241</v>
      </c>
      <c r="B28" s="348" t="s">
        <v>2494</v>
      </c>
      <c r="C28" s="347"/>
      <c r="D28" s="347">
        <v>31520</v>
      </c>
      <c r="E28" s="347">
        <v>31410</v>
      </c>
      <c r="F28" s="347"/>
      <c r="G28" s="347">
        <v>22940</v>
      </c>
      <c r="L28" s="347" t="s">
        <v>2561</v>
      </c>
      <c r="M28" s="347" t="s">
        <v>2562</v>
      </c>
      <c r="N28" s="347" t="s">
        <v>2563</v>
      </c>
      <c r="O28" s="347" t="s">
        <v>2564</v>
      </c>
      <c r="P28" s="347" t="s">
        <v>2565</v>
      </c>
      <c r="Q28" s="347" t="s">
        <v>2566</v>
      </c>
      <c r="R28" s="347" t="s">
        <v>2567</v>
      </c>
    </row>
    <row r="29" spans="1:19" ht="14.25" customHeight="1">
      <c r="A29" s="349" t="s">
        <v>241</v>
      </c>
      <c r="B29" s="352" t="s">
        <v>2504</v>
      </c>
      <c r="C29" s="353"/>
      <c r="D29" s="353">
        <v>29460</v>
      </c>
      <c r="E29" s="353">
        <v>28640</v>
      </c>
      <c r="F29" s="353"/>
      <c r="G29" s="353">
        <v>21430</v>
      </c>
      <c r="L29" s="347" t="s">
        <v>2568</v>
      </c>
      <c r="M29" s="347" t="s">
        <v>2569</v>
      </c>
      <c r="N29" s="347" t="s">
        <v>2570</v>
      </c>
      <c r="O29" s="347" t="s">
        <v>2571</v>
      </c>
      <c r="P29" s="347" t="s">
        <v>2572</v>
      </c>
      <c r="Q29" s="347" t="s">
        <v>2573</v>
      </c>
      <c r="R29" s="347" t="s">
        <v>2574</v>
      </c>
    </row>
    <row r="30" spans="1:19" ht="14.25" customHeight="1">
      <c r="A30" s="345" t="s">
        <v>251</v>
      </c>
      <c r="B30" s="346" t="s">
        <v>2302</v>
      </c>
      <c r="C30" s="346">
        <v>26890</v>
      </c>
      <c r="D30" s="346">
        <v>26770</v>
      </c>
      <c r="E30" s="346">
        <v>25700</v>
      </c>
      <c r="F30" s="346">
        <v>8180</v>
      </c>
      <c r="G30" s="354">
        <v>18740</v>
      </c>
      <c r="L30" s="347" t="s">
        <v>2575</v>
      </c>
      <c r="M30" s="347" t="s">
        <v>2576</v>
      </c>
      <c r="N30" s="347" t="s">
        <v>2577</v>
      </c>
      <c r="O30" s="347" t="s">
        <v>2578</v>
      </c>
      <c r="P30" s="347" t="s">
        <v>2579</v>
      </c>
      <c r="Q30" s="347" t="s">
        <v>2580</v>
      </c>
      <c r="R30" s="347" t="s">
        <v>2581</v>
      </c>
    </row>
    <row r="31" spans="1:19" ht="14.25" customHeight="1">
      <c r="A31" s="347" t="s">
        <v>251</v>
      </c>
      <c r="B31" s="348" t="s">
        <v>2315</v>
      </c>
      <c r="C31" s="347">
        <v>24550</v>
      </c>
      <c r="D31" s="347">
        <v>23990</v>
      </c>
      <c r="E31" s="347">
        <v>22930</v>
      </c>
      <c r="F31" s="347">
        <v>7470</v>
      </c>
      <c r="G31" s="355">
        <v>16790</v>
      </c>
      <c r="L31" s="347" t="s">
        <v>2582</v>
      </c>
      <c r="M31" s="347" t="s">
        <v>2583</v>
      </c>
      <c r="N31" s="347" t="s">
        <v>2584</v>
      </c>
      <c r="O31" s="347" t="s">
        <v>2585</v>
      </c>
      <c r="P31" s="347" t="s">
        <v>2586</v>
      </c>
      <c r="Q31" s="347" t="s">
        <v>2587</v>
      </c>
      <c r="R31" s="347" t="s">
        <v>2588</v>
      </c>
    </row>
    <row r="32" spans="1:19" ht="14.25" customHeight="1">
      <c r="A32" s="347" t="s">
        <v>251</v>
      </c>
      <c r="B32" s="348" t="s">
        <v>2329</v>
      </c>
      <c r="C32" s="347">
        <v>27210</v>
      </c>
      <c r="D32" s="347">
        <v>23240</v>
      </c>
      <c r="E32" s="347">
        <v>23260</v>
      </c>
      <c r="F32" s="347">
        <v>7130</v>
      </c>
      <c r="G32" s="355">
        <v>16270</v>
      </c>
      <c r="L32" s="347" t="s">
        <v>2589</v>
      </c>
      <c r="M32" s="347" t="s">
        <v>2590</v>
      </c>
      <c r="N32" s="347" t="s">
        <v>2591</v>
      </c>
      <c r="O32" s="347" t="s">
        <v>2592</v>
      </c>
      <c r="P32" s="347" t="s">
        <v>2593</v>
      </c>
      <c r="Q32" s="347" t="s">
        <v>2594</v>
      </c>
      <c r="R32" s="351" t="s">
        <v>2595</v>
      </c>
    </row>
    <row r="33" spans="1:17" ht="14.25" customHeight="1">
      <c r="A33" s="347" t="s">
        <v>251</v>
      </c>
      <c r="B33" s="348" t="s">
        <v>2341</v>
      </c>
      <c r="C33" s="347">
        <v>27300</v>
      </c>
      <c r="D33" s="347">
        <v>22980</v>
      </c>
      <c r="E33" s="347">
        <v>24260</v>
      </c>
      <c r="F33" s="347">
        <v>5860</v>
      </c>
      <c r="G33" s="355">
        <v>16090</v>
      </c>
      <c r="L33" s="351" t="s">
        <v>2596</v>
      </c>
      <c r="M33" s="347" t="s">
        <v>2597</v>
      </c>
      <c r="N33" s="347" t="s">
        <v>2598</v>
      </c>
      <c r="O33" s="347" t="s">
        <v>2599</v>
      </c>
      <c r="P33" s="347" t="s">
        <v>2600</v>
      </c>
      <c r="Q33" s="347" t="s">
        <v>2601</v>
      </c>
    </row>
    <row r="34" spans="1:17" ht="14.25" customHeight="1">
      <c r="A34" s="347" t="s">
        <v>251</v>
      </c>
      <c r="B34" s="348" t="s">
        <v>2353</v>
      </c>
      <c r="C34" s="347">
        <v>23090</v>
      </c>
      <c r="D34" s="347">
        <v>23390</v>
      </c>
      <c r="E34" s="347">
        <v>23510</v>
      </c>
      <c r="F34" s="347">
        <v>6700</v>
      </c>
      <c r="G34" s="355">
        <v>16370</v>
      </c>
      <c r="M34" s="347" t="s">
        <v>2602</v>
      </c>
      <c r="N34" s="347" t="s">
        <v>2603</v>
      </c>
      <c r="O34" s="347" t="s">
        <v>2604</v>
      </c>
      <c r="P34" s="347" t="s">
        <v>2605</v>
      </c>
      <c r="Q34" s="347" t="s">
        <v>2606</v>
      </c>
    </row>
    <row r="35" spans="1:17" ht="14.25" customHeight="1">
      <c r="A35" s="347" t="s">
        <v>251</v>
      </c>
      <c r="B35" s="348" t="s">
        <v>2364</v>
      </c>
      <c r="C35" s="347">
        <v>27270</v>
      </c>
      <c r="D35" s="347">
        <v>24270</v>
      </c>
      <c r="E35" s="347">
        <v>24950</v>
      </c>
      <c r="F35" s="347">
        <v>6600</v>
      </c>
      <c r="G35" s="355">
        <v>16990</v>
      </c>
      <c r="M35" s="347" t="s">
        <v>2607</v>
      </c>
      <c r="N35" s="347" t="s">
        <v>2608</v>
      </c>
      <c r="O35" s="347" t="s">
        <v>2609</v>
      </c>
      <c r="P35" s="347" t="s">
        <v>2610</v>
      </c>
      <c r="Q35" s="347" t="s">
        <v>2611</v>
      </c>
    </row>
    <row r="36" spans="1:17" ht="14.25" customHeight="1">
      <c r="A36" s="347" t="s">
        <v>251</v>
      </c>
      <c r="B36" s="348" t="s">
        <v>2375</v>
      </c>
      <c r="C36" s="347">
        <v>23490</v>
      </c>
      <c r="D36" s="347">
        <v>23020</v>
      </c>
      <c r="E36" s="347">
        <v>25230</v>
      </c>
      <c r="F36" s="347">
        <v>6780</v>
      </c>
      <c r="G36" s="355">
        <v>16120</v>
      </c>
      <c r="M36" s="347" t="s">
        <v>2612</v>
      </c>
      <c r="N36" s="347" t="s">
        <v>2613</v>
      </c>
      <c r="O36" s="347" t="s">
        <v>2614</v>
      </c>
      <c r="P36" s="347" t="s">
        <v>2615</v>
      </c>
      <c r="Q36" s="347" t="s">
        <v>2616</v>
      </c>
    </row>
    <row r="37" spans="1:17" ht="14.25" customHeight="1">
      <c r="A37" s="347" t="s">
        <v>251</v>
      </c>
      <c r="B37" s="348" t="s">
        <v>2386</v>
      </c>
      <c r="C37" s="347">
        <v>24380</v>
      </c>
      <c r="D37" s="347">
        <v>22240</v>
      </c>
      <c r="E37" s="347">
        <v>25980</v>
      </c>
      <c r="F37" s="347">
        <v>8160</v>
      </c>
      <c r="G37" s="355">
        <v>15570</v>
      </c>
      <c r="M37" s="347" t="s">
        <v>2617</v>
      </c>
      <c r="N37" s="347" t="s">
        <v>2618</v>
      </c>
      <c r="O37" s="347" t="s">
        <v>2619</v>
      </c>
      <c r="P37" s="347" t="s">
        <v>2620</v>
      </c>
      <c r="Q37" s="347" t="s">
        <v>2621</v>
      </c>
    </row>
    <row r="38" spans="1:17" ht="14.25" customHeight="1">
      <c r="A38" s="347" t="s">
        <v>251</v>
      </c>
      <c r="B38" s="348" t="s">
        <v>2396</v>
      </c>
      <c r="C38" s="347">
        <v>23120</v>
      </c>
      <c r="D38" s="347">
        <v>24630</v>
      </c>
      <c r="E38" s="347">
        <v>25030</v>
      </c>
      <c r="F38" s="347">
        <v>7710</v>
      </c>
      <c r="G38" s="355">
        <v>17240</v>
      </c>
      <c r="M38" s="347" t="s">
        <v>2622</v>
      </c>
      <c r="N38" s="347" t="s">
        <v>2623</v>
      </c>
      <c r="O38" s="347" t="s">
        <v>2624</v>
      </c>
      <c r="P38" s="347" t="s">
        <v>2625</v>
      </c>
      <c r="Q38" s="347" t="s">
        <v>2626</v>
      </c>
    </row>
    <row r="39" spans="1:17" ht="14.25" customHeight="1">
      <c r="A39" s="347" t="s">
        <v>251</v>
      </c>
      <c r="B39" s="348" t="s">
        <v>2406</v>
      </c>
      <c r="C39" s="347">
        <v>22330</v>
      </c>
      <c r="D39" s="347">
        <v>21140</v>
      </c>
      <c r="E39" s="347">
        <v>23970</v>
      </c>
      <c r="F39" s="347">
        <v>7940</v>
      </c>
      <c r="G39" s="355">
        <v>14790</v>
      </c>
      <c r="M39" s="347" t="s">
        <v>2627</v>
      </c>
      <c r="N39" s="347" t="s">
        <v>2628</v>
      </c>
      <c r="O39" s="347" t="s">
        <v>2629</v>
      </c>
      <c r="P39" s="347" t="s">
        <v>2630</v>
      </c>
      <c r="Q39" s="347" t="s">
        <v>2631</v>
      </c>
    </row>
    <row r="40" spans="1:17" ht="14.25" customHeight="1">
      <c r="A40" s="347" t="s">
        <v>251</v>
      </c>
      <c r="B40" s="348" t="s">
        <v>2416</v>
      </c>
      <c r="C40" s="347">
        <v>24740</v>
      </c>
      <c r="D40" s="347">
        <v>24690</v>
      </c>
      <c r="E40" s="347">
        <v>22610</v>
      </c>
      <c r="F40" s="347"/>
      <c r="G40" s="355">
        <v>17280</v>
      </c>
      <c r="M40" s="347" t="s">
        <v>2632</v>
      </c>
      <c r="N40" s="347" t="s">
        <v>2633</v>
      </c>
      <c r="O40" s="347" t="s">
        <v>2634</v>
      </c>
      <c r="P40" s="347" t="s">
        <v>2635</v>
      </c>
      <c r="Q40" s="347" t="s">
        <v>2636</v>
      </c>
    </row>
    <row r="41" spans="1:17" ht="14.25" customHeight="1">
      <c r="A41" s="347" t="s">
        <v>251</v>
      </c>
      <c r="B41" s="348" t="s">
        <v>2426</v>
      </c>
      <c r="C41" s="347">
        <v>21220</v>
      </c>
      <c r="D41" s="347">
        <v>21120</v>
      </c>
      <c r="E41" s="347">
        <v>22590</v>
      </c>
      <c r="F41" s="347"/>
      <c r="G41" s="355">
        <v>14780</v>
      </c>
      <c r="M41" s="351" t="s">
        <v>2637</v>
      </c>
      <c r="N41" s="347" t="s">
        <v>2638</v>
      </c>
      <c r="O41" s="347" t="s">
        <v>2639</v>
      </c>
      <c r="P41" s="347" t="s">
        <v>2640</v>
      </c>
      <c r="Q41" s="347" t="s">
        <v>2641</v>
      </c>
    </row>
    <row r="42" spans="1:17" ht="14.25" customHeight="1">
      <c r="A42" s="347" t="s">
        <v>251</v>
      </c>
      <c r="B42" s="348" t="s">
        <v>2436</v>
      </c>
      <c r="C42" s="347">
        <v>24800</v>
      </c>
      <c r="D42" s="347">
        <v>22280</v>
      </c>
      <c r="E42" s="347">
        <v>24350</v>
      </c>
      <c r="F42" s="347"/>
      <c r="G42" s="355">
        <v>15590</v>
      </c>
      <c r="N42" s="347" t="s">
        <v>2642</v>
      </c>
      <c r="O42" s="347" t="s">
        <v>2643</v>
      </c>
      <c r="P42" s="347" t="s">
        <v>2644</v>
      </c>
      <c r="Q42" s="347" t="s">
        <v>2645</v>
      </c>
    </row>
    <row r="43" spans="1:17" ht="14.25" customHeight="1">
      <c r="A43" s="347" t="s">
        <v>251</v>
      </c>
      <c r="B43" s="348" t="s">
        <v>2446</v>
      </c>
      <c r="C43" s="347">
        <v>21210</v>
      </c>
      <c r="D43" s="347">
        <v>21160</v>
      </c>
      <c r="E43" s="347">
        <v>22650</v>
      </c>
      <c r="F43" s="347"/>
      <c r="G43" s="355">
        <v>14800</v>
      </c>
      <c r="N43" s="347" t="s">
        <v>2646</v>
      </c>
      <c r="O43" s="347" t="s">
        <v>2647</v>
      </c>
      <c r="P43" s="347" t="s">
        <v>2648</v>
      </c>
      <c r="Q43" s="347" t="s">
        <v>2649</v>
      </c>
    </row>
    <row r="44" spans="1:17" ht="14.25" customHeight="1">
      <c r="A44" s="347" t="s">
        <v>251</v>
      </c>
      <c r="B44" s="348" t="s">
        <v>2456</v>
      </c>
      <c r="C44" s="347">
        <v>22370</v>
      </c>
      <c r="D44" s="347">
        <v>23140</v>
      </c>
      <c r="E44" s="347">
        <v>25090</v>
      </c>
      <c r="F44" s="347"/>
      <c r="G44" s="355">
        <v>16190</v>
      </c>
      <c r="N44" s="347" t="s">
        <v>2650</v>
      </c>
      <c r="O44" s="347" t="s">
        <v>2651</v>
      </c>
      <c r="P44" s="351" t="s">
        <v>2652</v>
      </c>
      <c r="Q44" s="347" t="s">
        <v>2653</v>
      </c>
    </row>
    <row r="45" spans="1:17" ht="14.25" customHeight="1">
      <c r="A45" s="347" t="s">
        <v>251</v>
      </c>
      <c r="B45" s="348" t="s">
        <v>2466</v>
      </c>
      <c r="C45" s="347">
        <v>21240</v>
      </c>
      <c r="D45" s="347">
        <v>27050</v>
      </c>
      <c r="E45" s="347">
        <v>28000</v>
      </c>
      <c r="F45" s="347"/>
      <c r="G45" s="355">
        <v>18940</v>
      </c>
      <c r="N45" s="347" t="s">
        <v>2654</v>
      </c>
      <c r="O45" s="351" t="s">
        <v>2655</v>
      </c>
      <c r="Q45" s="347" t="s">
        <v>2656</v>
      </c>
    </row>
    <row r="46" spans="1:17" ht="14.25" customHeight="1">
      <c r="A46" s="347" t="s">
        <v>251</v>
      </c>
      <c r="B46" s="348" t="s">
        <v>499</v>
      </c>
      <c r="C46" s="347">
        <v>23240</v>
      </c>
      <c r="D46" s="347">
        <v>23000</v>
      </c>
      <c r="E46" s="347">
        <v>24980</v>
      </c>
      <c r="F46" s="347"/>
      <c r="G46" s="355">
        <v>16100</v>
      </c>
      <c r="N46" s="347" t="s">
        <v>2657</v>
      </c>
      <c r="Q46" s="347" t="s">
        <v>2658</v>
      </c>
    </row>
    <row r="47" spans="1:17" ht="14.25" customHeight="1">
      <c r="A47" s="347" t="s">
        <v>251</v>
      </c>
      <c r="B47" s="348" t="s">
        <v>2485</v>
      </c>
      <c r="C47" s="347">
        <v>27150</v>
      </c>
      <c r="D47" s="347">
        <v>23310</v>
      </c>
      <c r="E47" s="347">
        <v>25150</v>
      </c>
      <c r="F47" s="347"/>
      <c r="G47" s="355">
        <v>16310</v>
      </c>
      <c r="N47" s="347" t="s">
        <v>2659</v>
      </c>
      <c r="Q47" s="347" t="s">
        <v>2660</v>
      </c>
    </row>
    <row r="48" spans="1:17" ht="14.25" customHeight="1">
      <c r="A48" s="347" t="s">
        <v>251</v>
      </c>
      <c r="B48" s="348" t="s">
        <v>2495</v>
      </c>
      <c r="C48" s="347">
        <v>23100</v>
      </c>
      <c r="D48" s="347">
        <v>21110</v>
      </c>
      <c r="E48" s="347">
        <v>23080</v>
      </c>
      <c r="F48" s="347"/>
      <c r="G48" s="355">
        <v>14780</v>
      </c>
      <c r="N48" s="347" t="s">
        <v>2661</v>
      </c>
      <c r="Q48" s="347" t="s">
        <v>2662</v>
      </c>
    </row>
    <row r="49" spans="1:17" ht="14.25" customHeight="1">
      <c r="A49" s="347" t="s">
        <v>251</v>
      </c>
      <c r="B49" s="348" t="s">
        <v>2505</v>
      </c>
      <c r="C49" s="347">
        <v>23400</v>
      </c>
      <c r="D49" s="347">
        <v>22920</v>
      </c>
      <c r="E49" s="347">
        <v>24900</v>
      </c>
      <c r="F49" s="347"/>
      <c r="G49" s="355">
        <v>16040</v>
      </c>
      <c r="N49" s="347" t="s">
        <v>2663</v>
      </c>
      <c r="Q49" s="347" t="s">
        <v>2664</v>
      </c>
    </row>
    <row r="50" spans="1:17" ht="14.25" customHeight="1">
      <c r="A50" s="347" t="s">
        <v>251</v>
      </c>
      <c r="B50" s="348" t="s">
        <v>2514</v>
      </c>
      <c r="C50" s="347">
        <v>21200</v>
      </c>
      <c r="D50" s="347">
        <v>26540</v>
      </c>
      <c r="E50" s="347">
        <v>23200</v>
      </c>
      <c r="F50" s="347"/>
      <c r="G50" s="355">
        <v>18580</v>
      </c>
      <c r="N50" s="347" t="s">
        <v>2665</v>
      </c>
      <c r="Q50" s="348" t="s">
        <v>2666</v>
      </c>
    </row>
    <row r="51" spans="1:17" ht="14.25" customHeight="1">
      <c r="A51" s="347" t="s">
        <v>251</v>
      </c>
      <c r="B51" s="348" t="s">
        <v>2522</v>
      </c>
      <c r="C51" s="347">
        <v>23000</v>
      </c>
      <c r="D51" s="347">
        <v>23460</v>
      </c>
      <c r="E51" s="347">
        <v>25290</v>
      </c>
      <c r="F51" s="347"/>
      <c r="G51" s="355">
        <v>16420</v>
      </c>
      <c r="N51" s="347" t="s">
        <v>2667</v>
      </c>
      <c r="Q51" s="351" t="s">
        <v>2668</v>
      </c>
    </row>
    <row r="52" spans="1:17" ht="14.25" customHeight="1">
      <c r="A52" s="347" t="s">
        <v>251</v>
      </c>
      <c r="B52" s="348" t="s">
        <v>2530</v>
      </c>
      <c r="C52" s="347">
        <v>26660</v>
      </c>
      <c r="D52" s="347">
        <v>22350</v>
      </c>
      <c r="E52" s="347">
        <v>22920</v>
      </c>
      <c r="F52" s="347"/>
      <c r="G52" s="355">
        <v>15640</v>
      </c>
      <c r="N52" s="347" t="s">
        <v>2669</v>
      </c>
    </row>
    <row r="53" spans="1:17" ht="14.25" customHeight="1">
      <c r="A53" s="347" t="s">
        <v>251</v>
      </c>
      <c r="B53" s="348" t="s">
        <v>2538</v>
      </c>
      <c r="C53" s="347">
        <v>23580</v>
      </c>
      <c r="D53" s="347"/>
      <c r="E53" s="347">
        <v>24280</v>
      </c>
      <c r="F53" s="347"/>
      <c r="G53" s="355"/>
      <c r="N53" s="347" t="s">
        <v>2670</v>
      </c>
    </row>
    <row r="54" spans="1:17" ht="14.25" customHeight="1">
      <c r="A54" s="356" t="s">
        <v>251</v>
      </c>
      <c r="B54" s="350" t="s">
        <v>2546</v>
      </c>
      <c r="C54" s="351">
        <v>22460</v>
      </c>
      <c r="D54" s="351"/>
      <c r="E54" s="351"/>
      <c r="F54" s="351"/>
      <c r="G54" s="357"/>
      <c r="N54" s="347" t="s">
        <v>2671</v>
      </c>
    </row>
    <row r="55" spans="1:17" ht="14.25" customHeight="1">
      <c r="A55" s="345" t="s">
        <v>259</v>
      </c>
      <c r="B55" s="346" t="s">
        <v>2303</v>
      </c>
      <c r="C55" s="347">
        <v>21970</v>
      </c>
      <c r="D55" s="347">
        <v>20370</v>
      </c>
      <c r="E55" s="347">
        <v>20180</v>
      </c>
      <c r="F55" s="347">
        <v>5730</v>
      </c>
      <c r="G55" s="347">
        <v>13820</v>
      </c>
      <c r="N55" s="347" t="s">
        <v>2672</v>
      </c>
    </row>
    <row r="56" spans="1:17" ht="14.25" customHeight="1">
      <c r="A56" s="347" t="s">
        <v>259</v>
      </c>
      <c r="B56" s="347" t="s">
        <v>2316</v>
      </c>
      <c r="C56" s="347">
        <v>20470</v>
      </c>
      <c r="D56" s="347">
        <v>20700</v>
      </c>
      <c r="E56" s="347">
        <v>20380</v>
      </c>
      <c r="F56" s="347">
        <v>4760</v>
      </c>
      <c r="G56" s="347">
        <v>14050</v>
      </c>
      <c r="N56" s="347" t="s">
        <v>2673</v>
      </c>
    </row>
    <row r="57" spans="1:17" ht="14.25" customHeight="1">
      <c r="A57" s="347" t="s">
        <v>259</v>
      </c>
      <c r="B57" s="347" t="s">
        <v>2330</v>
      </c>
      <c r="C57" s="347">
        <v>20790</v>
      </c>
      <c r="D57" s="347">
        <v>21370</v>
      </c>
      <c r="E57" s="347">
        <v>20890</v>
      </c>
      <c r="F57" s="347">
        <v>4910</v>
      </c>
      <c r="G57" s="347">
        <v>14510</v>
      </c>
      <c r="N57" s="347" t="s">
        <v>2674</v>
      </c>
    </row>
    <row r="58" spans="1:17" ht="14.25" customHeight="1">
      <c r="A58" s="347" t="s">
        <v>259</v>
      </c>
      <c r="B58" s="347" t="s">
        <v>2342</v>
      </c>
      <c r="C58" s="347">
        <v>21460</v>
      </c>
      <c r="D58" s="347">
        <v>20920</v>
      </c>
      <c r="E58" s="347">
        <v>23410</v>
      </c>
      <c r="F58" s="347">
        <v>5100</v>
      </c>
      <c r="G58" s="347">
        <v>14200</v>
      </c>
      <c r="N58" s="347" t="s">
        <v>2675</v>
      </c>
    </row>
    <row r="59" spans="1:17" ht="14.25" customHeight="1">
      <c r="A59" s="347" t="s">
        <v>259</v>
      </c>
      <c r="B59" s="347" t="s">
        <v>2354</v>
      </c>
      <c r="C59" s="347">
        <v>21000</v>
      </c>
      <c r="D59" s="347">
        <v>21550</v>
      </c>
      <c r="E59" s="347">
        <v>21150</v>
      </c>
      <c r="F59" s="347">
        <v>5250</v>
      </c>
      <c r="G59" s="347">
        <v>14630</v>
      </c>
      <c r="N59" s="347" t="s">
        <v>2676</v>
      </c>
    </row>
    <row r="60" spans="1:17" ht="14.25" customHeight="1">
      <c r="A60" s="347" t="s">
        <v>259</v>
      </c>
      <c r="B60" s="347" t="s">
        <v>2365</v>
      </c>
      <c r="C60" s="347">
        <v>21640</v>
      </c>
      <c r="D60" s="347">
        <v>21260</v>
      </c>
      <c r="E60" s="347">
        <v>24040</v>
      </c>
      <c r="F60" s="347">
        <v>4470</v>
      </c>
      <c r="G60" s="347">
        <v>14430</v>
      </c>
      <c r="N60" s="347" t="s">
        <v>2677</v>
      </c>
    </row>
    <row r="61" spans="1:17" ht="14.25" customHeight="1">
      <c r="A61" s="347" t="s">
        <v>259</v>
      </c>
      <c r="B61" s="347" t="s">
        <v>2376</v>
      </c>
      <c r="C61" s="347">
        <v>21330</v>
      </c>
      <c r="D61" s="347">
        <v>18640</v>
      </c>
      <c r="E61" s="347">
        <v>21190</v>
      </c>
      <c r="F61" s="347">
        <v>4180</v>
      </c>
      <c r="G61" s="347">
        <v>12650</v>
      </c>
      <c r="N61" s="347" t="s">
        <v>2678</v>
      </c>
    </row>
    <row r="62" spans="1:17" ht="14.25" customHeight="1">
      <c r="A62" s="347" t="s">
        <v>259</v>
      </c>
      <c r="B62" s="347" t="s">
        <v>2387</v>
      </c>
      <c r="C62" s="347">
        <v>18710</v>
      </c>
      <c r="D62" s="347">
        <v>19400</v>
      </c>
      <c r="E62" s="347">
        <v>23750</v>
      </c>
      <c r="F62" s="347">
        <v>4860</v>
      </c>
      <c r="G62" s="347">
        <v>13170</v>
      </c>
      <c r="N62" s="347" t="s">
        <v>2679</v>
      </c>
    </row>
    <row r="63" spans="1:17" ht="14.25" customHeight="1">
      <c r="A63" s="347" t="s">
        <v>259</v>
      </c>
      <c r="B63" s="347" t="s">
        <v>2397</v>
      </c>
      <c r="C63" s="347">
        <v>19480</v>
      </c>
      <c r="D63" s="347">
        <v>16830</v>
      </c>
      <c r="E63" s="347">
        <v>21590</v>
      </c>
      <c r="F63" s="347">
        <v>4560</v>
      </c>
      <c r="G63" s="347">
        <v>11420</v>
      </c>
      <c r="N63" s="347" t="s">
        <v>2680</v>
      </c>
    </row>
    <row r="64" spans="1:17" ht="14.25" customHeight="1">
      <c r="A64" s="347" t="s">
        <v>259</v>
      </c>
      <c r="B64" s="347" t="s">
        <v>2407</v>
      </c>
      <c r="C64" s="347">
        <v>16920</v>
      </c>
      <c r="D64" s="347">
        <v>19190</v>
      </c>
      <c r="E64" s="347">
        <v>22200</v>
      </c>
      <c r="F64" s="347">
        <v>4390</v>
      </c>
      <c r="G64" s="347">
        <v>13030</v>
      </c>
      <c r="N64" s="351" t="s">
        <v>2681</v>
      </c>
    </row>
    <row r="65" spans="1:7" s="336" customFormat="1" ht="14.25" customHeight="1">
      <c r="A65" s="347" t="s">
        <v>259</v>
      </c>
      <c r="B65" s="347" t="s">
        <v>2417</v>
      </c>
      <c r="C65" s="347">
        <v>19290</v>
      </c>
      <c r="D65" s="347">
        <v>17020</v>
      </c>
      <c r="E65" s="347">
        <v>19880</v>
      </c>
      <c r="F65" s="347">
        <v>4070</v>
      </c>
      <c r="G65" s="347">
        <v>11550</v>
      </c>
    </row>
    <row r="66" spans="1:7" s="336" customFormat="1" ht="14.25" customHeight="1">
      <c r="A66" s="347" t="s">
        <v>259</v>
      </c>
      <c r="B66" s="347" t="s">
        <v>2427</v>
      </c>
      <c r="C66" s="347">
        <v>17090</v>
      </c>
      <c r="D66" s="347">
        <v>18340</v>
      </c>
      <c r="E66" s="347">
        <v>21830</v>
      </c>
      <c r="F66" s="347">
        <v>4690</v>
      </c>
      <c r="G66" s="347">
        <v>12450</v>
      </c>
    </row>
    <row r="67" spans="1:7" s="336" customFormat="1" ht="14.25" customHeight="1">
      <c r="A67" s="347" t="s">
        <v>259</v>
      </c>
      <c r="B67" s="347" t="s">
        <v>2437</v>
      </c>
      <c r="C67" s="347">
        <v>18420</v>
      </c>
      <c r="D67" s="347">
        <v>16360</v>
      </c>
      <c r="E67" s="347">
        <v>20020</v>
      </c>
      <c r="F67" s="347">
        <v>5150</v>
      </c>
      <c r="G67" s="347">
        <v>11110</v>
      </c>
    </row>
    <row r="68" spans="1:7" s="336" customFormat="1" ht="14.25" customHeight="1">
      <c r="A68" s="347" t="s">
        <v>259</v>
      </c>
      <c r="B68" s="347" t="s">
        <v>2447</v>
      </c>
      <c r="C68" s="347">
        <v>16450</v>
      </c>
      <c r="D68" s="347">
        <v>18430</v>
      </c>
      <c r="E68" s="347">
        <v>21010</v>
      </c>
      <c r="F68" s="347">
        <v>4720</v>
      </c>
      <c r="G68" s="347">
        <v>12510</v>
      </c>
    </row>
    <row r="69" spans="1:7" s="336" customFormat="1" ht="14.25" customHeight="1">
      <c r="A69" s="347" t="s">
        <v>259</v>
      </c>
      <c r="B69" s="347" t="s">
        <v>2457</v>
      </c>
      <c r="C69" s="347">
        <v>18510</v>
      </c>
      <c r="D69" s="347">
        <v>16300</v>
      </c>
      <c r="E69" s="347">
        <v>18830</v>
      </c>
      <c r="F69" s="347">
        <v>5400</v>
      </c>
      <c r="G69" s="347">
        <v>11070</v>
      </c>
    </row>
    <row r="70" spans="1:7" s="336" customFormat="1" ht="14.25" customHeight="1">
      <c r="A70" s="347" t="s">
        <v>259</v>
      </c>
      <c r="B70" s="347" t="s">
        <v>2467</v>
      </c>
      <c r="C70" s="347">
        <v>16370</v>
      </c>
      <c r="D70" s="347">
        <v>18620</v>
      </c>
      <c r="E70" s="347">
        <v>21100</v>
      </c>
      <c r="F70" s="347">
        <v>5700</v>
      </c>
      <c r="G70" s="347">
        <v>12640</v>
      </c>
    </row>
    <row r="71" spans="1:7" s="336" customFormat="1" ht="14.25" customHeight="1">
      <c r="A71" s="347" t="s">
        <v>259</v>
      </c>
      <c r="B71" s="347" t="s">
        <v>2476</v>
      </c>
      <c r="C71" s="347">
        <v>18700</v>
      </c>
      <c r="D71" s="347">
        <v>16290</v>
      </c>
      <c r="E71" s="347">
        <v>18760</v>
      </c>
      <c r="F71" s="347">
        <v>4780</v>
      </c>
      <c r="G71" s="347">
        <v>11050</v>
      </c>
    </row>
    <row r="72" spans="1:7" s="336" customFormat="1" ht="14.25" customHeight="1">
      <c r="A72" s="347" t="s">
        <v>259</v>
      </c>
      <c r="B72" s="347" t="s">
        <v>2486</v>
      </c>
      <c r="C72" s="347">
        <v>16340</v>
      </c>
      <c r="D72" s="347">
        <v>17520</v>
      </c>
      <c r="E72" s="347">
        <v>21170</v>
      </c>
      <c r="F72" s="347"/>
      <c r="G72" s="347">
        <v>11900</v>
      </c>
    </row>
    <row r="73" spans="1:7" s="336" customFormat="1" ht="14.25" customHeight="1">
      <c r="A73" s="347" t="s">
        <v>259</v>
      </c>
      <c r="B73" s="347" t="s">
        <v>2496</v>
      </c>
      <c r="C73" s="347">
        <v>17610</v>
      </c>
      <c r="D73" s="347">
        <v>18520</v>
      </c>
      <c r="E73" s="347">
        <v>18720</v>
      </c>
      <c r="F73" s="347"/>
      <c r="G73" s="347">
        <v>12570</v>
      </c>
    </row>
    <row r="74" spans="1:7" s="336" customFormat="1" ht="14.25" customHeight="1">
      <c r="A74" s="347" t="s">
        <v>259</v>
      </c>
      <c r="B74" s="347" t="s">
        <v>2506</v>
      </c>
      <c r="C74" s="347">
        <v>18600</v>
      </c>
      <c r="D74" s="347">
        <v>16480</v>
      </c>
      <c r="E74" s="347">
        <v>20100</v>
      </c>
      <c r="F74" s="347"/>
      <c r="G74" s="347">
        <v>11190</v>
      </c>
    </row>
    <row r="75" spans="1:7" s="336" customFormat="1" ht="14.25" customHeight="1">
      <c r="A75" s="347" t="s">
        <v>259</v>
      </c>
      <c r="B75" s="347" t="s">
        <v>2515</v>
      </c>
      <c r="C75" s="347">
        <v>16570</v>
      </c>
      <c r="D75" s="347">
        <v>17530</v>
      </c>
      <c r="E75" s="347">
        <v>21030</v>
      </c>
      <c r="F75" s="347"/>
      <c r="G75" s="347">
        <v>11900</v>
      </c>
    </row>
    <row r="76" spans="1:7" s="336" customFormat="1" ht="14.25" customHeight="1">
      <c r="A76" s="347" t="s">
        <v>259</v>
      </c>
      <c r="B76" s="347" t="s">
        <v>2523</v>
      </c>
      <c r="C76" s="347">
        <v>17610</v>
      </c>
      <c r="D76" s="347">
        <v>20800</v>
      </c>
      <c r="E76" s="347">
        <v>18920</v>
      </c>
      <c r="F76" s="347"/>
      <c r="G76" s="347">
        <v>14120</v>
      </c>
    </row>
    <row r="77" spans="1:7" s="336" customFormat="1" ht="14.25" customHeight="1">
      <c r="A77" s="347" t="s">
        <v>259</v>
      </c>
      <c r="B77" s="347" t="s">
        <v>2531</v>
      </c>
      <c r="C77" s="347">
        <v>20890</v>
      </c>
      <c r="D77" s="347">
        <v>19740</v>
      </c>
      <c r="E77" s="347">
        <v>20110</v>
      </c>
      <c r="F77" s="347"/>
      <c r="G77" s="347">
        <v>13400</v>
      </c>
    </row>
    <row r="78" spans="1:7" s="336" customFormat="1" ht="14.25" customHeight="1">
      <c r="A78" s="347" t="s">
        <v>259</v>
      </c>
      <c r="B78" s="347" t="s">
        <v>2539</v>
      </c>
      <c r="C78" s="347">
        <v>19820</v>
      </c>
      <c r="D78" s="347">
        <v>19780</v>
      </c>
      <c r="E78" s="347">
        <v>18560</v>
      </c>
      <c r="F78" s="347"/>
      <c r="G78" s="347">
        <v>13430</v>
      </c>
    </row>
    <row r="79" spans="1:7" s="336" customFormat="1" ht="14.25" customHeight="1">
      <c r="A79" s="347" t="s">
        <v>259</v>
      </c>
      <c r="B79" s="347" t="s">
        <v>2547</v>
      </c>
      <c r="C79" s="347">
        <v>21660</v>
      </c>
      <c r="D79" s="347">
        <v>18000</v>
      </c>
      <c r="E79" s="347">
        <v>22570</v>
      </c>
      <c r="F79" s="347"/>
      <c r="G79" s="347">
        <v>12220</v>
      </c>
    </row>
    <row r="80" spans="1:7" s="336" customFormat="1" ht="14.25" customHeight="1">
      <c r="A80" s="347" t="s">
        <v>259</v>
      </c>
      <c r="B80" s="347" t="s">
        <v>2554</v>
      </c>
      <c r="C80" s="347">
        <v>19850</v>
      </c>
      <c r="D80" s="347"/>
      <c r="E80" s="347">
        <v>21700</v>
      </c>
      <c r="F80" s="347"/>
      <c r="G80" s="347"/>
    </row>
    <row r="81" spans="1:7" s="336" customFormat="1" ht="14.25" customHeight="1">
      <c r="A81" s="347" t="s">
        <v>259</v>
      </c>
      <c r="B81" s="347" t="s">
        <v>2561</v>
      </c>
      <c r="C81" s="347">
        <v>18080</v>
      </c>
      <c r="D81" s="347"/>
      <c r="E81" s="347">
        <v>20900</v>
      </c>
      <c r="F81" s="347"/>
      <c r="G81" s="347"/>
    </row>
    <row r="82" spans="1:7" s="336" customFormat="1" ht="14.25" customHeight="1">
      <c r="A82" s="347" t="s">
        <v>259</v>
      </c>
      <c r="B82" s="347" t="s">
        <v>2568</v>
      </c>
      <c r="C82" s="347"/>
      <c r="D82" s="347"/>
      <c r="E82" s="347">
        <v>20840</v>
      </c>
      <c r="F82" s="347"/>
      <c r="G82" s="347"/>
    </row>
    <row r="83" spans="1:7" s="336" customFormat="1" ht="14.25" customHeight="1">
      <c r="A83" s="347" t="s">
        <v>259</v>
      </c>
      <c r="B83" s="347" t="s">
        <v>2575</v>
      </c>
      <c r="C83" s="347"/>
      <c r="D83" s="347"/>
      <c r="E83" s="347"/>
      <c r="F83" s="347">
        <v>4770</v>
      </c>
      <c r="G83" s="347"/>
    </row>
    <row r="84" spans="1:7" s="336" customFormat="1" ht="14.25" customHeight="1">
      <c r="A84" s="347" t="s">
        <v>259</v>
      </c>
      <c r="B84" s="347" t="s">
        <v>2582</v>
      </c>
      <c r="C84" s="347"/>
      <c r="D84" s="347"/>
      <c r="E84" s="347"/>
      <c r="F84" s="347">
        <v>4600</v>
      </c>
      <c r="G84" s="347"/>
    </row>
    <row r="85" spans="1:7" s="336" customFormat="1" ht="14.25" customHeight="1">
      <c r="A85" s="347" t="s">
        <v>259</v>
      </c>
      <c r="B85" s="347" t="s">
        <v>2589</v>
      </c>
      <c r="C85" s="347"/>
      <c r="D85" s="347"/>
      <c r="E85" s="347"/>
      <c r="F85" s="347">
        <v>4680</v>
      </c>
      <c r="G85" s="347"/>
    </row>
    <row r="86" spans="1:7" s="336" customFormat="1" ht="14.25" customHeight="1">
      <c r="A86" s="349" t="s">
        <v>259</v>
      </c>
      <c r="B86" s="352" t="s">
        <v>2596</v>
      </c>
      <c r="C86" s="353">
        <v>16610</v>
      </c>
      <c r="D86" s="353">
        <v>16540</v>
      </c>
      <c r="E86" s="353">
        <v>18850</v>
      </c>
      <c r="F86" s="353"/>
      <c r="G86" s="353">
        <v>11220</v>
      </c>
    </row>
    <row r="87" spans="1:7" s="336" customFormat="1" ht="14.25" customHeight="1">
      <c r="A87" s="345" t="s">
        <v>267</v>
      </c>
      <c r="B87" s="346" t="s">
        <v>2304</v>
      </c>
      <c r="C87" s="346">
        <v>15240</v>
      </c>
      <c r="D87" s="346">
        <v>15170</v>
      </c>
      <c r="E87" s="346">
        <v>18260</v>
      </c>
      <c r="F87" s="346">
        <v>3830</v>
      </c>
      <c r="G87" s="354">
        <v>10020</v>
      </c>
    </row>
    <row r="88" spans="1:7" s="336" customFormat="1" ht="14.25" customHeight="1">
      <c r="A88" s="347" t="s">
        <v>267</v>
      </c>
      <c r="B88" s="347" t="s">
        <v>2317</v>
      </c>
      <c r="C88" s="347">
        <v>17310</v>
      </c>
      <c r="D88" s="347">
        <v>17220</v>
      </c>
      <c r="E88" s="347">
        <v>18610</v>
      </c>
      <c r="F88" s="347">
        <v>3990</v>
      </c>
      <c r="G88" s="355">
        <v>11380</v>
      </c>
    </row>
    <row r="89" spans="1:7" s="336" customFormat="1" ht="14.25" customHeight="1">
      <c r="A89" s="347" t="s">
        <v>267</v>
      </c>
      <c r="B89" s="347" t="s">
        <v>2331</v>
      </c>
      <c r="C89" s="347">
        <v>15600</v>
      </c>
      <c r="D89" s="347">
        <v>15550</v>
      </c>
      <c r="E89" s="347">
        <v>19200</v>
      </c>
      <c r="F89" s="347">
        <v>4110</v>
      </c>
      <c r="G89" s="355">
        <v>10270</v>
      </c>
    </row>
    <row r="90" spans="1:7" s="336" customFormat="1" ht="14.25" customHeight="1">
      <c r="A90" s="347" t="s">
        <v>267</v>
      </c>
      <c r="B90" s="347" t="s">
        <v>2343</v>
      </c>
      <c r="C90" s="347">
        <v>17330</v>
      </c>
      <c r="D90" s="347">
        <v>17240</v>
      </c>
      <c r="E90" s="347">
        <v>18570</v>
      </c>
      <c r="F90" s="347">
        <v>4070</v>
      </c>
      <c r="G90" s="355">
        <v>11390</v>
      </c>
    </row>
    <row r="91" spans="1:7" s="336" customFormat="1" ht="14.25" customHeight="1">
      <c r="A91" s="347" t="s">
        <v>267</v>
      </c>
      <c r="B91" s="347" t="s">
        <v>2355</v>
      </c>
      <c r="C91" s="347">
        <v>16330</v>
      </c>
      <c r="D91" s="347">
        <v>16260</v>
      </c>
      <c r="E91" s="347">
        <v>16800</v>
      </c>
      <c r="F91" s="347">
        <v>3410</v>
      </c>
      <c r="G91" s="355">
        <v>10740</v>
      </c>
    </row>
    <row r="92" spans="1:7" s="336" customFormat="1" ht="14.25" customHeight="1">
      <c r="A92" s="347" t="s">
        <v>267</v>
      </c>
      <c r="B92" s="347" t="s">
        <v>2366</v>
      </c>
      <c r="C92" s="347">
        <v>15570</v>
      </c>
      <c r="D92" s="347">
        <v>15500</v>
      </c>
      <c r="E92" s="347">
        <v>17360</v>
      </c>
      <c r="F92" s="347">
        <v>3510</v>
      </c>
      <c r="G92" s="355">
        <v>10240</v>
      </c>
    </row>
    <row r="93" spans="1:7" s="336" customFormat="1" ht="14.25" customHeight="1">
      <c r="A93" s="347" t="s">
        <v>267</v>
      </c>
      <c r="B93" s="347" t="s">
        <v>2377</v>
      </c>
      <c r="C93" s="347">
        <v>14000</v>
      </c>
      <c r="D93" s="347">
        <v>13930</v>
      </c>
      <c r="E93" s="347">
        <v>18200</v>
      </c>
      <c r="F93" s="347">
        <v>3640</v>
      </c>
      <c r="G93" s="355">
        <v>9210</v>
      </c>
    </row>
    <row r="94" spans="1:7" s="336" customFormat="1" ht="14.25" customHeight="1">
      <c r="A94" s="347" t="s">
        <v>267</v>
      </c>
      <c r="B94" s="347" t="s">
        <v>2388</v>
      </c>
      <c r="C94" s="347">
        <v>14530</v>
      </c>
      <c r="D94" s="347">
        <v>14470</v>
      </c>
      <c r="E94" s="347">
        <v>18240</v>
      </c>
      <c r="F94" s="347">
        <v>3180</v>
      </c>
      <c r="G94" s="355">
        <v>9560</v>
      </c>
    </row>
    <row r="95" spans="1:7" s="336" customFormat="1" ht="14.25" customHeight="1">
      <c r="A95" s="347" t="s">
        <v>267</v>
      </c>
      <c r="B95" s="347" t="s">
        <v>2398</v>
      </c>
      <c r="C95" s="347">
        <v>17330</v>
      </c>
      <c r="D95" s="347">
        <v>17260</v>
      </c>
      <c r="E95" s="347">
        <v>18420</v>
      </c>
      <c r="F95" s="347">
        <v>3060</v>
      </c>
      <c r="G95" s="355">
        <v>11410</v>
      </c>
    </row>
    <row r="96" spans="1:7" s="336" customFormat="1" ht="14.25" customHeight="1">
      <c r="A96" s="347" t="s">
        <v>267</v>
      </c>
      <c r="B96" s="347" t="s">
        <v>2408</v>
      </c>
      <c r="C96" s="347">
        <v>15030</v>
      </c>
      <c r="D96" s="347">
        <v>14970</v>
      </c>
      <c r="E96" s="347">
        <v>17580</v>
      </c>
      <c r="F96" s="347">
        <v>2970</v>
      </c>
      <c r="G96" s="355">
        <v>9890</v>
      </c>
    </row>
    <row r="97" spans="1:7" s="336" customFormat="1" ht="14.25" customHeight="1">
      <c r="A97" s="347" t="s">
        <v>267</v>
      </c>
      <c r="B97" s="347" t="s">
        <v>2418</v>
      </c>
      <c r="C97" s="347">
        <v>17400</v>
      </c>
      <c r="D97" s="347">
        <v>17330</v>
      </c>
      <c r="E97" s="347">
        <v>16430</v>
      </c>
      <c r="F97" s="347">
        <v>2950</v>
      </c>
      <c r="G97" s="355">
        <v>11450</v>
      </c>
    </row>
    <row r="98" spans="1:7" s="336" customFormat="1" ht="14.25" customHeight="1">
      <c r="A98" s="347" t="s">
        <v>267</v>
      </c>
      <c r="B98" s="347" t="s">
        <v>2428</v>
      </c>
      <c r="C98" s="347">
        <v>15200</v>
      </c>
      <c r="D98" s="347">
        <v>15120</v>
      </c>
      <c r="E98" s="347">
        <v>17550</v>
      </c>
      <c r="F98" s="347">
        <v>3080</v>
      </c>
      <c r="G98" s="355">
        <v>9990</v>
      </c>
    </row>
    <row r="99" spans="1:7" s="336" customFormat="1" ht="14.25" customHeight="1">
      <c r="A99" s="347" t="s">
        <v>267</v>
      </c>
      <c r="B99" s="347" t="s">
        <v>2438</v>
      </c>
      <c r="C99" s="347">
        <v>17520</v>
      </c>
      <c r="D99" s="347">
        <v>17430</v>
      </c>
      <c r="E99" s="347">
        <v>16350</v>
      </c>
      <c r="F99" s="347">
        <v>3260</v>
      </c>
      <c r="G99" s="355">
        <v>11510</v>
      </c>
    </row>
    <row r="100" spans="1:7" s="336" customFormat="1" ht="14.25" customHeight="1">
      <c r="A100" s="347" t="s">
        <v>267</v>
      </c>
      <c r="B100" s="347" t="s">
        <v>2448</v>
      </c>
      <c r="C100" s="347">
        <v>15340</v>
      </c>
      <c r="D100" s="347">
        <v>15260</v>
      </c>
      <c r="E100" s="347">
        <v>15930</v>
      </c>
      <c r="F100" s="347">
        <v>2740</v>
      </c>
      <c r="G100" s="355">
        <v>10080</v>
      </c>
    </row>
    <row r="101" spans="1:7" s="336" customFormat="1" ht="14.25" customHeight="1">
      <c r="A101" s="347" t="s">
        <v>267</v>
      </c>
      <c r="B101" s="347" t="s">
        <v>2458</v>
      </c>
      <c r="C101" s="347">
        <v>14620</v>
      </c>
      <c r="D101" s="347">
        <v>14560</v>
      </c>
      <c r="E101" s="347">
        <v>15570</v>
      </c>
      <c r="F101" s="347">
        <v>3500</v>
      </c>
      <c r="G101" s="355">
        <v>9630</v>
      </c>
    </row>
    <row r="102" spans="1:7" s="336" customFormat="1" ht="14.25" customHeight="1">
      <c r="A102" s="347" t="s">
        <v>267</v>
      </c>
      <c r="B102" s="347" t="s">
        <v>2468</v>
      </c>
      <c r="C102" s="347">
        <v>13680</v>
      </c>
      <c r="D102" s="347">
        <v>13610</v>
      </c>
      <c r="E102" s="347">
        <v>15690</v>
      </c>
      <c r="F102" s="347">
        <v>2870</v>
      </c>
      <c r="G102" s="355">
        <v>8990</v>
      </c>
    </row>
    <row r="103" spans="1:7" s="336" customFormat="1" ht="14.25" customHeight="1">
      <c r="A103" s="347" t="s">
        <v>267</v>
      </c>
      <c r="B103" s="347" t="s">
        <v>2477</v>
      </c>
      <c r="C103" s="347">
        <v>14620</v>
      </c>
      <c r="D103" s="347">
        <v>14540</v>
      </c>
      <c r="E103" s="347">
        <v>15240</v>
      </c>
      <c r="F103" s="347">
        <v>2840</v>
      </c>
      <c r="G103" s="355">
        <v>9610</v>
      </c>
    </row>
    <row r="104" spans="1:7" s="336" customFormat="1" ht="14.25" customHeight="1">
      <c r="A104" s="347" t="s">
        <v>267</v>
      </c>
      <c r="B104" s="347" t="s">
        <v>2487</v>
      </c>
      <c r="C104" s="347">
        <v>13610</v>
      </c>
      <c r="D104" s="347">
        <v>13540</v>
      </c>
      <c r="E104" s="347">
        <v>15750</v>
      </c>
      <c r="F104" s="347">
        <v>2770</v>
      </c>
      <c r="G104" s="355">
        <v>8940</v>
      </c>
    </row>
    <row r="105" spans="1:7" s="336" customFormat="1" ht="14.25" customHeight="1">
      <c r="A105" s="347" t="s">
        <v>267</v>
      </c>
      <c r="B105" s="347" t="s">
        <v>2497</v>
      </c>
      <c r="C105" s="347">
        <v>13310</v>
      </c>
      <c r="D105" s="347">
        <v>13240</v>
      </c>
      <c r="E105" s="347">
        <v>16280</v>
      </c>
      <c r="F105" s="347">
        <v>3210</v>
      </c>
      <c r="G105" s="355">
        <v>8750</v>
      </c>
    </row>
    <row r="106" spans="1:7" s="336" customFormat="1" ht="14.25" customHeight="1">
      <c r="A106" s="347" t="s">
        <v>267</v>
      </c>
      <c r="B106" s="347" t="s">
        <v>2507</v>
      </c>
      <c r="C106" s="347">
        <v>13010</v>
      </c>
      <c r="D106" s="347">
        <v>12930</v>
      </c>
      <c r="E106" s="347">
        <v>14960</v>
      </c>
      <c r="F106" s="347">
        <v>3530</v>
      </c>
      <c r="G106" s="355">
        <v>8550</v>
      </c>
    </row>
    <row r="107" spans="1:7" s="336" customFormat="1" ht="14.25" customHeight="1">
      <c r="A107" s="347" t="s">
        <v>267</v>
      </c>
      <c r="B107" s="347" t="s">
        <v>2516</v>
      </c>
      <c r="C107" s="347">
        <v>13070</v>
      </c>
      <c r="D107" s="347">
        <v>13000</v>
      </c>
      <c r="E107" s="347">
        <v>15910</v>
      </c>
      <c r="F107" s="347">
        <v>3990</v>
      </c>
      <c r="G107" s="355">
        <v>8580</v>
      </c>
    </row>
    <row r="108" spans="1:7" s="336" customFormat="1" ht="14.25" customHeight="1">
      <c r="A108" s="347" t="s">
        <v>267</v>
      </c>
      <c r="B108" s="347" t="s">
        <v>2524</v>
      </c>
      <c r="C108" s="347">
        <v>12640</v>
      </c>
      <c r="D108" s="347">
        <v>12580</v>
      </c>
      <c r="E108" s="347">
        <v>15730</v>
      </c>
      <c r="F108" s="347"/>
      <c r="G108" s="355">
        <v>8310</v>
      </c>
    </row>
    <row r="109" spans="1:7" s="336" customFormat="1" ht="14.25" customHeight="1">
      <c r="A109" s="347" t="s">
        <v>267</v>
      </c>
      <c r="B109" s="347" t="s">
        <v>2532</v>
      </c>
      <c r="C109" s="347">
        <v>13130</v>
      </c>
      <c r="D109" s="347">
        <v>13070</v>
      </c>
      <c r="E109" s="347">
        <v>15000</v>
      </c>
      <c r="F109" s="347"/>
      <c r="G109" s="355">
        <v>8630</v>
      </c>
    </row>
    <row r="110" spans="1:7" s="336" customFormat="1" ht="14.25" customHeight="1">
      <c r="A110" s="347" t="s">
        <v>267</v>
      </c>
      <c r="B110" s="347" t="s">
        <v>2540</v>
      </c>
      <c r="C110" s="347">
        <v>13560</v>
      </c>
      <c r="D110" s="347">
        <v>13490</v>
      </c>
      <c r="E110" s="347">
        <v>16300</v>
      </c>
      <c r="F110" s="347"/>
      <c r="G110" s="355">
        <v>8920</v>
      </c>
    </row>
    <row r="111" spans="1:7" s="336" customFormat="1" ht="14.25" customHeight="1">
      <c r="A111" s="347" t="s">
        <v>267</v>
      </c>
      <c r="B111" s="347" t="s">
        <v>2548</v>
      </c>
      <c r="C111" s="347">
        <v>12440</v>
      </c>
      <c r="D111" s="347">
        <v>12380</v>
      </c>
      <c r="E111" s="347">
        <v>17850</v>
      </c>
      <c r="F111" s="347"/>
      <c r="G111" s="355">
        <v>8180</v>
      </c>
    </row>
    <row r="112" spans="1:7" s="336" customFormat="1" ht="14.25" customHeight="1">
      <c r="A112" s="347" t="s">
        <v>267</v>
      </c>
      <c r="B112" s="347" t="s">
        <v>2555</v>
      </c>
      <c r="C112" s="347">
        <v>13260</v>
      </c>
      <c r="D112" s="347">
        <v>13180</v>
      </c>
      <c r="E112" s="347">
        <v>19740</v>
      </c>
      <c r="F112" s="347"/>
      <c r="G112" s="355">
        <v>8710</v>
      </c>
    </row>
    <row r="113" spans="1:7" s="336" customFormat="1" ht="14.25" customHeight="1">
      <c r="A113" s="347" t="s">
        <v>267</v>
      </c>
      <c r="B113" s="347" t="s">
        <v>2562</v>
      </c>
      <c r="C113" s="347">
        <v>15520</v>
      </c>
      <c r="D113" s="347">
        <v>15450</v>
      </c>
      <c r="E113" s="347"/>
      <c r="F113" s="347"/>
      <c r="G113" s="355">
        <v>10210</v>
      </c>
    </row>
    <row r="114" spans="1:7" s="336" customFormat="1" ht="14.25" customHeight="1">
      <c r="A114" s="347" t="s">
        <v>267</v>
      </c>
      <c r="B114" s="347" t="s">
        <v>2569</v>
      </c>
      <c r="C114" s="347">
        <v>13110</v>
      </c>
      <c r="D114" s="347">
        <v>13050</v>
      </c>
      <c r="E114" s="347"/>
      <c r="F114" s="347"/>
      <c r="G114" s="355">
        <v>8620</v>
      </c>
    </row>
    <row r="115" spans="1:7" s="336" customFormat="1" ht="14.25" customHeight="1">
      <c r="A115" s="347" t="s">
        <v>267</v>
      </c>
      <c r="B115" s="347" t="s">
        <v>2576</v>
      </c>
      <c r="C115" s="347">
        <v>12460</v>
      </c>
      <c r="D115" s="347">
        <v>12390</v>
      </c>
      <c r="E115" s="347"/>
      <c r="F115" s="347"/>
      <c r="G115" s="355">
        <v>8190</v>
      </c>
    </row>
    <row r="116" spans="1:7" s="336" customFormat="1" ht="14.25" customHeight="1">
      <c r="A116" s="347" t="s">
        <v>267</v>
      </c>
      <c r="B116" s="347" t="s">
        <v>2583</v>
      </c>
      <c r="C116" s="347">
        <v>13580</v>
      </c>
      <c r="D116" s="347">
        <v>13520</v>
      </c>
      <c r="E116" s="347"/>
      <c r="F116" s="347"/>
      <c r="G116" s="355">
        <v>8930</v>
      </c>
    </row>
    <row r="117" spans="1:7" s="336" customFormat="1" ht="14.25" customHeight="1">
      <c r="A117" s="347" t="s">
        <v>267</v>
      </c>
      <c r="B117" s="347" t="s">
        <v>2590</v>
      </c>
      <c r="C117" s="347">
        <v>17120</v>
      </c>
      <c r="D117" s="347">
        <v>17040</v>
      </c>
      <c r="E117" s="347"/>
      <c r="F117" s="347"/>
      <c r="G117" s="355">
        <v>11260</v>
      </c>
    </row>
    <row r="118" spans="1:7" s="336" customFormat="1" ht="14.25" customHeight="1">
      <c r="A118" s="347" t="s">
        <v>267</v>
      </c>
      <c r="B118" s="347" t="s">
        <v>2597</v>
      </c>
      <c r="C118" s="347">
        <v>14860</v>
      </c>
      <c r="D118" s="347">
        <v>14790</v>
      </c>
      <c r="E118" s="347"/>
      <c r="F118" s="347"/>
      <c r="G118" s="355">
        <v>9780</v>
      </c>
    </row>
    <row r="119" spans="1:7" s="336" customFormat="1" ht="14.25" customHeight="1">
      <c r="A119" s="347" t="s">
        <v>267</v>
      </c>
      <c r="B119" s="347" t="s">
        <v>2602</v>
      </c>
      <c r="C119" s="347">
        <v>16470</v>
      </c>
      <c r="D119" s="347">
        <v>16400</v>
      </c>
      <c r="E119" s="347"/>
      <c r="F119" s="347"/>
      <c r="G119" s="355">
        <v>10840</v>
      </c>
    </row>
    <row r="120" spans="1:7" s="336" customFormat="1" ht="14.25" customHeight="1">
      <c r="A120" s="347" t="s">
        <v>267</v>
      </c>
      <c r="B120" s="347" t="s">
        <v>2607</v>
      </c>
      <c r="C120" s="347"/>
      <c r="D120" s="347"/>
      <c r="E120" s="347"/>
      <c r="F120" s="347">
        <v>4160</v>
      </c>
      <c r="G120" s="355"/>
    </row>
    <row r="121" spans="1:7" s="336" customFormat="1" ht="14.25" customHeight="1">
      <c r="A121" s="347" t="s">
        <v>267</v>
      </c>
      <c r="B121" s="347" t="s">
        <v>2612</v>
      </c>
      <c r="C121" s="347"/>
      <c r="D121" s="347"/>
      <c r="E121" s="347"/>
      <c r="F121" s="347">
        <v>3880</v>
      </c>
      <c r="G121" s="355"/>
    </row>
    <row r="122" spans="1:7" s="336" customFormat="1" ht="14.25" customHeight="1">
      <c r="A122" s="347" t="s">
        <v>267</v>
      </c>
      <c r="B122" s="347" t="s">
        <v>2617</v>
      </c>
      <c r="C122" s="347">
        <v>13750</v>
      </c>
      <c r="D122" s="347">
        <v>13680</v>
      </c>
      <c r="E122" s="347">
        <v>16460</v>
      </c>
      <c r="F122" s="347">
        <v>2880</v>
      </c>
      <c r="G122" s="355">
        <v>9040</v>
      </c>
    </row>
    <row r="123" spans="1:7" s="336" customFormat="1" ht="14.25" customHeight="1">
      <c r="A123" s="347" t="s">
        <v>267</v>
      </c>
      <c r="B123" s="347" t="s">
        <v>2622</v>
      </c>
      <c r="C123" s="347">
        <v>13590</v>
      </c>
      <c r="D123" s="347">
        <v>13520</v>
      </c>
      <c r="E123" s="347">
        <v>16290</v>
      </c>
      <c r="F123" s="347">
        <v>2790</v>
      </c>
      <c r="G123" s="355">
        <v>8930</v>
      </c>
    </row>
    <row r="124" spans="1:7" s="336" customFormat="1" ht="14.25" customHeight="1">
      <c r="A124" s="347" t="s">
        <v>267</v>
      </c>
      <c r="B124" s="347" t="s">
        <v>2627</v>
      </c>
      <c r="C124" s="347">
        <v>13400</v>
      </c>
      <c r="D124" s="347">
        <v>13320</v>
      </c>
      <c r="E124" s="347">
        <v>16100</v>
      </c>
      <c r="F124" s="347">
        <v>2320</v>
      </c>
      <c r="G124" s="355">
        <v>8800</v>
      </c>
    </row>
    <row r="125" spans="1:7" s="336" customFormat="1" ht="14.25" customHeight="1">
      <c r="A125" s="347" t="s">
        <v>267</v>
      </c>
      <c r="B125" s="347" t="s">
        <v>2632</v>
      </c>
      <c r="C125" s="347">
        <v>12860</v>
      </c>
      <c r="D125" s="347">
        <v>12790</v>
      </c>
      <c r="E125" s="347">
        <v>15370</v>
      </c>
      <c r="F125" s="347">
        <v>2280</v>
      </c>
      <c r="G125" s="355">
        <v>8450</v>
      </c>
    </row>
    <row r="126" spans="1:7" s="336" customFormat="1" ht="14.25" customHeight="1">
      <c r="A126" s="356" t="s">
        <v>267</v>
      </c>
      <c r="B126" s="351" t="s">
        <v>2637</v>
      </c>
      <c r="C126" s="351">
        <v>12960</v>
      </c>
      <c r="D126" s="351">
        <v>12890</v>
      </c>
      <c r="E126" s="351">
        <v>15530</v>
      </c>
      <c r="F126" s="351">
        <v>2910</v>
      </c>
      <c r="G126" s="357">
        <v>8520</v>
      </c>
    </row>
    <row r="127" spans="1:7" s="336" customFormat="1" ht="14.25" customHeight="1">
      <c r="A127" s="345" t="s">
        <v>273</v>
      </c>
      <c r="B127" s="346" t="s">
        <v>2305</v>
      </c>
      <c r="C127" s="347">
        <v>12280</v>
      </c>
      <c r="D127" s="347">
        <v>12250</v>
      </c>
      <c r="E127" s="347">
        <v>15130</v>
      </c>
      <c r="F127" s="347">
        <v>2710</v>
      </c>
      <c r="G127" s="347">
        <v>7870</v>
      </c>
    </row>
    <row r="128" spans="1:7" s="336" customFormat="1" ht="14.25" customHeight="1">
      <c r="A128" s="347" t="s">
        <v>273</v>
      </c>
      <c r="B128" s="347" t="s">
        <v>2318</v>
      </c>
      <c r="C128" s="347">
        <v>13180</v>
      </c>
      <c r="D128" s="347">
        <v>13150</v>
      </c>
      <c r="E128" s="347">
        <v>16190</v>
      </c>
      <c r="F128" s="347">
        <v>2820</v>
      </c>
      <c r="G128" s="347">
        <v>8460</v>
      </c>
    </row>
    <row r="129" spans="1:7" s="336" customFormat="1" ht="14.25" customHeight="1">
      <c r="A129" s="347" t="s">
        <v>273</v>
      </c>
      <c r="B129" s="347" t="s">
        <v>2332</v>
      </c>
      <c r="C129" s="347">
        <v>10950</v>
      </c>
      <c r="D129" s="347">
        <v>10920</v>
      </c>
      <c r="E129" s="347">
        <v>13820</v>
      </c>
      <c r="F129" s="347">
        <v>2500</v>
      </c>
      <c r="G129" s="347">
        <v>7020</v>
      </c>
    </row>
    <row r="130" spans="1:7" s="336" customFormat="1" ht="14.25" customHeight="1">
      <c r="A130" s="347" t="s">
        <v>273</v>
      </c>
      <c r="B130" s="347" t="s">
        <v>2344</v>
      </c>
      <c r="C130" s="347">
        <v>10910</v>
      </c>
      <c r="D130" s="347">
        <v>10860</v>
      </c>
      <c r="E130" s="347">
        <v>13730</v>
      </c>
      <c r="F130" s="347">
        <v>2760</v>
      </c>
      <c r="G130" s="347">
        <v>6990</v>
      </c>
    </row>
    <row r="131" spans="1:7" s="336" customFormat="1" ht="14.25" customHeight="1">
      <c r="A131" s="347" t="s">
        <v>273</v>
      </c>
      <c r="B131" s="347" t="s">
        <v>2356</v>
      </c>
      <c r="C131" s="347">
        <v>12910</v>
      </c>
      <c r="D131" s="347">
        <v>12870</v>
      </c>
      <c r="E131" s="347">
        <v>15720</v>
      </c>
      <c r="F131" s="347">
        <v>2750</v>
      </c>
      <c r="G131" s="347">
        <v>8280</v>
      </c>
    </row>
    <row r="132" spans="1:7" s="336" customFormat="1" ht="14.25" customHeight="1">
      <c r="A132" s="347" t="s">
        <v>273</v>
      </c>
      <c r="B132" s="347" t="s">
        <v>2367</v>
      </c>
      <c r="C132" s="347">
        <v>11910</v>
      </c>
      <c r="D132" s="347">
        <v>11860</v>
      </c>
      <c r="E132" s="347">
        <v>14730</v>
      </c>
      <c r="F132" s="347">
        <v>2360</v>
      </c>
      <c r="G132" s="347">
        <v>7630</v>
      </c>
    </row>
    <row r="133" spans="1:7" s="336" customFormat="1" ht="14.25" customHeight="1">
      <c r="A133" s="347" t="s">
        <v>273</v>
      </c>
      <c r="B133" s="347" t="s">
        <v>2378</v>
      </c>
      <c r="C133" s="347">
        <v>12270</v>
      </c>
      <c r="D133" s="347">
        <v>12210</v>
      </c>
      <c r="E133" s="347">
        <v>15010</v>
      </c>
      <c r="F133" s="347">
        <v>2580</v>
      </c>
      <c r="G133" s="347">
        <v>7860</v>
      </c>
    </row>
    <row r="134" spans="1:7" s="336" customFormat="1" ht="14.25" customHeight="1">
      <c r="A134" s="347" t="s">
        <v>273</v>
      </c>
      <c r="B134" s="347" t="s">
        <v>2389</v>
      </c>
      <c r="C134" s="347">
        <v>10800</v>
      </c>
      <c r="D134" s="347">
        <v>10780</v>
      </c>
      <c r="E134" s="347">
        <v>13640</v>
      </c>
      <c r="F134" s="347">
        <v>2110</v>
      </c>
      <c r="G134" s="347">
        <v>6930</v>
      </c>
    </row>
    <row r="135" spans="1:7" s="336" customFormat="1" ht="14.25" customHeight="1">
      <c r="A135" s="347" t="s">
        <v>273</v>
      </c>
      <c r="B135" s="347" t="s">
        <v>2399</v>
      </c>
      <c r="C135" s="347">
        <v>10430</v>
      </c>
      <c r="D135" s="347">
        <v>10390</v>
      </c>
      <c r="E135" s="347">
        <v>13140</v>
      </c>
      <c r="F135" s="347">
        <v>2240</v>
      </c>
      <c r="G135" s="347">
        <v>6680</v>
      </c>
    </row>
    <row r="136" spans="1:7" s="336" customFormat="1" ht="14.25" customHeight="1">
      <c r="A136" s="347" t="s">
        <v>273</v>
      </c>
      <c r="B136" s="347" t="s">
        <v>2409</v>
      </c>
      <c r="C136" s="347">
        <v>11930</v>
      </c>
      <c r="D136" s="347">
        <v>11880</v>
      </c>
      <c r="E136" s="347">
        <v>14770</v>
      </c>
      <c r="F136" s="347">
        <v>1970</v>
      </c>
      <c r="G136" s="347">
        <v>7640</v>
      </c>
    </row>
    <row r="137" spans="1:7" s="336" customFormat="1" ht="14.25" customHeight="1">
      <c r="A137" s="347" t="s">
        <v>273</v>
      </c>
      <c r="B137" s="347" t="s">
        <v>2419</v>
      </c>
      <c r="C137" s="347">
        <v>10470</v>
      </c>
      <c r="D137" s="347">
        <v>10430</v>
      </c>
      <c r="E137" s="347">
        <v>13190</v>
      </c>
      <c r="F137" s="347">
        <v>1990</v>
      </c>
      <c r="G137" s="347">
        <v>6710</v>
      </c>
    </row>
    <row r="138" spans="1:7" s="336" customFormat="1" ht="14.25" customHeight="1">
      <c r="A138" s="347" t="s">
        <v>273</v>
      </c>
      <c r="B138" s="347" t="s">
        <v>2429</v>
      </c>
      <c r="C138" s="347">
        <v>10410</v>
      </c>
      <c r="D138" s="347">
        <v>10380</v>
      </c>
      <c r="E138" s="347">
        <v>13130</v>
      </c>
      <c r="F138" s="347">
        <v>2030</v>
      </c>
      <c r="G138" s="347">
        <v>6680</v>
      </c>
    </row>
    <row r="139" spans="1:7" s="336" customFormat="1" ht="14.25" customHeight="1">
      <c r="A139" s="347" t="s">
        <v>273</v>
      </c>
      <c r="B139" s="347" t="s">
        <v>2439</v>
      </c>
      <c r="C139" s="347">
        <v>9460</v>
      </c>
      <c r="D139" s="347">
        <v>9410</v>
      </c>
      <c r="E139" s="347">
        <v>12050</v>
      </c>
      <c r="F139" s="347">
        <v>2140</v>
      </c>
      <c r="G139" s="347">
        <v>6050</v>
      </c>
    </row>
    <row r="140" spans="1:7" s="336" customFormat="1" ht="14.25" customHeight="1">
      <c r="A140" s="347" t="s">
        <v>273</v>
      </c>
      <c r="B140" s="347" t="s">
        <v>2449</v>
      </c>
      <c r="C140" s="347">
        <v>11030</v>
      </c>
      <c r="D140" s="347">
        <v>10980</v>
      </c>
      <c r="E140" s="347">
        <v>13880</v>
      </c>
      <c r="F140" s="347">
        <v>2210</v>
      </c>
      <c r="G140" s="347">
        <v>7060</v>
      </c>
    </row>
    <row r="141" spans="1:7" s="336" customFormat="1" ht="14.25" customHeight="1">
      <c r="A141" s="347" t="s">
        <v>273</v>
      </c>
      <c r="B141" s="347" t="s">
        <v>2459</v>
      </c>
      <c r="C141" s="347">
        <v>11200</v>
      </c>
      <c r="D141" s="347">
        <v>11150</v>
      </c>
      <c r="E141" s="347">
        <v>14100</v>
      </c>
      <c r="F141" s="347">
        <v>2470</v>
      </c>
      <c r="G141" s="347">
        <v>7170</v>
      </c>
    </row>
    <row r="142" spans="1:7" s="336" customFormat="1" ht="14.25" customHeight="1">
      <c r="A142" s="347" t="s">
        <v>273</v>
      </c>
      <c r="B142" s="347" t="s">
        <v>2469</v>
      </c>
      <c r="C142" s="347">
        <v>10780</v>
      </c>
      <c r="D142" s="347">
        <v>10730</v>
      </c>
      <c r="E142" s="347">
        <v>13540</v>
      </c>
      <c r="F142" s="347">
        <v>2280</v>
      </c>
      <c r="G142" s="347">
        <v>6900</v>
      </c>
    </row>
    <row r="143" spans="1:7" s="336" customFormat="1" ht="14.25" customHeight="1">
      <c r="A143" s="347" t="s">
        <v>273</v>
      </c>
      <c r="B143" s="347" t="s">
        <v>2478</v>
      </c>
      <c r="C143" s="347">
        <v>11550</v>
      </c>
      <c r="D143" s="347">
        <v>11490</v>
      </c>
      <c r="E143" s="347">
        <v>14480</v>
      </c>
      <c r="F143" s="347">
        <v>2070</v>
      </c>
      <c r="G143" s="347">
        <v>7390</v>
      </c>
    </row>
    <row r="144" spans="1:7" s="336" customFormat="1" ht="14.25" customHeight="1">
      <c r="A144" s="347" t="s">
        <v>273</v>
      </c>
      <c r="B144" s="347" t="s">
        <v>2488</v>
      </c>
      <c r="C144" s="347">
        <v>10720</v>
      </c>
      <c r="D144" s="347">
        <v>10680</v>
      </c>
      <c r="E144" s="347">
        <v>13480</v>
      </c>
      <c r="F144" s="347">
        <v>2440</v>
      </c>
      <c r="G144" s="347">
        <v>6870</v>
      </c>
    </row>
    <row r="145" spans="1:7" s="336" customFormat="1" ht="14.25" customHeight="1">
      <c r="A145" s="347" t="s">
        <v>273</v>
      </c>
      <c r="B145" s="347" t="s">
        <v>2498</v>
      </c>
      <c r="C145" s="347">
        <v>10340</v>
      </c>
      <c r="D145" s="347">
        <v>10290</v>
      </c>
      <c r="E145" s="347">
        <v>12880</v>
      </c>
      <c r="F145" s="347">
        <v>2650</v>
      </c>
      <c r="G145" s="347">
        <v>6620</v>
      </c>
    </row>
    <row r="146" spans="1:7" s="336" customFormat="1" ht="14.25" customHeight="1">
      <c r="A146" s="347" t="s">
        <v>273</v>
      </c>
      <c r="B146" s="347" t="s">
        <v>2508</v>
      </c>
      <c r="C146" s="347">
        <v>11890</v>
      </c>
      <c r="D146" s="347">
        <v>11830</v>
      </c>
      <c r="E146" s="347">
        <v>14670</v>
      </c>
      <c r="F146" s="347"/>
      <c r="G146" s="347">
        <v>7610</v>
      </c>
    </row>
    <row r="147" spans="1:7" s="336" customFormat="1" ht="14.25" customHeight="1">
      <c r="A147" s="347" t="s">
        <v>273</v>
      </c>
      <c r="B147" s="347" t="s">
        <v>2517</v>
      </c>
      <c r="C147" s="347">
        <v>12650</v>
      </c>
      <c r="D147" s="347">
        <v>12600</v>
      </c>
      <c r="E147" s="347">
        <v>15440</v>
      </c>
      <c r="F147" s="347"/>
      <c r="G147" s="347">
        <v>8110</v>
      </c>
    </row>
    <row r="148" spans="1:7" s="336" customFormat="1" ht="14.25" customHeight="1">
      <c r="A148" s="347" t="s">
        <v>273</v>
      </c>
      <c r="B148" s="347" t="s">
        <v>2525</v>
      </c>
      <c r="C148" s="347">
        <v>10370</v>
      </c>
      <c r="D148" s="347">
        <v>10310</v>
      </c>
      <c r="E148" s="347">
        <v>12970</v>
      </c>
      <c r="F148" s="347"/>
      <c r="G148" s="347">
        <v>6630</v>
      </c>
    </row>
    <row r="149" spans="1:7" s="336" customFormat="1" ht="14.25" customHeight="1">
      <c r="A149" s="347" t="s">
        <v>273</v>
      </c>
      <c r="B149" s="347" t="s">
        <v>2533</v>
      </c>
      <c r="C149" s="347">
        <v>11600</v>
      </c>
      <c r="D149" s="347">
        <v>11560</v>
      </c>
      <c r="E149" s="347">
        <v>14540</v>
      </c>
      <c r="F149" s="347">
        <v>2390</v>
      </c>
      <c r="G149" s="347">
        <v>7430</v>
      </c>
    </row>
    <row r="150" spans="1:7" s="336" customFormat="1" ht="14.25" customHeight="1">
      <c r="A150" s="347" t="s">
        <v>273</v>
      </c>
      <c r="B150" s="347" t="s">
        <v>2541</v>
      </c>
      <c r="C150" s="347">
        <v>9950</v>
      </c>
      <c r="D150" s="347">
        <v>9890</v>
      </c>
      <c r="E150" s="347">
        <v>12590</v>
      </c>
      <c r="F150" s="347">
        <v>1970</v>
      </c>
      <c r="G150" s="347">
        <v>6360</v>
      </c>
    </row>
    <row r="151" spans="1:7" s="336" customFormat="1" ht="14.25" customHeight="1">
      <c r="A151" s="347" t="s">
        <v>273</v>
      </c>
      <c r="B151" s="347" t="s">
        <v>2549</v>
      </c>
      <c r="C151" s="347">
        <v>10700</v>
      </c>
      <c r="D151" s="347">
        <v>10650</v>
      </c>
      <c r="E151" s="347">
        <v>13420</v>
      </c>
      <c r="F151" s="347">
        <v>2020</v>
      </c>
      <c r="G151" s="347">
        <v>6850</v>
      </c>
    </row>
    <row r="152" spans="1:7" s="336" customFormat="1" ht="14.25" customHeight="1">
      <c r="A152" s="347" t="s">
        <v>273</v>
      </c>
      <c r="B152" s="347" t="s">
        <v>2556</v>
      </c>
      <c r="C152" s="347">
        <v>10310</v>
      </c>
      <c r="D152" s="347">
        <v>10260</v>
      </c>
      <c r="E152" s="347">
        <v>12820</v>
      </c>
      <c r="F152" s="347">
        <v>1980</v>
      </c>
      <c r="G152" s="347">
        <v>6600</v>
      </c>
    </row>
    <row r="153" spans="1:7" s="336" customFormat="1" ht="14.25" customHeight="1">
      <c r="A153" s="347" t="s">
        <v>273</v>
      </c>
      <c r="B153" s="347" t="s">
        <v>2563</v>
      </c>
      <c r="C153" s="347">
        <v>10880</v>
      </c>
      <c r="D153" s="347">
        <v>10820</v>
      </c>
      <c r="E153" s="347">
        <v>13660</v>
      </c>
      <c r="F153" s="347">
        <v>2260</v>
      </c>
      <c r="G153" s="347">
        <v>6970</v>
      </c>
    </row>
    <row r="154" spans="1:7" s="336" customFormat="1" ht="14.25" customHeight="1">
      <c r="A154" s="347" t="s">
        <v>273</v>
      </c>
      <c r="B154" s="347" t="s">
        <v>2570</v>
      </c>
      <c r="C154" s="347">
        <v>11220</v>
      </c>
      <c r="D154" s="347">
        <v>11160</v>
      </c>
      <c r="E154" s="347">
        <v>14130</v>
      </c>
      <c r="F154" s="347">
        <v>2230</v>
      </c>
      <c r="G154" s="347">
        <v>7180</v>
      </c>
    </row>
    <row r="155" spans="1:7" s="336" customFormat="1" ht="14.25" customHeight="1">
      <c r="A155" s="347" t="s">
        <v>273</v>
      </c>
      <c r="B155" s="347" t="s">
        <v>2577</v>
      </c>
      <c r="C155" s="347">
        <v>10430</v>
      </c>
      <c r="D155" s="347">
        <v>10380</v>
      </c>
      <c r="E155" s="347">
        <v>13140</v>
      </c>
      <c r="F155" s="347">
        <v>2080</v>
      </c>
      <c r="G155" s="347">
        <v>6650</v>
      </c>
    </row>
    <row r="156" spans="1:7" s="336" customFormat="1" ht="14.25" customHeight="1">
      <c r="A156" s="347" t="s">
        <v>273</v>
      </c>
      <c r="B156" s="347" t="s">
        <v>2584</v>
      </c>
      <c r="C156" s="347">
        <v>10440</v>
      </c>
      <c r="D156" s="347">
        <v>10400</v>
      </c>
      <c r="E156" s="347">
        <v>13150</v>
      </c>
      <c r="F156" s="347">
        <v>2490</v>
      </c>
      <c r="G156" s="347">
        <v>6690</v>
      </c>
    </row>
    <row r="157" spans="1:7" s="336" customFormat="1" ht="14.25" customHeight="1">
      <c r="A157" s="347" t="s">
        <v>273</v>
      </c>
      <c r="B157" s="347" t="s">
        <v>2591</v>
      </c>
      <c r="C157" s="347">
        <v>10970</v>
      </c>
      <c r="D157" s="347">
        <v>10920</v>
      </c>
      <c r="E157" s="347">
        <v>13840</v>
      </c>
      <c r="F157" s="347">
        <v>2420</v>
      </c>
      <c r="G157" s="347">
        <v>7020</v>
      </c>
    </row>
    <row r="158" spans="1:7" s="336" customFormat="1" ht="14.25" customHeight="1">
      <c r="A158" s="347" t="s">
        <v>273</v>
      </c>
      <c r="B158" s="347" t="s">
        <v>2598</v>
      </c>
      <c r="C158" s="347">
        <v>9590</v>
      </c>
      <c r="D158" s="347">
        <v>9540</v>
      </c>
      <c r="E158" s="347">
        <v>12210</v>
      </c>
      <c r="F158" s="347">
        <v>2100</v>
      </c>
      <c r="G158" s="347">
        <v>6130</v>
      </c>
    </row>
    <row r="159" spans="1:7" s="336" customFormat="1" ht="14.25" customHeight="1">
      <c r="A159" s="347" t="s">
        <v>273</v>
      </c>
      <c r="B159" s="347" t="s">
        <v>2603</v>
      </c>
      <c r="C159" s="347">
        <v>11190</v>
      </c>
      <c r="D159" s="347">
        <v>11140</v>
      </c>
      <c r="E159" s="347">
        <v>14090</v>
      </c>
      <c r="F159" s="347">
        <v>2470</v>
      </c>
      <c r="G159" s="347">
        <v>7170</v>
      </c>
    </row>
    <row r="160" spans="1:7" s="336" customFormat="1" ht="14.25" customHeight="1">
      <c r="A160" s="347" t="s">
        <v>273</v>
      </c>
      <c r="B160" s="347" t="s">
        <v>2608</v>
      </c>
      <c r="C160" s="347">
        <v>11180</v>
      </c>
      <c r="D160" s="347">
        <v>11140</v>
      </c>
      <c r="E160" s="347">
        <v>14050</v>
      </c>
      <c r="F160" s="347">
        <v>2270</v>
      </c>
      <c r="G160" s="347">
        <v>7170</v>
      </c>
    </row>
    <row r="161" spans="1:7" s="336" customFormat="1" ht="14.25" customHeight="1">
      <c r="A161" s="347" t="s">
        <v>273</v>
      </c>
      <c r="B161" s="347" t="s">
        <v>2613</v>
      </c>
      <c r="C161" s="347">
        <v>11160</v>
      </c>
      <c r="D161" s="347">
        <v>11120</v>
      </c>
      <c r="E161" s="347">
        <v>14020</v>
      </c>
      <c r="F161" s="347">
        <v>2150</v>
      </c>
      <c r="G161" s="347">
        <v>7160</v>
      </c>
    </row>
    <row r="162" spans="1:7" s="336" customFormat="1" ht="14.25" customHeight="1">
      <c r="A162" s="347" t="s">
        <v>273</v>
      </c>
      <c r="B162" s="347" t="s">
        <v>2618</v>
      </c>
      <c r="C162" s="347">
        <v>9620</v>
      </c>
      <c r="D162" s="347">
        <v>9570</v>
      </c>
      <c r="E162" s="347">
        <v>12320</v>
      </c>
      <c r="F162" s="347">
        <v>2010</v>
      </c>
      <c r="G162" s="347">
        <v>6160</v>
      </c>
    </row>
    <row r="163" spans="1:7" s="336" customFormat="1" ht="14.25" customHeight="1">
      <c r="A163" s="347" t="s">
        <v>273</v>
      </c>
      <c r="B163" s="347" t="s">
        <v>2623</v>
      </c>
      <c r="C163" s="347">
        <v>9320</v>
      </c>
      <c r="D163" s="347">
        <v>9270</v>
      </c>
      <c r="E163" s="347">
        <v>11790</v>
      </c>
      <c r="F163" s="347">
        <v>1920</v>
      </c>
      <c r="G163" s="347">
        <v>5960</v>
      </c>
    </row>
    <row r="164" spans="1:7" s="336" customFormat="1" ht="14.25" customHeight="1">
      <c r="A164" s="347" t="s">
        <v>273</v>
      </c>
      <c r="B164" s="347" t="s">
        <v>2628</v>
      </c>
      <c r="C164" s="347"/>
      <c r="D164" s="347"/>
      <c r="E164" s="347"/>
      <c r="F164" s="347">
        <v>1980</v>
      </c>
      <c r="G164" s="347"/>
    </row>
    <row r="165" spans="1:7" s="336" customFormat="1" ht="14.25" customHeight="1">
      <c r="A165" s="347" t="s">
        <v>273</v>
      </c>
      <c r="B165" s="347" t="s">
        <v>2633</v>
      </c>
      <c r="C165" s="347">
        <v>11060</v>
      </c>
      <c r="D165" s="347">
        <v>11030</v>
      </c>
      <c r="E165" s="347">
        <v>13850</v>
      </c>
      <c r="F165" s="347">
        <v>2170</v>
      </c>
      <c r="G165" s="347">
        <v>7090</v>
      </c>
    </row>
    <row r="166" spans="1:7" s="336" customFormat="1" ht="14.25" customHeight="1">
      <c r="A166" s="347" t="s">
        <v>273</v>
      </c>
      <c r="B166" s="347" t="s">
        <v>2638</v>
      </c>
      <c r="C166" s="347">
        <v>11050</v>
      </c>
      <c r="D166" s="347">
        <v>11010</v>
      </c>
      <c r="E166" s="347">
        <v>13920</v>
      </c>
      <c r="F166" s="347">
        <v>2140</v>
      </c>
      <c r="G166" s="347">
        <v>7080</v>
      </c>
    </row>
    <row r="167" spans="1:7" s="336" customFormat="1" ht="14.25" customHeight="1">
      <c r="A167" s="347" t="s">
        <v>273</v>
      </c>
      <c r="B167" s="347" t="s">
        <v>2642</v>
      </c>
      <c r="C167" s="347">
        <v>10930</v>
      </c>
      <c r="D167" s="347">
        <v>10890</v>
      </c>
      <c r="E167" s="347">
        <v>13790</v>
      </c>
      <c r="F167" s="347">
        <v>2010</v>
      </c>
      <c r="G167" s="347">
        <v>7000</v>
      </c>
    </row>
    <row r="168" spans="1:7" s="336" customFormat="1" ht="14.25" customHeight="1">
      <c r="A168" s="347" t="s">
        <v>273</v>
      </c>
      <c r="B168" s="347" t="s">
        <v>2646</v>
      </c>
      <c r="C168" s="347">
        <v>9420</v>
      </c>
      <c r="D168" s="347">
        <v>9380</v>
      </c>
      <c r="E168" s="347">
        <v>11970</v>
      </c>
      <c r="F168" s="347"/>
      <c r="G168" s="347">
        <v>6040</v>
      </c>
    </row>
    <row r="169" spans="1:7" s="336" customFormat="1" ht="14.25" customHeight="1">
      <c r="A169" s="347" t="s">
        <v>273</v>
      </c>
      <c r="B169" s="347" t="s">
        <v>2650</v>
      </c>
      <c r="C169" s="347"/>
      <c r="D169" s="347"/>
      <c r="E169" s="347"/>
      <c r="F169" s="347">
        <v>2880</v>
      </c>
      <c r="G169" s="347"/>
    </row>
    <row r="170" spans="1:7" s="336" customFormat="1" ht="14.25" customHeight="1">
      <c r="A170" s="347" t="s">
        <v>273</v>
      </c>
      <c r="B170" s="347" t="s">
        <v>2654</v>
      </c>
      <c r="C170" s="347"/>
      <c r="D170" s="347"/>
      <c r="E170" s="347"/>
      <c r="F170" s="347">
        <v>2880</v>
      </c>
      <c r="G170" s="347"/>
    </row>
    <row r="171" spans="1:7" s="336" customFormat="1" ht="14.25" customHeight="1">
      <c r="A171" s="347" t="s">
        <v>273</v>
      </c>
      <c r="B171" s="347" t="s">
        <v>2657</v>
      </c>
      <c r="C171" s="347"/>
      <c r="D171" s="347"/>
      <c r="E171" s="347"/>
      <c r="F171" s="347">
        <v>2880</v>
      </c>
      <c r="G171" s="347"/>
    </row>
    <row r="172" spans="1:7" s="336" customFormat="1" ht="14.25" customHeight="1">
      <c r="A172" s="347" t="s">
        <v>273</v>
      </c>
      <c r="B172" s="347" t="s">
        <v>2659</v>
      </c>
      <c r="C172" s="347"/>
      <c r="D172" s="347"/>
      <c r="E172" s="347"/>
      <c r="F172" s="347">
        <v>2880</v>
      </c>
      <c r="G172" s="347"/>
    </row>
    <row r="173" spans="1:7" s="336" customFormat="1" ht="14.25" customHeight="1">
      <c r="A173" s="347" t="s">
        <v>273</v>
      </c>
      <c r="B173" s="347" t="s">
        <v>2661</v>
      </c>
      <c r="C173" s="347"/>
      <c r="D173" s="347"/>
      <c r="E173" s="347"/>
      <c r="F173" s="347">
        <v>2150</v>
      </c>
      <c r="G173" s="347"/>
    </row>
    <row r="174" spans="1:7" s="336" customFormat="1" ht="14.25" customHeight="1">
      <c r="A174" s="347" t="s">
        <v>273</v>
      </c>
      <c r="B174" s="347" t="s">
        <v>2663</v>
      </c>
      <c r="C174" s="347"/>
      <c r="D174" s="347"/>
      <c r="E174" s="347"/>
      <c r="F174" s="347">
        <v>2030</v>
      </c>
      <c r="G174" s="347"/>
    </row>
    <row r="175" spans="1:7" s="336" customFormat="1" ht="14.25" customHeight="1">
      <c r="A175" s="347" t="s">
        <v>273</v>
      </c>
      <c r="B175" s="347" t="s">
        <v>2665</v>
      </c>
      <c r="C175" s="347"/>
      <c r="D175" s="347"/>
      <c r="E175" s="347"/>
      <c r="F175" s="347">
        <v>2780</v>
      </c>
      <c r="G175" s="347"/>
    </row>
    <row r="176" spans="1:7" s="336" customFormat="1" ht="14.25" customHeight="1">
      <c r="A176" s="347" t="s">
        <v>273</v>
      </c>
      <c r="B176" s="347" t="s">
        <v>2667</v>
      </c>
      <c r="C176" s="347"/>
      <c r="D176" s="347"/>
      <c r="E176" s="347"/>
      <c r="F176" s="347">
        <v>2780</v>
      </c>
      <c r="G176" s="347"/>
    </row>
    <row r="177" spans="1:7" s="336" customFormat="1" ht="14.25" customHeight="1">
      <c r="A177" s="347" t="s">
        <v>273</v>
      </c>
      <c r="B177" s="347" t="s">
        <v>2669</v>
      </c>
      <c r="C177" s="347"/>
      <c r="D177" s="347"/>
      <c r="E177" s="347"/>
      <c r="F177" s="347">
        <v>2780</v>
      </c>
      <c r="G177" s="347"/>
    </row>
    <row r="178" spans="1:7" s="336" customFormat="1" ht="14.25" customHeight="1">
      <c r="A178" s="347" t="s">
        <v>273</v>
      </c>
      <c r="B178" s="347" t="s">
        <v>2670</v>
      </c>
      <c r="C178" s="347"/>
      <c r="D178" s="347"/>
      <c r="E178" s="347"/>
      <c r="F178" s="347">
        <v>2060</v>
      </c>
      <c r="G178" s="347"/>
    </row>
    <row r="179" spans="1:7" s="336" customFormat="1" ht="14.25" customHeight="1">
      <c r="A179" s="347" t="s">
        <v>273</v>
      </c>
      <c r="B179" s="347" t="s">
        <v>2671</v>
      </c>
      <c r="C179" s="347"/>
      <c r="D179" s="347"/>
      <c r="E179" s="347"/>
      <c r="F179" s="347">
        <v>2120</v>
      </c>
      <c r="G179" s="347"/>
    </row>
    <row r="180" spans="1:7" s="336" customFormat="1" ht="14.25" customHeight="1">
      <c r="A180" s="347" t="s">
        <v>273</v>
      </c>
      <c r="B180" s="347" t="s">
        <v>2672</v>
      </c>
      <c r="C180" s="347"/>
      <c r="D180" s="347"/>
      <c r="E180" s="347"/>
      <c r="F180" s="347">
        <v>2340</v>
      </c>
      <c r="G180" s="347"/>
    </row>
    <row r="181" spans="1:7" s="336" customFormat="1" ht="14.25" customHeight="1">
      <c r="A181" s="347" t="s">
        <v>273</v>
      </c>
      <c r="B181" s="347" t="s">
        <v>2673</v>
      </c>
      <c r="C181" s="347"/>
      <c r="D181" s="347"/>
      <c r="E181" s="347"/>
      <c r="F181" s="347">
        <v>2340</v>
      </c>
      <c r="G181" s="347"/>
    </row>
    <row r="182" spans="1:7" s="336" customFormat="1" ht="14.25" customHeight="1">
      <c r="A182" s="347" t="s">
        <v>273</v>
      </c>
      <c r="B182" s="347" t="s">
        <v>2674</v>
      </c>
      <c r="C182" s="347"/>
      <c r="D182" s="347"/>
      <c r="E182" s="347"/>
      <c r="F182" s="347">
        <v>2340</v>
      </c>
      <c r="G182" s="347"/>
    </row>
    <row r="183" spans="1:7" s="336" customFormat="1" ht="14.25" customHeight="1">
      <c r="A183" s="347" t="s">
        <v>273</v>
      </c>
      <c r="B183" s="347" t="s">
        <v>2675</v>
      </c>
      <c r="C183" s="347"/>
      <c r="D183" s="347"/>
      <c r="E183" s="347"/>
      <c r="F183" s="347">
        <v>2340</v>
      </c>
      <c r="G183" s="347"/>
    </row>
    <row r="184" spans="1:7" s="336" customFormat="1" ht="14.25" customHeight="1">
      <c r="A184" s="347" t="s">
        <v>273</v>
      </c>
      <c r="B184" s="347" t="s">
        <v>2676</v>
      </c>
      <c r="C184" s="347"/>
      <c r="D184" s="347"/>
      <c r="E184" s="347"/>
      <c r="F184" s="347">
        <v>2340</v>
      </c>
      <c r="G184" s="347"/>
    </row>
    <row r="185" spans="1:7" s="336" customFormat="1" ht="14.25" customHeight="1">
      <c r="A185" s="347" t="s">
        <v>273</v>
      </c>
      <c r="B185" s="347" t="s">
        <v>2677</v>
      </c>
      <c r="C185" s="347"/>
      <c r="D185" s="347"/>
      <c r="E185" s="347"/>
      <c r="F185" s="347">
        <v>2530</v>
      </c>
      <c r="G185" s="347"/>
    </row>
    <row r="186" spans="1:7" s="336" customFormat="1" ht="14.25" customHeight="1">
      <c r="A186" s="347" t="s">
        <v>273</v>
      </c>
      <c r="B186" s="347" t="s">
        <v>2678</v>
      </c>
      <c r="C186" s="347"/>
      <c r="D186" s="347"/>
      <c r="E186" s="347"/>
      <c r="F186" s="347">
        <v>2550</v>
      </c>
      <c r="G186" s="347"/>
    </row>
    <row r="187" spans="1:7" s="336" customFormat="1" ht="14.25" customHeight="1">
      <c r="A187" s="347" t="s">
        <v>273</v>
      </c>
      <c r="B187" s="347" t="s">
        <v>2679</v>
      </c>
      <c r="C187" s="347"/>
      <c r="D187" s="347"/>
      <c r="E187" s="347"/>
      <c r="F187" s="347">
        <v>2070</v>
      </c>
      <c r="G187" s="347"/>
    </row>
    <row r="188" spans="1:7" s="336" customFormat="1" ht="14.25" customHeight="1">
      <c r="A188" s="347" t="s">
        <v>273</v>
      </c>
      <c r="B188" s="347" t="s">
        <v>2680</v>
      </c>
      <c r="C188" s="347"/>
      <c r="D188" s="347"/>
      <c r="E188" s="347"/>
      <c r="F188" s="347">
        <v>2340</v>
      </c>
      <c r="G188" s="347"/>
    </row>
    <row r="189" spans="1:7" s="336" customFormat="1" ht="14.25" customHeight="1">
      <c r="A189" s="349" t="s">
        <v>273</v>
      </c>
      <c r="B189" s="353" t="s">
        <v>2681</v>
      </c>
      <c r="C189" s="353"/>
      <c r="D189" s="353"/>
      <c r="E189" s="353"/>
      <c r="F189" s="353">
        <v>2050</v>
      </c>
      <c r="G189" s="353"/>
    </row>
    <row r="190" spans="1:7" s="336" customFormat="1" ht="14.25" customHeight="1">
      <c r="A190" s="345" t="s">
        <v>278</v>
      </c>
      <c r="B190" s="346" t="s">
        <v>2306</v>
      </c>
      <c r="C190" s="346">
        <v>8830</v>
      </c>
      <c r="D190" s="346">
        <v>8790</v>
      </c>
      <c r="E190" s="346">
        <v>11630</v>
      </c>
      <c r="F190" s="346">
        <v>1790</v>
      </c>
      <c r="G190" s="354">
        <v>5550</v>
      </c>
    </row>
    <row r="191" spans="1:7" s="336" customFormat="1" ht="14.25" customHeight="1">
      <c r="A191" s="347" t="s">
        <v>278</v>
      </c>
      <c r="B191" s="347" t="s">
        <v>2319</v>
      </c>
      <c r="C191" s="347">
        <v>9780</v>
      </c>
      <c r="D191" s="347">
        <v>9710</v>
      </c>
      <c r="E191" s="347">
        <v>12550</v>
      </c>
      <c r="F191" s="347">
        <v>1980</v>
      </c>
      <c r="G191" s="355">
        <v>6130</v>
      </c>
    </row>
    <row r="192" spans="1:7" s="336" customFormat="1" ht="14.25" customHeight="1">
      <c r="A192" s="347" t="s">
        <v>278</v>
      </c>
      <c r="B192" s="347" t="s">
        <v>2333</v>
      </c>
      <c r="C192" s="347">
        <v>8180</v>
      </c>
      <c r="D192" s="347">
        <v>8140</v>
      </c>
      <c r="E192" s="347">
        <v>10870</v>
      </c>
      <c r="F192" s="347">
        <v>1690</v>
      </c>
      <c r="G192" s="355">
        <v>5140</v>
      </c>
    </row>
    <row r="193" spans="1:7" s="336" customFormat="1" ht="14.25" customHeight="1">
      <c r="A193" s="347" t="s">
        <v>278</v>
      </c>
      <c r="B193" s="347" t="s">
        <v>2345</v>
      </c>
      <c r="C193" s="347">
        <v>8440</v>
      </c>
      <c r="D193" s="347">
        <v>8390</v>
      </c>
      <c r="E193" s="347">
        <v>11210</v>
      </c>
      <c r="F193" s="347">
        <v>1600</v>
      </c>
      <c r="G193" s="355">
        <v>5300</v>
      </c>
    </row>
    <row r="194" spans="1:7" s="336" customFormat="1" ht="14.25" customHeight="1">
      <c r="A194" s="347" t="s">
        <v>278</v>
      </c>
      <c r="B194" s="347" t="s">
        <v>2357</v>
      </c>
      <c r="C194" s="347">
        <v>8780</v>
      </c>
      <c r="D194" s="347">
        <v>8730</v>
      </c>
      <c r="E194" s="347">
        <v>11550</v>
      </c>
      <c r="F194" s="347">
        <v>1660</v>
      </c>
      <c r="G194" s="355">
        <v>5520</v>
      </c>
    </row>
    <row r="195" spans="1:7" s="336" customFormat="1" ht="14.25" customHeight="1">
      <c r="A195" s="347" t="s">
        <v>278</v>
      </c>
      <c r="B195" s="347" t="s">
        <v>2368</v>
      </c>
      <c r="C195" s="347">
        <v>8720</v>
      </c>
      <c r="D195" s="347">
        <v>8670</v>
      </c>
      <c r="E195" s="347">
        <v>11450</v>
      </c>
      <c r="F195" s="347">
        <v>1720</v>
      </c>
      <c r="G195" s="355">
        <v>5480</v>
      </c>
    </row>
    <row r="196" spans="1:7" s="336" customFormat="1" ht="14.25" customHeight="1">
      <c r="A196" s="347" t="s">
        <v>278</v>
      </c>
      <c r="B196" s="347" t="s">
        <v>2379</v>
      </c>
      <c r="C196" s="347">
        <v>8460</v>
      </c>
      <c r="D196" s="347">
        <v>8410</v>
      </c>
      <c r="E196" s="347">
        <v>11230</v>
      </c>
      <c r="F196" s="347">
        <v>1730</v>
      </c>
      <c r="G196" s="355">
        <v>5310</v>
      </c>
    </row>
    <row r="197" spans="1:7" s="336" customFormat="1" ht="14.25" customHeight="1">
      <c r="A197" s="347" t="s">
        <v>278</v>
      </c>
      <c r="B197" s="347" t="s">
        <v>2390</v>
      </c>
      <c r="C197" s="347">
        <v>8790</v>
      </c>
      <c r="D197" s="347">
        <v>8730</v>
      </c>
      <c r="E197" s="347">
        <v>11560</v>
      </c>
      <c r="F197" s="347">
        <v>1750</v>
      </c>
      <c r="G197" s="355">
        <v>5520</v>
      </c>
    </row>
    <row r="198" spans="1:7" s="336" customFormat="1" ht="14.25" customHeight="1">
      <c r="A198" s="347" t="s">
        <v>278</v>
      </c>
      <c r="B198" s="347" t="s">
        <v>2400</v>
      </c>
      <c r="C198" s="347">
        <v>8720</v>
      </c>
      <c r="D198" s="347">
        <v>8680</v>
      </c>
      <c r="E198" s="347">
        <v>11470</v>
      </c>
      <c r="F198" s="347"/>
      <c r="G198" s="355">
        <v>5480</v>
      </c>
    </row>
    <row r="199" spans="1:7" s="336" customFormat="1" ht="14.25" customHeight="1">
      <c r="A199" s="347" t="s">
        <v>278</v>
      </c>
      <c r="B199" s="347" t="s">
        <v>2410</v>
      </c>
      <c r="C199" s="347">
        <v>8690</v>
      </c>
      <c r="D199" s="347">
        <v>8630</v>
      </c>
      <c r="E199" s="347">
        <v>11350</v>
      </c>
      <c r="F199" s="347">
        <v>1600</v>
      </c>
      <c r="G199" s="355">
        <v>5450</v>
      </c>
    </row>
    <row r="200" spans="1:7" s="336" customFormat="1" ht="14.25" customHeight="1">
      <c r="A200" s="347" t="s">
        <v>278</v>
      </c>
      <c r="B200" s="347" t="s">
        <v>2420</v>
      </c>
      <c r="C200" s="347"/>
      <c r="D200" s="347"/>
      <c r="E200" s="347"/>
      <c r="F200" s="347">
        <v>1510</v>
      </c>
      <c r="G200" s="355"/>
    </row>
    <row r="201" spans="1:7" s="336" customFormat="1" ht="14.25" customHeight="1">
      <c r="A201" s="347" t="s">
        <v>278</v>
      </c>
      <c r="B201" s="347" t="s">
        <v>2430</v>
      </c>
      <c r="C201" s="347">
        <v>8440</v>
      </c>
      <c r="D201" s="347">
        <v>8390</v>
      </c>
      <c r="E201" s="347">
        <v>10930</v>
      </c>
      <c r="F201" s="347">
        <v>1500</v>
      </c>
      <c r="G201" s="355">
        <v>5300</v>
      </c>
    </row>
    <row r="202" spans="1:7" s="336" customFormat="1" ht="14.25" customHeight="1">
      <c r="A202" s="347" t="s">
        <v>278</v>
      </c>
      <c r="B202" s="347" t="s">
        <v>2440</v>
      </c>
      <c r="C202" s="347">
        <v>8530</v>
      </c>
      <c r="D202" s="347">
        <v>8490</v>
      </c>
      <c r="E202" s="347">
        <v>11160</v>
      </c>
      <c r="F202" s="347">
        <v>1580</v>
      </c>
      <c r="G202" s="355">
        <v>5360</v>
      </c>
    </row>
    <row r="203" spans="1:7" s="336" customFormat="1" ht="14.25" customHeight="1">
      <c r="A203" s="347" t="s">
        <v>278</v>
      </c>
      <c r="B203" s="347" t="s">
        <v>2450</v>
      </c>
      <c r="C203" s="347">
        <v>8130</v>
      </c>
      <c r="D203" s="347">
        <v>8070</v>
      </c>
      <c r="E203" s="347">
        <v>10820</v>
      </c>
      <c r="F203" s="347">
        <v>1690</v>
      </c>
      <c r="G203" s="355">
        <v>5100</v>
      </c>
    </row>
    <row r="204" spans="1:7" s="336" customFormat="1" ht="14.25" customHeight="1">
      <c r="A204" s="347" t="s">
        <v>278</v>
      </c>
      <c r="B204" s="347" t="s">
        <v>2460</v>
      </c>
      <c r="C204" s="347">
        <v>8350</v>
      </c>
      <c r="D204" s="347">
        <v>8290</v>
      </c>
      <c r="E204" s="347">
        <v>11080</v>
      </c>
      <c r="F204" s="347">
        <v>1450</v>
      </c>
      <c r="G204" s="355">
        <v>5240</v>
      </c>
    </row>
    <row r="205" spans="1:7" s="336" customFormat="1" ht="14.25" customHeight="1">
      <c r="A205" s="347" t="s">
        <v>278</v>
      </c>
      <c r="B205" s="347" t="s">
        <v>2470</v>
      </c>
      <c r="C205" s="347">
        <v>7190</v>
      </c>
      <c r="D205" s="347">
        <v>7130</v>
      </c>
      <c r="E205" s="347">
        <v>9490</v>
      </c>
      <c r="F205" s="347">
        <v>1470</v>
      </c>
      <c r="G205" s="355">
        <v>4510</v>
      </c>
    </row>
    <row r="206" spans="1:7" s="336" customFormat="1" ht="14.25" customHeight="1">
      <c r="A206" s="347" t="s">
        <v>278</v>
      </c>
      <c r="B206" s="347" t="s">
        <v>2479</v>
      </c>
      <c r="C206" s="347">
        <v>7000</v>
      </c>
      <c r="D206" s="347">
        <v>6950</v>
      </c>
      <c r="E206" s="347">
        <v>9170</v>
      </c>
      <c r="F206" s="347">
        <v>1400</v>
      </c>
      <c r="G206" s="355">
        <v>4380</v>
      </c>
    </row>
    <row r="207" spans="1:7" s="336" customFormat="1" ht="14.25" customHeight="1">
      <c r="A207" s="347" t="s">
        <v>278</v>
      </c>
      <c r="B207" s="347" t="s">
        <v>2489</v>
      </c>
      <c r="C207" s="347">
        <v>6950</v>
      </c>
      <c r="D207" s="347">
        <v>6900</v>
      </c>
      <c r="E207" s="347">
        <v>9110</v>
      </c>
      <c r="F207" s="347">
        <v>1790</v>
      </c>
      <c r="G207" s="355">
        <v>4360</v>
      </c>
    </row>
    <row r="208" spans="1:7" s="336" customFormat="1" ht="14.25" customHeight="1">
      <c r="A208" s="347" t="s">
        <v>278</v>
      </c>
      <c r="B208" s="347" t="s">
        <v>2499</v>
      </c>
      <c r="C208" s="347">
        <v>9470</v>
      </c>
      <c r="D208" s="347">
        <v>9410</v>
      </c>
      <c r="E208" s="347">
        <v>12330</v>
      </c>
      <c r="F208" s="347">
        <v>1770</v>
      </c>
      <c r="G208" s="355">
        <v>5940</v>
      </c>
    </row>
    <row r="209" spans="1:7" s="336" customFormat="1" ht="14.25" customHeight="1">
      <c r="A209" s="347" t="s">
        <v>278</v>
      </c>
      <c r="B209" s="347" t="s">
        <v>2509</v>
      </c>
      <c r="C209" s="347">
        <v>8740</v>
      </c>
      <c r="D209" s="347">
        <v>8700</v>
      </c>
      <c r="E209" s="347">
        <v>11500</v>
      </c>
      <c r="F209" s="347">
        <v>1730</v>
      </c>
      <c r="G209" s="355">
        <v>5490</v>
      </c>
    </row>
    <row r="210" spans="1:7" s="336" customFormat="1" ht="14.25" customHeight="1">
      <c r="A210" s="347" t="s">
        <v>278</v>
      </c>
      <c r="B210" s="347" t="s">
        <v>2518</v>
      </c>
      <c r="C210" s="347">
        <v>8710</v>
      </c>
      <c r="D210" s="347">
        <v>8660</v>
      </c>
      <c r="E210" s="347">
        <v>11440</v>
      </c>
      <c r="F210" s="347">
        <v>1740</v>
      </c>
      <c r="G210" s="355">
        <v>5470</v>
      </c>
    </row>
    <row r="211" spans="1:7" s="336" customFormat="1" ht="14.25" customHeight="1">
      <c r="A211" s="347" t="s">
        <v>278</v>
      </c>
      <c r="B211" s="347" t="s">
        <v>2526</v>
      </c>
      <c r="C211" s="347">
        <v>9480</v>
      </c>
      <c r="D211" s="347">
        <v>9430</v>
      </c>
      <c r="E211" s="347">
        <v>12360</v>
      </c>
      <c r="F211" s="347">
        <v>1820</v>
      </c>
      <c r="G211" s="355">
        <v>5950</v>
      </c>
    </row>
    <row r="212" spans="1:7" s="336" customFormat="1" ht="14.25" customHeight="1">
      <c r="A212" s="347" t="s">
        <v>278</v>
      </c>
      <c r="B212" s="347" t="s">
        <v>2534</v>
      </c>
      <c r="C212" s="347">
        <v>9070</v>
      </c>
      <c r="D212" s="347">
        <v>9020</v>
      </c>
      <c r="E212" s="347">
        <v>11720</v>
      </c>
      <c r="F212" s="347">
        <v>1850</v>
      </c>
      <c r="G212" s="355">
        <v>5700</v>
      </c>
    </row>
    <row r="213" spans="1:7" s="336" customFormat="1" ht="14.25" customHeight="1">
      <c r="A213" s="347" t="s">
        <v>278</v>
      </c>
      <c r="B213" s="347" t="s">
        <v>2542</v>
      </c>
      <c r="C213" s="347">
        <v>9030</v>
      </c>
      <c r="D213" s="347">
        <v>8980</v>
      </c>
      <c r="E213" s="347">
        <v>11670</v>
      </c>
      <c r="F213" s="347">
        <v>1690</v>
      </c>
      <c r="G213" s="355">
        <v>5670</v>
      </c>
    </row>
    <row r="214" spans="1:7" s="336" customFormat="1" ht="14.25" customHeight="1">
      <c r="A214" s="347" t="s">
        <v>278</v>
      </c>
      <c r="B214" s="347" t="s">
        <v>2550</v>
      </c>
      <c r="C214" s="347">
        <v>8090</v>
      </c>
      <c r="D214" s="347">
        <v>8030</v>
      </c>
      <c r="E214" s="347">
        <v>10780</v>
      </c>
      <c r="F214" s="347">
        <v>1570</v>
      </c>
      <c r="G214" s="355">
        <v>5070</v>
      </c>
    </row>
    <row r="215" spans="1:7" s="336" customFormat="1" ht="14.25" customHeight="1">
      <c r="A215" s="347" t="s">
        <v>278</v>
      </c>
      <c r="B215" s="347" t="s">
        <v>2557</v>
      </c>
      <c r="C215" s="347">
        <v>7950</v>
      </c>
      <c r="D215" s="347">
        <v>7900</v>
      </c>
      <c r="E215" s="347">
        <v>10560</v>
      </c>
      <c r="F215" s="347">
        <v>1630</v>
      </c>
      <c r="G215" s="355">
        <v>4990</v>
      </c>
    </row>
    <row r="216" spans="1:7" s="336" customFormat="1" ht="14.25" customHeight="1">
      <c r="A216" s="347" t="s">
        <v>278</v>
      </c>
      <c r="B216" s="347" t="s">
        <v>2564</v>
      </c>
      <c r="C216" s="347">
        <v>8490</v>
      </c>
      <c r="D216" s="347">
        <v>8440</v>
      </c>
      <c r="E216" s="347">
        <v>11260</v>
      </c>
      <c r="F216" s="347">
        <v>1690</v>
      </c>
      <c r="G216" s="355">
        <v>5330</v>
      </c>
    </row>
    <row r="217" spans="1:7" s="336" customFormat="1" ht="14.25" customHeight="1">
      <c r="A217" s="347" t="s">
        <v>278</v>
      </c>
      <c r="B217" s="347" t="s">
        <v>2571</v>
      </c>
      <c r="C217" s="347">
        <v>8200</v>
      </c>
      <c r="D217" s="347">
        <v>8150</v>
      </c>
      <c r="E217" s="347">
        <v>10910</v>
      </c>
      <c r="F217" s="347">
        <v>1670</v>
      </c>
      <c r="G217" s="355">
        <v>5150</v>
      </c>
    </row>
    <row r="218" spans="1:7" s="336" customFormat="1" ht="14.25" customHeight="1">
      <c r="A218" s="347" t="s">
        <v>278</v>
      </c>
      <c r="B218" s="347" t="s">
        <v>2578</v>
      </c>
      <c r="C218" s="347"/>
      <c r="D218" s="347"/>
      <c r="E218" s="347"/>
      <c r="F218" s="347">
        <v>2040</v>
      </c>
      <c r="G218" s="355"/>
    </row>
    <row r="219" spans="1:7" s="336" customFormat="1" ht="14.25" customHeight="1">
      <c r="A219" s="347" t="s">
        <v>278</v>
      </c>
      <c r="B219" s="347" t="s">
        <v>2585</v>
      </c>
      <c r="C219" s="347"/>
      <c r="D219" s="347"/>
      <c r="E219" s="347"/>
      <c r="F219" s="347">
        <v>2040</v>
      </c>
      <c r="G219" s="355"/>
    </row>
    <row r="220" spans="1:7" s="336" customFormat="1" ht="14.25" customHeight="1">
      <c r="A220" s="347" t="s">
        <v>278</v>
      </c>
      <c r="B220" s="347" t="s">
        <v>2592</v>
      </c>
      <c r="C220" s="347"/>
      <c r="D220" s="347"/>
      <c r="E220" s="347"/>
      <c r="F220" s="347">
        <v>2040</v>
      </c>
      <c r="G220" s="355"/>
    </row>
    <row r="221" spans="1:7" s="336" customFormat="1" ht="14.25" customHeight="1">
      <c r="A221" s="347" t="s">
        <v>278</v>
      </c>
      <c r="B221" s="347" t="s">
        <v>2599</v>
      </c>
      <c r="C221" s="347"/>
      <c r="D221" s="347"/>
      <c r="E221" s="347"/>
      <c r="F221" s="347">
        <v>2040</v>
      </c>
      <c r="G221" s="355"/>
    </row>
    <row r="222" spans="1:7" s="336" customFormat="1" ht="14.25" customHeight="1">
      <c r="A222" s="347" t="s">
        <v>278</v>
      </c>
      <c r="B222" s="347" t="s">
        <v>2604</v>
      </c>
      <c r="C222" s="347"/>
      <c r="D222" s="347"/>
      <c r="E222" s="347"/>
      <c r="F222" s="347">
        <v>2040</v>
      </c>
      <c r="G222" s="355"/>
    </row>
    <row r="223" spans="1:7" s="336" customFormat="1" ht="14.25" customHeight="1">
      <c r="A223" s="347" t="s">
        <v>278</v>
      </c>
      <c r="B223" s="347" t="s">
        <v>2609</v>
      </c>
      <c r="C223" s="347"/>
      <c r="D223" s="347"/>
      <c r="E223" s="347"/>
      <c r="F223" s="347">
        <v>1930</v>
      </c>
      <c r="G223" s="355"/>
    </row>
    <row r="224" spans="1:7" s="336" customFormat="1" ht="14.25" customHeight="1">
      <c r="A224" s="347" t="s">
        <v>278</v>
      </c>
      <c r="B224" s="347" t="s">
        <v>2614</v>
      </c>
      <c r="C224" s="347"/>
      <c r="D224" s="347"/>
      <c r="E224" s="347"/>
      <c r="F224" s="347">
        <v>1930</v>
      </c>
      <c r="G224" s="355"/>
    </row>
    <row r="225" spans="1:7" s="336" customFormat="1" ht="14.25" customHeight="1">
      <c r="A225" s="347" t="s">
        <v>278</v>
      </c>
      <c r="B225" s="347" t="s">
        <v>2619</v>
      </c>
      <c r="C225" s="347"/>
      <c r="D225" s="347"/>
      <c r="E225" s="347"/>
      <c r="F225" s="347">
        <v>1930</v>
      </c>
      <c r="G225" s="355"/>
    </row>
    <row r="226" spans="1:7" s="336" customFormat="1" ht="14.25" customHeight="1">
      <c r="A226" s="347" t="s">
        <v>278</v>
      </c>
      <c r="B226" s="347" t="s">
        <v>2624</v>
      </c>
      <c r="C226" s="347"/>
      <c r="D226" s="347"/>
      <c r="E226" s="347"/>
      <c r="F226" s="347">
        <v>1700</v>
      </c>
      <c r="G226" s="355"/>
    </row>
    <row r="227" spans="1:7" s="336" customFormat="1" ht="14.25" customHeight="1">
      <c r="A227" s="347" t="s">
        <v>278</v>
      </c>
      <c r="B227" s="347" t="s">
        <v>2629</v>
      </c>
      <c r="C227" s="347"/>
      <c r="D227" s="347"/>
      <c r="E227" s="347"/>
      <c r="F227" s="347">
        <v>1520</v>
      </c>
      <c r="G227" s="355"/>
    </row>
    <row r="228" spans="1:7" s="336" customFormat="1" ht="14.25" customHeight="1">
      <c r="A228" s="347" t="s">
        <v>278</v>
      </c>
      <c r="B228" s="347" t="s">
        <v>2634</v>
      </c>
      <c r="C228" s="347"/>
      <c r="D228" s="347"/>
      <c r="E228" s="347"/>
      <c r="F228" s="347">
        <v>1520</v>
      </c>
      <c r="G228" s="355"/>
    </row>
    <row r="229" spans="1:7" s="336" customFormat="1" ht="14.25" customHeight="1">
      <c r="A229" s="347" t="s">
        <v>278</v>
      </c>
      <c r="B229" s="347" t="s">
        <v>2639</v>
      </c>
      <c r="C229" s="347"/>
      <c r="D229" s="347"/>
      <c r="E229" s="347"/>
      <c r="F229" s="347">
        <v>1520</v>
      </c>
      <c r="G229" s="355"/>
    </row>
    <row r="230" spans="1:7" s="336" customFormat="1" ht="14.25" customHeight="1">
      <c r="A230" s="347" t="s">
        <v>278</v>
      </c>
      <c r="B230" s="347" t="s">
        <v>2643</v>
      </c>
      <c r="C230" s="347"/>
      <c r="D230" s="347"/>
      <c r="E230" s="347"/>
      <c r="F230" s="347">
        <v>1820</v>
      </c>
      <c r="G230" s="355"/>
    </row>
    <row r="231" spans="1:7" s="336" customFormat="1" ht="14.25" customHeight="1">
      <c r="A231" s="347" t="s">
        <v>278</v>
      </c>
      <c r="B231" s="347" t="s">
        <v>2647</v>
      </c>
      <c r="C231" s="347"/>
      <c r="D231" s="347"/>
      <c r="E231" s="347"/>
      <c r="F231" s="347">
        <v>1760</v>
      </c>
      <c r="G231" s="355"/>
    </row>
    <row r="232" spans="1:7" s="336" customFormat="1" ht="14.25" customHeight="1">
      <c r="A232" s="347" t="s">
        <v>278</v>
      </c>
      <c r="B232" s="347" t="s">
        <v>2651</v>
      </c>
      <c r="C232" s="347"/>
      <c r="D232" s="347"/>
      <c r="E232" s="347"/>
      <c r="F232" s="347">
        <v>1840</v>
      </c>
      <c r="G232" s="355"/>
    </row>
    <row r="233" spans="1:7" s="336" customFormat="1" ht="14.25" customHeight="1">
      <c r="A233" s="356" t="s">
        <v>278</v>
      </c>
      <c r="B233" s="351" t="s">
        <v>2655</v>
      </c>
      <c r="C233" s="351"/>
      <c r="D233" s="351"/>
      <c r="E233" s="351"/>
      <c r="F233" s="351">
        <v>1770</v>
      </c>
      <c r="G233" s="357"/>
    </row>
    <row r="234" spans="1:7" s="336" customFormat="1" ht="14.25" customHeight="1">
      <c r="A234" s="345" t="s">
        <v>284</v>
      </c>
      <c r="B234" s="346" t="s">
        <v>2307</v>
      </c>
      <c r="C234" s="347">
        <v>6980</v>
      </c>
      <c r="D234" s="347">
        <v>6970</v>
      </c>
      <c r="E234" s="347">
        <v>8720</v>
      </c>
      <c r="F234" s="347">
        <v>1350</v>
      </c>
      <c r="G234" s="347">
        <v>4280</v>
      </c>
    </row>
    <row r="235" spans="1:7" s="336" customFormat="1" ht="14.25" customHeight="1">
      <c r="A235" s="347" t="s">
        <v>284</v>
      </c>
      <c r="B235" s="347" t="s">
        <v>2320</v>
      </c>
      <c r="C235" s="347">
        <v>7620</v>
      </c>
      <c r="D235" s="347">
        <v>7580</v>
      </c>
      <c r="E235" s="347">
        <v>9360</v>
      </c>
      <c r="F235" s="347">
        <v>1490</v>
      </c>
      <c r="G235" s="347">
        <v>4650</v>
      </c>
    </row>
    <row r="236" spans="1:7" s="336" customFormat="1" ht="14.25" customHeight="1">
      <c r="A236" s="347" t="s">
        <v>284</v>
      </c>
      <c r="B236" s="347" t="s">
        <v>2334</v>
      </c>
      <c r="C236" s="347">
        <v>6650</v>
      </c>
      <c r="D236" s="347">
        <v>6630</v>
      </c>
      <c r="E236" s="347">
        <v>8330</v>
      </c>
      <c r="F236" s="347">
        <v>1250</v>
      </c>
      <c r="G236" s="347">
        <v>4070</v>
      </c>
    </row>
    <row r="237" spans="1:7" s="336" customFormat="1" ht="14.25" customHeight="1">
      <c r="A237" s="347" t="s">
        <v>284</v>
      </c>
      <c r="B237" s="347" t="s">
        <v>2346</v>
      </c>
      <c r="C237" s="347">
        <v>5850</v>
      </c>
      <c r="D237" s="347">
        <v>5820</v>
      </c>
      <c r="E237" s="347">
        <v>7260</v>
      </c>
      <c r="F237" s="347">
        <v>1140</v>
      </c>
      <c r="G237" s="347">
        <v>3570</v>
      </c>
    </row>
    <row r="238" spans="1:7" s="336" customFormat="1" ht="14.25" customHeight="1">
      <c r="A238" s="347" t="s">
        <v>284</v>
      </c>
      <c r="B238" s="347" t="s">
        <v>2358</v>
      </c>
      <c r="C238" s="347">
        <v>6920</v>
      </c>
      <c r="D238" s="347">
        <v>6890</v>
      </c>
      <c r="E238" s="347">
        <v>8640</v>
      </c>
      <c r="F238" s="347">
        <v>1310</v>
      </c>
      <c r="G238" s="347">
        <v>4230</v>
      </c>
    </row>
    <row r="239" spans="1:7" s="336" customFormat="1" ht="14.25" customHeight="1">
      <c r="A239" s="347" t="s">
        <v>284</v>
      </c>
      <c r="B239" s="347" t="s">
        <v>2369</v>
      </c>
      <c r="C239" s="347">
        <v>6780</v>
      </c>
      <c r="D239" s="347">
        <v>6750</v>
      </c>
      <c r="E239" s="347">
        <v>8440</v>
      </c>
      <c r="F239" s="347">
        <v>1160</v>
      </c>
      <c r="G239" s="347">
        <v>4140</v>
      </c>
    </row>
    <row r="240" spans="1:7" s="336" customFormat="1" ht="14.25" customHeight="1">
      <c r="A240" s="347" t="s">
        <v>284</v>
      </c>
      <c r="B240" s="347" t="s">
        <v>2380</v>
      </c>
      <c r="C240" s="347">
        <v>5420</v>
      </c>
      <c r="D240" s="347">
        <v>5380</v>
      </c>
      <c r="E240" s="347">
        <v>6640</v>
      </c>
      <c r="F240" s="347">
        <v>1020</v>
      </c>
      <c r="G240" s="347">
        <v>3300</v>
      </c>
    </row>
    <row r="241" spans="1:7" s="336" customFormat="1" ht="14.25" customHeight="1">
      <c r="A241" s="347" t="s">
        <v>284</v>
      </c>
      <c r="B241" s="347" t="s">
        <v>2391</v>
      </c>
      <c r="C241" s="347">
        <v>6660</v>
      </c>
      <c r="D241" s="347">
        <v>6640</v>
      </c>
      <c r="E241" s="347">
        <v>8340</v>
      </c>
      <c r="F241" s="347">
        <v>1130</v>
      </c>
      <c r="G241" s="347">
        <v>4080</v>
      </c>
    </row>
    <row r="242" spans="1:7" s="336" customFormat="1" ht="14.25" customHeight="1">
      <c r="A242" s="347" t="s">
        <v>284</v>
      </c>
      <c r="B242" s="347" t="s">
        <v>2401</v>
      </c>
      <c r="C242" s="347">
        <v>6580</v>
      </c>
      <c r="D242" s="347">
        <v>6550</v>
      </c>
      <c r="E242" s="347">
        <v>8090</v>
      </c>
      <c r="F242" s="347">
        <v>1240</v>
      </c>
      <c r="G242" s="347">
        <v>4020</v>
      </c>
    </row>
    <row r="243" spans="1:7" s="336" customFormat="1" ht="14.25" customHeight="1">
      <c r="A243" s="347" t="s">
        <v>284</v>
      </c>
      <c r="B243" s="347" t="s">
        <v>2411</v>
      </c>
      <c r="C243" s="347">
        <v>6000</v>
      </c>
      <c r="D243" s="347">
        <v>5970</v>
      </c>
      <c r="E243" s="347">
        <v>7370</v>
      </c>
      <c r="F243" s="347">
        <v>1070</v>
      </c>
      <c r="G243" s="347">
        <v>3670</v>
      </c>
    </row>
    <row r="244" spans="1:7" s="336" customFormat="1" ht="14.25" customHeight="1">
      <c r="A244" s="347" t="s">
        <v>284</v>
      </c>
      <c r="B244" s="347" t="s">
        <v>2421</v>
      </c>
      <c r="C244" s="347">
        <v>5840</v>
      </c>
      <c r="D244" s="347">
        <v>5810</v>
      </c>
      <c r="E244" s="347">
        <v>7240</v>
      </c>
      <c r="F244" s="347">
        <v>1100</v>
      </c>
      <c r="G244" s="347">
        <v>3560</v>
      </c>
    </row>
    <row r="245" spans="1:7" s="336" customFormat="1" ht="14.25" customHeight="1">
      <c r="A245" s="347" t="s">
        <v>284</v>
      </c>
      <c r="B245" s="347" t="s">
        <v>2431</v>
      </c>
      <c r="C245" s="347">
        <v>6040</v>
      </c>
      <c r="D245" s="347">
        <v>6000</v>
      </c>
      <c r="E245" s="347">
        <v>7420</v>
      </c>
      <c r="F245" s="347">
        <v>1140</v>
      </c>
      <c r="G245" s="347">
        <v>3690</v>
      </c>
    </row>
    <row r="246" spans="1:7" s="336" customFormat="1" ht="14.25" customHeight="1">
      <c r="A246" s="347" t="s">
        <v>284</v>
      </c>
      <c r="B246" s="347" t="s">
        <v>2441</v>
      </c>
      <c r="C246" s="347">
        <v>5890</v>
      </c>
      <c r="D246" s="347">
        <v>5860</v>
      </c>
      <c r="E246" s="347">
        <v>7300</v>
      </c>
      <c r="F246" s="347">
        <v>1110</v>
      </c>
      <c r="G246" s="347">
        <v>3590</v>
      </c>
    </row>
    <row r="247" spans="1:7" s="336" customFormat="1" ht="14.25" customHeight="1">
      <c r="A247" s="347" t="s">
        <v>284</v>
      </c>
      <c r="B247" s="347" t="s">
        <v>2451</v>
      </c>
      <c r="C247" s="347">
        <v>6480</v>
      </c>
      <c r="D247" s="347">
        <v>6450</v>
      </c>
      <c r="E247" s="347">
        <v>8010</v>
      </c>
      <c r="F247" s="347">
        <v>1170</v>
      </c>
      <c r="G247" s="347">
        <v>3960</v>
      </c>
    </row>
    <row r="248" spans="1:7" s="336" customFormat="1" ht="14.25" customHeight="1">
      <c r="A248" s="347" t="s">
        <v>284</v>
      </c>
      <c r="B248" s="347" t="s">
        <v>2461</v>
      </c>
      <c r="C248" s="347">
        <v>6860</v>
      </c>
      <c r="D248" s="347">
        <v>6840</v>
      </c>
      <c r="E248" s="347">
        <v>8520</v>
      </c>
      <c r="F248" s="347">
        <v>1240</v>
      </c>
      <c r="G248" s="347">
        <v>4200</v>
      </c>
    </row>
    <row r="249" spans="1:7" s="336" customFormat="1" ht="14.25" customHeight="1">
      <c r="A249" s="347" t="s">
        <v>284</v>
      </c>
      <c r="B249" s="347" t="s">
        <v>2471</v>
      </c>
      <c r="C249" s="347">
        <v>7180</v>
      </c>
      <c r="D249" s="347">
        <v>7140</v>
      </c>
      <c r="E249" s="347">
        <v>8900</v>
      </c>
      <c r="F249" s="347">
        <v>1350</v>
      </c>
      <c r="G249" s="347">
        <v>4380</v>
      </c>
    </row>
    <row r="250" spans="1:7" s="336" customFormat="1" ht="14.25" customHeight="1">
      <c r="A250" s="347" t="s">
        <v>284</v>
      </c>
      <c r="B250" s="347" t="s">
        <v>2480</v>
      </c>
      <c r="C250" s="347">
        <v>6880</v>
      </c>
      <c r="D250" s="347">
        <v>6860</v>
      </c>
      <c r="E250" s="347">
        <v>8550</v>
      </c>
      <c r="F250" s="347">
        <v>1220</v>
      </c>
      <c r="G250" s="347">
        <v>4210</v>
      </c>
    </row>
    <row r="251" spans="1:7" s="336" customFormat="1" ht="14.25" customHeight="1">
      <c r="A251" s="347" t="s">
        <v>284</v>
      </c>
      <c r="B251" s="347" t="s">
        <v>2490</v>
      </c>
      <c r="C251" s="347"/>
      <c r="D251" s="347"/>
      <c r="E251" s="347"/>
      <c r="F251" s="347">
        <v>1100</v>
      </c>
      <c r="G251" s="347"/>
    </row>
    <row r="252" spans="1:7" s="336" customFormat="1" ht="14.25" customHeight="1">
      <c r="A252" s="347" t="s">
        <v>284</v>
      </c>
      <c r="B252" s="347" t="s">
        <v>2500</v>
      </c>
      <c r="C252" s="347">
        <v>7240</v>
      </c>
      <c r="D252" s="347">
        <v>7200</v>
      </c>
      <c r="E252" s="347">
        <v>9040</v>
      </c>
      <c r="F252" s="347">
        <v>1380</v>
      </c>
      <c r="G252" s="347">
        <v>4420</v>
      </c>
    </row>
    <row r="253" spans="1:7" s="336" customFormat="1" ht="14.25" customHeight="1">
      <c r="A253" s="347" t="s">
        <v>284</v>
      </c>
      <c r="B253" s="347" t="s">
        <v>2510</v>
      </c>
      <c r="C253" s="347">
        <v>6670</v>
      </c>
      <c r="D253" s="347">
        <v>6650</v>
      </c>
      <c r="E253" s="347">
        <v>8350</v>
      </c>
      <c r="F253" s="347">
        <v>1260</v>
      </c>
      <c r="G253" s="347">
        <v>4080</v>
      </c>
    </row>
    <row r="254" spans="1:7" s="336" customFormat="1" ht="14.25" customHeight="1">
      <c r="A254" s="347" t="s">
        <v>284</v>
      </c>
      <c r="B254" s="347" t="s">
        <v>2519</v>
      </c>
      <c r="C254" s="347">
        <v>7630</v>
      </c>
      <c r="D254" s="347">
        <v>7590</v>
      </c>
      <c r="E254" s="347">
        <v>9380</v>
      </c>
      <c r="F254" s="347">
        <v>1320</v>
      </c>
      <c r="G254" s="347">
        <v>4660</v>
      </c>
    </row>
    <row r="255" spans="1:7" s="336" customFormat="1" ht="14.25" customHeight="1">
      <c r="A255" s="347" t="s">
        <v>284</v>
      </c>
      <c r="B255" s="347" t="s">
        <v>2527</v>
      </c>
      <c r="C255" s="347">
        <v>6940</v>
      </c>
      <c r="D255" s="347">
        <v>6890</v>
      </c>
      <c r="E255" s="347">
        <v>8650</v>
      </c>
      <c r="F255" s="347">
        <v>1210</v>
      </c>
      <c r="G255" s="347">
        <v>4230</v>
      </c>
    </row>
    <row r="256" spans="1:7" s="336" customFormat="1" ht="14.25" customHeight="1">
      <c r="A256" s="347" t="s">
        <v>284</v>
      </c>
      <c r="B256" s="347" t="s">
        <v>2535</v>
      </c>
      <c r="C256" s="347">
        <v>7520</v>
      </c>
      <c r="D256" s="347">
        <v>7490</v>
      </c>
      <c r="E256" s="347">
        <v>9240</v>
      </c>
      <c r="F256" s="347">
        <v>1270</v>
      </c>
      <c r="G256" s="347">
        <v>4590</v>
      </c>
    </row>
    <row r="257" spans="1:7" s="336" customFormat="1" ht="14.25" customHeight="1">
      <c r="A257" s="347" t="s">
        <v>284</v>
      </c>
      <c r="B257" s="347" t="s">
        <v>2543</v>
      </c>
      <c r="C257" s="347">
        <v>6280</v>
      </c>
      <c r="D257" s="347">
        <v>6230</v>
      </c>
      <c r="E257" s="347">
        <v>7740</v>
      </c>
      <c r="F257" s="347">
        <v>1080</v>
      </c>
      <c r="G257" s="347">
        <v>3830</v>
      </c>
    </row>
    <row r="258" spans="1:7" s="336" customFormat="1" ht="14.25" customHeight="1">
      <c r="A258" s="347" t="s">
        <v>284</v>
      </c>
      <c r="B258" s="347" t="s">
        <v>2551</v>
      </c>
      <c r="C258" s="347">
        <v>6190</v>
      </c>
      <c r="D258" s="347">
        <v>6160</v>
      </c>
      <c r="E258" s="347">
        <v>7680</v>
      </c>
      <c r="F258" s="347">
        <v>1170</v>
      </c>
      <c r="G258" s="347">
        <v>3780</v>
      </c>
    </row>
    <row r="259" spans="1:7" s="336" customFormat="1" ht="14.25" customHeight="1">
      <c r="A259" s="347" t="s">
        <v>284</v>
      </c>
      <c r="B259" s="347" t="s">
        <v>2558</v>
      </c>
      <c r="C259" s="347">
        <v>7610</v>
      </c>
      <c r="D259" s="347">
        <v>7570</v>
      </c>
      <c r="E259" s="347">
        <v>9350</v>
      </c>
      <c r="F259" s="347">
        <v>1350</v>
      </c>
      <c r="G259" s="347">
        <v>4650</v>
      </c>
    </row>
    <row r="260" spans="1:7" s="336" customFormat="1" ht="14.25" customHeight="1">
      <c r="A260" s="347" t="s">
        <v>284</v>
      </c>
      <c r="B260" s="347" t="s">
        <v>2565</v>
      </c>
      <c r="C260" s="347">
        <v>6920</v>
      </c>
      <c r="D260" s="347">
        <v>6880</v>
      </c>
      <c r="E260" s="347">
        <v>8380</v>
      </c>
      <c r="F260" s="347">
        <v>1160</v>
      </c>
      <c r="G260" s="347">
        <v>4220</v>
      </c>
    </row>
    <row r="261" spans="1:7" s="336" customFormat="1" ht="14.25" customHeight="1">
      <c r="A261" s="347" t="s">
        <v>284</v>
      </c>
      <c r="B261" s="347" t="s">
        <v>2572</v>
      </c>
      <c r="C261" s="347">
        <v>6850</v>
      </c>
      <c r="D261" s="347">
        <v>6810</v>
      </c>
      <c r="E261" s="347">
        <v>8290</v>
      </c>
      <c r="F261" s="347">
        <v>1130</v>
      </c>
      <c r="G261" s="347">
        <v>4180</v>
      </c>
    </row>
    <row r="262" spans="1:7" s="336" customFormat="1" ht="14.25" customHeight="1">
      <c r="A262" s="347" t="s">
        <v>284</v>
      </c>
      <c r="B262" s="347" t="s">
        <v>2579</v>
      </c>
      <c r="C262" s="347">
        <v>5860</v>
      </c>
      <c r="D262" s="347">
        <v>5820</v>
      </c>
      <c r="E262" s="347">
        <v>7640</v>
      </c>
      <c r="F262" s="347">
        <v>1070</v>
      </c>
      <c r="G262" s="347">
        <v>3570</v>
      </c>
    </row>
    <row r="263" spans="1:7" s="336" customFormat="1" ht="14.25" customHeight="1">
      <c r="A263" s="347" t="s">
        <v>284</v>
      </c>
      <c r="B263" s="347" t="s">
        <v>2586</v>
      </c>
      <c r="C263" s="347">
        <v>5870</v>
      </c>
      <c r="D263" s="347">
        <v>5840</v>
      </c>
      <c r="E263" s="347">
        <v>7270</v>
      </c>
      <c r="F263" s="347">
        <v>1190</v>
      </c>
      <c r="G263" s="347">
        <v>3580</v>
      </c>
    </row>
    <row r="264" spans="1:7" s="336" customFormat="1" ht="14.25" customHeight="1">
      <c r="A264" s="347" t="s">
        <v>284</v>
      </c>
      <c r="B264" s="347" t="s">
        <v>2593</v>
      </c>
      <c r="C264" s="347">
        <v>6190</v>
      </c>
      <c r="D264" s="347">
        <v>6150</v>
      </c>
      <c r="E264" s="347">
        <v>7660</v>
      </c>
      <c r="F264" s="347">
        <v>1160</v>
      </c>
      <c r="G264" s="347">
        <v>3770</v>
      </c>
    </row>
    <row r="265" spans="1:7" s="336" customFormat="1" ht="14.25" customHeight="1">
      <c r="A265" s="347" t="s">
        <v>284</v>
      </c>
      <c r="B265" s="347" t="s">
        <v>2600</v>
      </c>
      <c r="C265" s="347"/>
      <c r="D265" s="347"/>
      <c r="E265" s="347"/>
      <c r="F265" s="347">
        <v>1500</v>
      </c>
      <c r="G265" s="347"/>
    </row>
    <row r="266" spans="1:7" s="336" customFormat="1" ht="14.25" customHeight="1">
      <c r="A266" s="347" t="s">
        <v>284</v>
      </c>
      <c r="B266" s="347" t="s">
        <v>2605</v>
      </c>
      <c r="C266" s="347"/>
      <c r="D266" s="347"/>
      <c r="E266" s="347"/>
      <c r="F266" s="347">
        <v>1500</v>
      </c>
      <c r="G266" s="347"/>
    </row>
    <row r="267" spans="1:7" s="336" customFormat="1" ht="14.25" customHeight="1">
      <c r="A267" s="347" t="s">
        <v>284</v>
      </c>
      <c r="B267" s="347" t="s">
        <v>2610</v>
      </c>
      <c r="C267" s="347"/>
      <c r="D267" s="347"/>
      <c r="E267" s="347"/>
      <c r="F267" s="347">
        <v>1500</v>
      </c>
      <c r="G267" s="347"/>
    </row>
    <row r="268" spans="1:7" s="336" customFormat="1" ht="14.25" customHeight="1">
      <c r="A268" s="347" t="s">
        <v>284</v>
      </c>
      <c r="B268" s="347" t="s">
        <v>2615</v>
      </c>
      <c r="C268" s="347"/>
      <c r="D268" s="347"/>
      <c r="E268" s="347"/>
      <c r="F268" s="347">
        <v>1290</v>
      </c>
      <c r="G268" s="347"/>
    </row>
    <row r="269" spans="1:7" s="336" customFormat="1" ht="14.25" customHeight="1">
      <c r="A269" s="347" t="s">
        <v>284</v>
      </c>
      <c r="B269" s="347" t="s">
        <v>2620</v>
      </c>
      <c r="C269" s="347"/>
      <c r="D269" s="347"/>
      <c r="E269" s="347"/>
      <c r="F269" s="347">
        <v>1150</v>
      </c>
      <c r="G269" s="347"/>
    </row>
    <row r="270" spans="1:7" s="336" customFormat="1" ht="14.25" customHeight="1">
      <c r="A270" s="347" t="s">
        <v>284</v>
      </c>
      <c r="B270" s="347" t="s">
        <v>2625</v>
      </c>
      <c r="C270" s="347"/>
      <c r="D270" s="347"/>
      <c r="E270" s="347"/>
      <c r="F270" s="347">
        <v>1380</v>
      </c>
      <c r="G270" s="347"/>
    </row>
    <row r="271" spans="1:7" s="336" customFormat="1" ht="14.25" customHeight="1">
      <c r="A271" s="347" t="s">
        <v>284</v>
      </c>
      <c r="B271" s="347" t="s">
        <v>2630</v>
      </c>
      <c r="C271" s="347"/>
      <c r="D271" s="347"/>
      <c r="E271" s="347"/>
      <c r="F271" s="347">
        <v>1460</v>
      </c>
      <c r="G271" s="347"/>
    </row>
    <row r="272" spans="1:7" s="336" customFormat="1" ht="14.25" customHeight="1">
      <c r="A272" s="347" t="s">
        <v>284</v>
      </c>
      <c r="B272" s="347" t="s">
        <v>2635</v>
      </c>
      <c r="C272" s="347"/>
      <c r="D272" s="347"/>
      <c r="E272" s="347"/>
      <c r="F272" s="347">
        <v>1460</v>
      </c>
      <c r="G272" s="347"/>
    </row>
    <row r="273" spans="1:7" s="336" customFormat="1" ht="14.25" customHeight="1">
      <c r="A273" s="347" t="s">
        <v>284</v>
      </c>
      <c r="B273" s="347" t="s">
        <v>2640</v>
      </c>
      <c r="C273" s="347"/>
      <c r="D273" s="347"/>
      <c r="E273" s="347"/>
      <c r="F273" s="347">
        <v>1490</v>
      </c>
      <c r="G273" s="347"/>
    </row>
    <row r="274" spans="1:7" s="336" customFormat="1" ht="14.25" customHeight="1">
      <c r="A274" s="347" t="s">
        <v>284</v>
      </c>
      <c r="B274" s="347" t="s">
        <v>2644</v>
      </c>
      <c r="C274" s="347"/>
      <c r="D274" s="347"/>
      <c r="E274" s="347"/>
      <c r="F274" s="347">
        <v>1490</v>
      </c>
      <c r="G274" s="347"/>
    </row>
    <row r="275" spans="1:7" s="336" customFormat="1" ht="14.25" customHeight="1">
      <c r="A275" s="347" t="s">
        <v>284</v>
      </c>
      <c r="B275" s="347" t="s">
        <v>2648</v>
      </c>
      <c r="C275" s="347"/>
      <c r="D275" s="347"/>
      <c r="E275" s="347"/>
      <c r="F275" s="347">
        <v>1220</v>
      </c>
      <c r="G275" s="347"/>
    </row>
    <row r="276" spans="1:7" s="336" customFormat="1" ht="14.25" customHeight="1">
      <c r="A276" s="349" t="s">
        <v>284</v>
      </c>
      <c r="B276" s="352" t="s">
        <v>2652</v>
      </c>
      <c r="C276" s="353"/>
      <c r="D276" s="353"/>
      <c r="E276" s="353"/>
      <c r="F276" s="353">
        <v>1380</v>
      </c>
      <c r="G276" s="353"/>
    </row>
    <row r="277" spans="1:7" s="336" customFormat="1" ht="14.25" customHeight="1">
      <c r="A277" s="345" t="s">
        <v>288</v>
      </c>
      <c r="B277" s="346" t="s">
        <v>2308</v>
      </c>
      <c r="C277" s="346">
        <v>5790</v>
      </c>
      <c r="D277" s="346">
        <v>5740</v>
      </c>
      <c r="E277" s="346">
        <v>6730</v>
      </c>
      <c r="F277" s="346">
        <v>1110</v>
      </c>
      <c r="G277" s="354">
        <v>3460</v>
      </c>
    </row>
    <row r="278" spans="1:7" s="336" customFormat="1" ht="14.25" customHeight="1">
      <c r="A278" s="347" t="s">
        <v>288</v>
      </c>
      <c r="B278" s="347" t="s">
        <v>2321</v>
      </c>
      <c r="C278" s="347">
        <v>5740</v>
      </c>
      <c r="D278" s="347">
        <v>5670</v>
      </c>
      <c r="E278" s="347">
        <v>6680</v>
      </c>
      <c r="F278" s="347">
        <v>1070</v>
      </c>
      <c r="G278" s="355">
        <v>3420</v>
      </c>
    </row>
    <row r="279" spans="1:7" s="336" customFormat="1" ht="14.25" customHeight="1">
      <c r="A279" s="347" t="s">
        <v>288</v>
      </c>
      <c r="B279" s="347" t="s">
        <v>2335</v>
      </c>
      <c r="C279" s="347">
        <v>4760</v>
      </c>
      <c r="D279" s="347">
        <v>4720</v>
      </c>
      <c r="E279" s="347">
        <v>5540</v>
      </c>
      <c r="F279" s="347">
        <v>810</v>
      </c>
      <c r="G279" s="355">
        <v>2850</v>
      </c>
    </row>
    <row r="280" spans="1:7" s="336" customFormat="1" ht="14.25" customHeight="1">
      <c r="A280" s="347" t="s">
        <v>288</v>
      </c>
      <c r="B280" s="347" t="s">
        <v>2347</v>
      </c>
      <c r="C280" s="347">
        <v>4010</v>
      </c>
      <c r="D280" s="347">
        <v>3950</v>
      </c>
      <c r="E280" s="347">
        <v>4710</v>
      </c>
      <c r="F280" s="347">
        <v>800</v>
      </c>
      <c r="G280" s="355">
        <v>2390</v>
      </c>
    </row>
    <row r="281" spans="1:7" s="336" customFormat="1" ht="14.25" customHeight="1">
      <c r="A281" s="347" t="s">
        <v>288</v>
      </c>
      <c r="B281" s="347" t="s">
        <v>2359</v>
      </c>
      <c r="C281" s="347">
        <v>4480</v>
      </c>
      <c r="D281" s="347">
        <v>4420</v>
      </c>
      <c r="E281" s="347">
        <v>5230</v>
      </c>
      <c r="F281" s="347">
        <v>870</v>
      </c>
      <c r="G281" s="355">
        <v>2660</v>
      </c>
    </row>
    <row r="282" spans="1:7" s="336" customFormat="1" ht="14.25" customHeight="1">
      <c r="A282" s="347" t="s">
        <v>288</v>
      </c>
      <c r="B282" s="347" t="s">
        <v>2370</v>
      </c>
      <c r="C282" s="347">
        <v>5360</v>
      </c>
      <c r="D282" s="347">
        <v>5300</v>
      </c>
      <c r="E282" s="347">
        <v>6190</v>
      </c>
      <c r="F282" s="347">
        <v>950</v>
      </c>
      <c r="G282" s="355">
        <v>3190</v>
      </c>
    </row>
    <row r="283" spans="1:7" s="336" customFormat="1" ht="14.25" customHeight="1">
      <c r="A283" s="347" t="s">
        <v>288</v>
      </c>
      <c r="B283" s="347" t="s">
        <v>2381</v>
      </c>
      <c r="C283" s="347">
        <v>4950</v>
      </c>
      <c r="D283" s="347">
        <v>4900</v>
      </c>
      <c r="E283" s="347">
        <v>5720</v>
      </c>
      <c r="F283" s="347">
        <v>920</v>
      </c>
      <c r="G283" s="355">
        <v>2950</v>
      </c>
    </row>
    <row r="284" spans="1:7" s="336" customFormat="1" ht="14.25" customHeight="1">
      <c r="A284" s="347" t="s">
        <v>288</v>
      </c>
      <c r="B284" s="347" t="s">
        <v>2392</v>
      </c>
      <c r="C284" s="347">
        <v>5610</v>
      </c>
      <c r="D284" s="347">
        <v>5560</v>
      </c>
      <c r="E284" s="347">
        <v>6520</v>
      </c>
      <c r="F284" s="347">
        <v>1030</v>
      </c>
      <c r="G284" s="355">
        <v>3360</v>
      </c>
    </row>
    <row r="285" spans="1:7" s="336" customFormat="1" ht="14.25" customHeight="1">
      <c r="A285" s="347" t="s">
        <v>288</v>
      </c>
      <c r="B285" s="347" t="s">
        <v>2402</v>
      </c>
      <c r="C285" s="347">
        <v>5340</v>
      </c>
      <c r="D285" s="347">
        <v>5290</v>
      </c>
      <c r="E285" s="347">
        <v>6170</v>
      </c>
      <c r="F285" s="347">
        <v>1080</v>
      </c>
      <c r="G285" s="355">
        <v>3180</v>
      </c>
    </row>
    <row r="286" spans="1:7" s="336" customFormat="1" ht="14.25" customHeight="1">
      <c r="A286" s="347" t="s">
        <v>288</v>
      </c>
      <c r="B286" s="347" t="s">
        <v>2412</v>
      </c>
      <c r="C286" s="347">
        <v>4890</v>
      </c>
      <c r="D286" s="347">
        <v>4840</v>
      </c>
      <c r="E286" s="347">
        <v>5640</v>
      </c>
      <c r="F286" s="347">
        <v>960</v>
      </c>
      <c r="G286" s="355">
        <v>2910</v>
      </c>
    </row>
    <row r="287" spans="1:7" s="336" customFormat="1" ht="14.25" customHeight="1">
      <c r="A287" s="347" t="s">
        <v>288</v>
      </c>
      <c r="B287" s="347" t="s">
        <v>2422</v>
      </c>
      <c r="C287" s="347">
        <v>4960</v>
      </c>
      <c r="D287" s="347">
        <v>4920</v>
      </c>
      <c r="E287" s="347">
        <v>5730</v>
      </c>
      <c r="F287" s="347">
        <v>930</v>
      </c>
      <c r="G287" s="355">
        <v>2960</v>
      </c>
    </row>
    <row r="288" spans="1:7" s="336" customFormat="1" ht="14.25" customHeight="1">
      <c r="A288" s="347" t="s">
        <v>288</v>
      </c>
      <c r="B288" s="347" t="s">
        <v>2432</v>
      </c>
      <c r="C288" s="347">
        <v>4350</v>
      </c>
      <c r="D288" s="347">
        <v>4300</v>
      </c>
      <c r="E288" s="347">
        <v>4900</v>
      </c>
      <c r="F288" s="347">
        <v>820</v>
      </c>
      <c r="G288" s="355">
        <v>2590</v>
      </c>
    </row>
    <row r="289" spans="1:7" s="336" customFormat="1" ht="14.25" customHeight="1">
      <c r="A289" s="347" t="s">
        <v>288</v>
      </c>
      <c r="B289" s="347" t="s">
        <v>2442</v>
      </c>
      <c r="C289" s="347">
        <v>5230</v>
      </c>
      <c r="D289" s="347">
        <v>5170</v>
      </c>
      <c r="E289" s="347">
        <v>6060</v>
      </c>
      <c r="F289" s="347">
        <v>900</v>
      </c>
      <c r="G289" s="355">
        <v>3120</v>
      </c>
    </row>
    <row r="290" spans="1:7" s="336" customFormat="1" ht="14.25" customHeight="1">
      <c r="A290" s="347" t="s">
        <v>288</v>
      </c>
      <c r="B290" s="347" t="s">
        <v>2452</v>
      </c>
      <c r="C290" s="347">
        <v>5550</v>
      </c>
      <c r="D290" s="347">
        <v>5500</v>
      </c>
      <c r="E290" s="347">
        <v>6440</v>
      </c>
      <c r="F290" s="347">
        <v>960</v>
      </c>
      <c r="G290" s="355">
        <v>3320</v>
      </c>
    </row>
    <row r="291" spans="1:7" s="336" customFormat="1" ht="14.25" customHeight="1">
      <c r="A291" s="347" t="s">
        <v>288</v>
      </c>
      <c r="B291" s="347" t="s">
        <v>2462</v>
      </c>
      <c r="C291" s="347">
        <v>5440</v>
      </c>
      <c r="D291" s="347">
        <v>5400</v>
      </c>
      <c r="E291" s="347">
        <v>6320</v>
      </c>
      <c r="F291" s="347">
        <v>930</v>
      </c>
      <c r="G291" s="355">
        <v>3250</v>
      </c>
    </row>
    <row r="292" spans="1:7" s="336" customFormat="1" ht="14.25" customHeight="1">
      <c r="A292" s="347" t="s">
        <v>288</v>
      </c>
      <c r="B292" s="347" t="s">
        <v>2472</v>
      </c>
      <c r="C292" s="347">
        <v>5400</v>
      </c>
      <c r="D292" s="347">
        <v>5360</v>
      </c>
      <c r="E292" s="347">
        <v>6270</v>
      </c>
      <c r="F292" s="347">
        <v>1040</v>
      </c>
      <c r="G292" s="355">
        <v>3230</v>
      </c>
    </row>
    <row r="293" spans="1:7" s="336" customFormat="1" ht="14.25" customHeight="1">
      <c r="A293" s="347" t="s">
        <v>288</v>
      </c>
      <c r="B293" s="347" t="s">
        <v>2481</v>
      </c>
      <c r="C293" s="347">
        <v>5320</v>
      </c>
      <c r="D293" s="347">
        <v>5270</v>
      </c>
      <c r="E293" s="347">
        <v>6160</v>
      </c>
      <c r="F293" s="347">
        <v>990</v>
      </c>
      <c r="G293" s="355">
        <v>3170</v>
      </c>
    </row>
    <row r="294" spans="1:7" s="336" customFormat="1" ht="14.25" customHeight="1">
      <c r="A294" s="347" t="s">
        <v>288</v>
      </c>
      <c r="B294" s="347" t="s">
        <v>2491</v>
      </c>
      <c r="C294" s="347">
        <v>5260</v>
      </c>
      <c r="D294" s="347">
        <v>5210</v>
      </c>
      <c r="E294" s="347">
        <v>6100</v>
      </c>
      <c r="F294" s="347">
        <v>950</v>
      </c>
      <c r="G294" s="355">
        <v>3150</v>
      </c>
    </row>
    <row r="295" spans="1:7" s="336" customFormat="1" ht="14.25" customHeight="1">
      <c r="A295" s="347" t="s">
        <v>288</v>
      </c>
      <c r="B295" s="347" t="s">
        <v>2501</v>
      </c>
      <c r="C295" s="347">
        <v>5610</v>
      </c>
      <c r="D295" s="347">
        <v>5570</v>
      </c>
      <c r="E295" s="347">
        <v>6530</v>
      </c>
      <c r="F295" s="347">
        <v>960</v>
      </c>
      <c r="G295" s="355">
        <v>3360</v>
      </c>
    </row>
    <row r="296" spans="1:7" s="336" customFormat="1" ht="14.25" customHeight="1">
      <c r="A296" s="347" t="s">
        <v>288</v>
      </c>
      <c r="B296" s="347" t="s">
        <v>2511</v>
      </c>
      <c r="C296" s="347">
        <v>5540</v>
      </c>
      <c r="D296" s="347">
        <v>5490</v>
      </c>
      <c r="E296" s="347">
        <v>6430</v>
      </c>
      <c r="F296" s="347">
        <v>980</v>
      </c>
      <c r="G296" s="355">
        <v>3310</v>
      </c>
    </row>
    <row r="297" spans="1:7" s="336" customFormat="1" ht="14.25" customHeight="1">
      <c r="A297" s="347" t="s">
        <v>288</v>
      </c>
      <c r="B297" s="347" t="s">
        <v>2520</v>
      </c>
      <c r="C297" s="347">
        <v>5480</v>
      </c>
      <c r="D297" s="347">
        <v>5420</v>
      </c>
      <c r="E297" s="347">
        <v>6370</v>
      </c>
      <c r="F297" s="347">
        <v>990</v>
      </c>
      <c r="G297" s="355">
        <v>3270</v>
      </c>
    </row>
    <row r="298" spans="1:7" s="336" customFormat="1" ht="14.25" customHeight="1">
      <c r="A298" s="347" t="s">
        <v>288</v>
      </c>
      <c r="B298" s="347" t="s">
        <v>2528</v>
      </c>
      <c r="C298" s="347">
        <v>5090</v>
      </c>
      <c r="D298" s="347">
        <v>5050</v>
      </c>
      <c r="E298" s="347">
        <v>5910</v>
      </c>
      <c r="F298" s="347">
        <v>900</v>
      </c>
      <c r="G298" s="355">
        <v>3040</v>
      </c>
    </row>
    <row r="299" spans="1:7" s="336" customFormat="1" ht="14.25" customHeight="1">
      <c r="A299" s="347" t="s">
        <v>288</v>
      </c>
      <c r="B299" s="361" t="s">
        <v>2536</v>
      </c>
      <c r="C299" s="347">
        <v>5430</v>
      </c>
      <c r="D299" s="347">
        <v>5380</v>
      </c>
      <c r="E299" s="347">
        <v>6280</v>
      </c>
      <c r="F299" s="347">
        <v>1000</v>
      </c>
      <c r="G299" s="355">
        <v>3240</v>
      </c>
    </row>
    <row r="300" spans="1:7" s="336" customFormat="1" ht="14.25" customHeight="1">
      <c r="A300" s="347" t="s">
        <v>288</v>
      </c>
      <c r="B300" s="361" t="s">
        <v>2544</v>
      </c>
      <c r="C300" s="347">
        <v>4740</v>
      </c>
      <c r="D300" s="347">
        <v>4680</v>
      </c>
      <c r="E300" s="347">
        <v>5450</v>
      </c>
      <c r="F300" s="347">
        <v>900</v>
      </c>
      <c r="G300" s="355">
        <v>2830</v>
      </c>
    </row>
    <row r="301" spans="1:7" s="336" customFormat="1" ht="14.25" customHeight="1">
      <c r="A301" s="347" t="s">
        <v>288</v>
      </c>
      <c r="B301" s="361" t="s">
        <v>2552</v>
      </c>
      <c r="C301" s="347">
        <v>4870</v>
      </c>
      <c r="D301" s="347">
        <v>4810</v>
      </c>
      <c r="E301" s="347">
        <v>5560</v>
      </c>
      <c r="F301" s="347">
        <v>990</v>
      </c>
      <c r="G301" s="355">
        <v>2910</v>
      </c>
    </row>
    <row r="302" spans="1:7" s="336" customFormat="1" ht="14.25" customHeight="1">
      <c r="A302" s="347" t="s">
        <v>288</v>
      </c>
      <c r="B302" s="347" t="s">
        <v>2559</v>
      </c>
      <c r="C302" s="347">
        <v>5520</v>
      </c>
      <c r="D302" s="347">
        <v>5470</v>
      </c>
      <c r="E302" s="347">
        <v>6410</v>
      </c>
      <c r="F302" s="347">
        <v>950</v>
      </c>
      <c r="G302" s="355">
        <v>3300</v>
      </c>
    </row>
    <row r="303" spans="1:7" s="336" customFormat="1" ht="14.25" customHeight="1">
      <c r="A303" s="347" t="s">
        <v>288</v>
      </c>
      <c r="B303" s="347" t="s">
        <v>2566</v>
      </c>
      <c r="C303" s="347">
        <v>5630</v>
      </c>
      <c r="D303" s="347">
        <v>5590</v>
      </c>
      <c r="E303" s="347">
        <v>6550</v>
      </c>
      <c r="F303" s="347">
        <v>1010</v>
      </c>
      <c r="G303" s="355">
        <v>3370</v>
      </c>
    </row>
    <row r="304" spans="1:7" s="336" customFormat="1" ht="14.25" customHeight="1">
      <c r="A304" s="347" t="s">
        <v>288</v>
      </c>
      <c r="B304" s="347" t="s">
        <v>2573</v>
      </c>
      <c r="C304" s="347">
        <v>5680</v>
      </c>
      <c r="D304" s="347">
        <v>5620</v>
      </c>
      <c r="E304" s="347">
        <v>6620</v>
      </c>
      <c r="F304" s="347">
        <v>1050</v>
      </c>
      <c r="G304" s="355">
        <v>3390</v>
      </c>
    </row>
    <row r="305" spans="1:7" s="336" customFormat="1" ht="14.25" customHeight="1">
      <c r="A305" s="347" t="s">
        <v>288</v>
      </c>
      <c r="B305" s="347" t="s">
        <v>2580</v>
      </c>
      <c r="C305" s="347">
        <v>5590</v>
      </c>
      <c r="D305" s="347">
        <v>5530</v>
      </c>
      <c r="E305" s="347">
        <v>6460</v>
      </c>
      <c r="F305" s="347">
        <v>900</v>
      </c>
      <c r="G305" s="355">
        <v>3340</v>
      </c>
    </row>
    <row r="306" spans="1:7" s="336" customFormat="1" ht="14.25" customHeight="1">
      <c r="A306" s="347" t="s">
        <v>288</v>
      </c>
      <c r="B306" s="347" t="s">
        <v>2587</v>
      </c>
      <c r="C306" s="347">
        <v>5560</v>
      </c>
      <c r="D306" s="347">
        <v>5510</v>
      </c>
      <c r="E306" s="347">
        <v>6440</v>
      </c>
      <c r="F306" s="347">
        <v>900</v>
      </c>
      <c r="G306" s="355">
        <v>3320</v>
      </c>
    </row>
    <row r="307" spans="1:7" s="336" customFormat="1" ht="14.25" customHeight="1">
      <c r="A307" s="347" t="s">
        <v>288</v>
      </c>
      <c r="B307" s="347" t="s">
        <v>2594</v>
      </c>
      <c r="C307" s="347">
        <v>5650</v>
      </c>
      <c r="D307" s="347">
        <v>5600</v>
      </c>
      <c r="E307" s="347">
        <v>6590</v>
      </c>
      <c r="F307" s="347">
        <v>930</v>
      </c>
      <c r="G307" s="355">
        <v>3380</v>
      </c>
    </row>
    <row r="308" spans="1:7" s="336" customFormat="1" ht="14.25" customHeight="1">
      <c r="A308" s="347" t="s">
        <v>288</v>
      </c>
      <c r="B308" s="347" t="s">
        <v>2601</v>
      </c>
      <c r="C308" s="347">
        <v>5620</v>
      </c>
      <c r="D308" s="347">
        <v>5580</v>
      </c>
      <c r="E308" s="347">
        <v>6540</v>
      </c>
      <c r="F308" s="347">
        <v>910</v>
      </c>
      <c r="G308" s="355">
        <v>3370</v>
      </c>
    </row>
    <row r="309" spans="1:7" s="336" customFormat="1" ht="14.25" customHeight="1">
      <c r="A309" s="347" t="s">
        <v>288</v>
      </c>
      <c r="B309" s="347" t="s">
        <v>2606</v>
      </c>
      <c r="C309" s="347">
        <v>5060</v>
      </c>
      <c r="D309" s="347">
        <v>5020</v>
      </c>
      <c r="E309" s="347">
        <v>6370</v>
      </c>
      <c r="F309" s="347">
        <v>800</v>
      </c>
      <c r="G309" s="355">
        <v>3020</v>
      </c>
    </row>
    <row r="310" spans="1:7" s="336" customFormat="1" ht="14.25" customHeight="1">
      <c r="A310" s="347" t="s">
        <v>288</v>
      </c>
      <c r="B310" s="347" t="s">
        <v>2611</v>
      </c>
      <c r="C310" s="347">
        <v>5150</v>
      </c>
      <c r="D310" s="347">
        <v>5110</v>
      </c>
      <c r="E310" s="347">
        <v>6500</v>
      </c>
      <c r="F310" s="347">
        <v>880</v>
      </c>
      <c r="G310" s="355">
        <v>3080</v>
      </c>
    </row>
    <row r="311" spans="1:7" s="336" customFormat="1" ht="14.25" customHeight="1">
      <c r="A311" s="347" t="s">
        <v>288</v>
      </c>
      <c r="B311" s="347" t="s">
        <v>2616</v>
      </c>
      <c r="C311" s="347">
        <v>4750</v>
      </c>
      <c r="D311" s="347">
        <v>4710</v>
      </c>
      <c r="E311" s="347">
        <v>5510</v>
      </c>
      <c r="F311" s="347">
        <v>880</v>
      </c>
      <c r="G311" s="355">
        <v>2840</v>
      </c>
    </row>
    <row r="312" spans="1:7" s="336" customFormat="1" ht="14.25" customHeight="1">
      <c r="A312" s="347" t="s">
        <v>288</v>
      </c>
      <c r="B312" s="347" t="s">
        <v>2621</v>
      </c>
      <c r="C312" s="347">
        <v>4690</v>
      </c>
      <c r="D312" s="347">
        <v>4640</v>
      </c>
      <c r="E312" s="347">
        <v>5420</v>
      </c>
      <c r="F312" s="347">
        <v>800</v>
      </c>
      <c r="G312" s="355">
        <v>2800</v>
      </c>
    </row>
    <row r="313" spans="1:7" s="336" customFormat="1" ht="14.25" customHeight="1">
      <c r="A313" s="347" t="s">
        <v>288</v>
      </c>
      <c r="B313" s="347" t="s">
        <v>2626</v>
      </c>
      <c r="C313" s="347">
        <v>4810</v>
      </c>
      <c r="D313" s="347">
        <v>4760</v>
      </c>
      <c r="E313" s="347">
        <v>5550</v>
      </c>
      <c r="F313" s="347">
        <v>920</v>
      </c>
      <c r="G313" s="355">
        <v>2870</v>
      </c>
    </row>
    <row r="314" spans="1:7" s="336" customFormat="1" ht="14.25" customHeight="1">
      <c r="A314" s="347" t="s">
        <v>288</v>
      </c>
      <c r="B314" s="347" t="s">
        <v>2631</v>
      </c>
      <c r="C314" s="347"/>
      <c r="D314" s="347"/>
      <c r="E314" s="347"/>
      <c r="F314" s="347">
        <v>1020</v>
      </c>
      <c r="G314" s="355"/>
    </row>
    <row r="315" spans="1:7" s="336" customFormat="1" ht="14.25" customHeight="1">
      <c r="A315" s="347" t="s">
        <v>288</v>
      </c>
      <c r="B315" s="347" t="s">
        <v>2636</v>
      </c>
      <c r="C315" s="347"/>
      <c r="D315" s="347"/>
      <c r="E315" s="347"/>
      <c r="F315" s="347">
        <v>1050</v>
      </c>
      <c r="G315" s="355"/>
    </row>
    <row r="316" spans="1:7" s="336" customFormat="1" ht="14.25" customHeight="1">
      <c r="A316" s="347" t="s">
        <v>288</v>
      </c>
      <c r="B316" s="347" t="s">
        <v>2641</v>
      </c>
      <c r="C316" s="347"/>
      <c r="D316" s="347"/>
      <c r="E316" s="347"/>
      <c r="F316" s="347">
        <v>900</v>
      </c>
      <c r="G316" s="355"/>
    </row>
    <row r="317" spans="1:7" s="336" customFormat="1" ht="14.25" customHeight="1">
      <c r="A317" s="347" t="s">
        <v>288</v>
      </c>
      <c r="B317" s="347" t="s">
        <v>2645</v>
      </c>
      <c r="C317" s="347"/>
      <c r="D317" s="347"/>
      <c r="E317" s="347"/>
      <c r="F317" s="347">
        <v>920</v>
      </c>
      <c r="G317" s="355"/>
    </row>
    <row r="318" spans="1:7" s="336" customFormat="1" ht="14.25" customHeight="1">
      <c r="A318" s="347" t="s">
        <v>288</v>
      </c>
      <c r="B318" s="347" t="s">
        <v>2649</v>
      </c>
      <c r="C318" s="347"/>
      <c r="D318" s="347"/>
      <c r="E318" s="347"/>
      <c r="F318" s="347">
        <v>1080</v>
      </c>
      <c r="G318" s="355"/>
    </row>
    <row r="319" spans="1:7" s="336" customFormat="1" ht="14.25" customHeight="1">
      <c r="A319" s="347" t="s">
        <v>288</v>
      </c>
      <c r="B319" s="347" t="s">
        <v>2653</v>
      </c>
      <c r="C319" s="347"/>
      <c r="D319" s="347"/>
      <c r="E319" s="347"/>
      <c r="F319" s="347">
        <v>1020</v>
      </c>
      <c r="G319" s="355"/>
    </row>
    <row r="320" spans="1:7" s="336" customFormat="1" ht="14.25" customHeight="1">
      <c r="A320" s="347" t="s">
        <v>288</v>
      </c>
      <c r="B320" s="347" t="s">
        <v>2656</v>
      </c>
      <c r="C320" s="347"/>
      <c r="D320" s="347"/>
      <c r="E320" s="347"/>
      <c r="F320" s="347">
        <v>1050</v>
      </c>
      <c r="G320" s="355"/>
    </row>
    <row r="321" spans="1:7" s="336" customFormat="1" ht="14.25" customHeight="1">
      <c r="A321" s="347" t="s">
        <v>288</v>
      </c>
      <c r="B321" s="347" t="s">
        <v>2658</v>
      </c>
      <c r="C321" s="347"/>
      <c r="D321" s="347"/>
      <c r="E321" s="347"/>
      <c r="F321" s="347">
        <v>960</v>
      </c>
      <c r="G321" s="355"/>
    </row>
    <row r="322" spans="1:7" s="336" customFormat="1" ht="14.25" customHeight="1">
      <c r="A322" s="347" t="s">
        <v>288</v>
      </c>
      <c r="B322" s="347" t="s">
        <v>2660</v>
      </c>
      <c r="C322" s="347"/>
      <c r="D322" s="347"/>
      <c r="E322" s="347"/>
      <c r="F322" s="347">
        <v>960</v>
      </c>
      <c r="G322" s="355"/>
    </row>
    <row r="323" spans="1:7" s="336" customFormat="1" ht="14.25" customHeight="1">
      <c r="A323" s="347" t="s">
        <v>288</v>
      </c>
      <c r="B323" s="347" t="s">
        <v>2662</v>
      </c>
      <c r="C323" s="347"/>
      <c r="D323" s="347"/>
      <c r="E323" s="347"/>
      <c r="F323" s="347">
        <v>880</v>
      </c>
      <c r="G323" s="355"/>
    </row>
    <row r="324" spans="1:7" s="336" customFormat="1" ht="14.25" customHeight="1">
      <c r="A324" s="347" t="s">
        <v>288</v>
      </c>
      <c r="B324" s="347" t="s">
        <v>2664</v>
      </c>
      <c r="C324" s="347"/>
      <c r="D324" s="347"/>
      <c r="E324" s="347"/>
      <c r="F324" s="347">
        <v>930</v>
      </c>
      <c r="G324" s="355"/>
    </row>
    <row r="325" spans="1:7" s="336" customFormat="1" ht="14.25" customHeight="1">
      <c r="A325" s="347" t="s">
        <v>288</v>
      </c>
      <c r="B325" s="348" t="s">
        <v>2666</v>
      </c>
      <c r="C325" s="347"/>
      <c r="D325" s="347"/>
      <c r="E325" s="347"/>
      <c r="F325" s="347">
        <v>900</v>
      </c>
      <c r="G325" s="355"/>
    </row>
    <row r="326" spans="1:7" s="336" customFormat="1" ht="14.25" customHeight="1">
      <c r="A326" s="356" t="s">
        <v>288</v>
      </c>
      <c r="B326" s="351" t="s">
        <v>2668</v>
      </c>
      <c r="C326" s="351"/>
      <c r="D326" s="351"/>
      <c r="E326" s="351"/>
      <c r="F326" s="351">
        <v>790</v>
      </c>
      <c r="G326" s="357"/>
    </row>
    <row r="327" spans="1:7" s="336" customFormat="1" ht="14.25" customHeight="1">
      <c r="A327" s="345" t="s">
        <v>292</v>
      </c>
      <c r="B327" s="346" t="s">
        <v>2309</v>
      </c>
      <c r="C327" s="347">
        <v>3750</v>
      </c>
      <c r="D327" s="347">
        <v>3710</v>
      </c>
      <c r="E327" s="347">
        <v>4080</v>
      </c>
      <c r="F327" s="347">
        <v>860</v>
      </c>
      <c r="G327" s="347">
        <v>2210</v>
      </c>
    </row>
    <row r="328" spans="1:7" s="336" customFormat="1" ht="14.25" customHeight="1">
      <c r="A328" s="347" t="s">
        <v>292</v>
      </c>
      <c r="B328" s="347" t="s">
        <v>2322</v>
      </c>
      <c r="C328" s="347">
        <v>3330</v>
      </c>
      <c r="D328" s="347">
        <v>3290</v>
      </c>
      <c r="E328" s="347">
        <v>3610</v>
      </c>
      <c r="F328" s="347">
        <v>850</v>
      </c>
      <c r="G328" s="347">
        <v>1960</v>
      </c>
    </row>
    <row r="329" spans="1:7" s="336" customFormat="1" ht="14.25" customHeight="1">
      <c r="A329" s="347" t="s">
        <v>292</v>
      </c>
      <c r="B329" s="347" t="s">
        <v>2336</v>
      </c>
      <c r="C329" s="347">
        <v>2730</v>
      </c>
      <c r="D329" s="347">
        <v>2690</v>
      </c>
      <c r="E329" s="347">
        <v>3100</v>
      </c>
      <c r="F329" s="347">
        <v>660</v>
      </c>
      <c r="G329" s="347">
        <v>1610</v>
      </c>
    </row>
    <row r="330" spans="1:7" s="336" customFormat="1" ht="14.25" customHeight="1">
      <c r="A330" s="347" t="s">
        <v>292</v>
      </c>
      <c r="B330" s="347" t="s">
        <v>2348</v>
      </c>
      <c r="C330" s="347">
        <v>3270</v>
      </c>
      <c r="D330" s="347">
        <v>3240</v>
      </c>
      <c r="E330" s="347">
        <v>3560</v>
      </c>
      <c r="F330" s="347">
        <v>680</v>
      </c>
      <c r="G330" s="347">
        <v>1940</v>
      </c>
    </row>
    <row r="331" spans="1:7" s="336" customFormat="1" ht="14.25" customHeight="1">
      <c r="A331" s="347" t="s">
        <v>292</v>
      </c>
      <c r="B331" s="347" t="s">
        <v>2360</v>
      </c>
      <c r="C331" s="347">
        <v>3770</v>
      </c>
      <c r="D331" s="347">
        <v>3740</v>
      </c>
      <c r="E331" s="347">
        <v>4110</v>
      </c>
      <c r="F331" s="347">
        <v>730</v>
      </c>
      <c r="G331" s="347">
        <v>2230</v>
      </c>
    </row>
    <row r="332" spans="1:7" s="336" customFormat="1" ht="14.25" customHeight="1">
      <c r="A332" s="347" t="s">
        <v>292</v>
      </c>
      <c r="B332" s="347" t="s">
        <v>2371</v>
      </c>
      <c r="C332" s="347">
        <v>3520</v>
      </c>
      <c r="D332" s="347">
        <v>3480</v>
      </c>
      <c r="E332" s="347">
        <v>3830</v>
      </c>
      <c r="F332" s="347">
        <v>720</v>
      </c>
      <c r="G332" s="347">
        <v>2090</v>
      </c>
    </row>
    <row r="333" spans="1:7" s="336" customFormat="1" ht="14.25" customHeight="1">
      <c r="A333" s="347" t="s">
        <v>292</v>
      </c>
      <c r="B333" s="347" t="s">
        <v>2382</v>
      </c>
      <c r="C333" s="347">
        <v>3840</v>
      </c>
      <c r="D333" s="347">
        <v>3800</v>
      </c>
      <c r="E333" s="347">
        <v>4200</v>
      </c>
      <c r="F333" s="347">
        <v>760</v>
      </c>
      <c r="G333" s="347">
        <v>2270</v>
      </c>
    </row>
    <row r="334" spans="1:7" s="336" customFormat="1" ht="14.25" customHeight="1">
      <c r="A334" s="347" t="s">
        <v>292</v>
      </c>
      <c r="B334" s="347" t="s">
        <v>2393</v>
      </c>
      <c r="C334" s="347">
        <v>3960</v>
      </c>
      <c r="D334" s="347">
        <v>3910</v>
      </c>
      <c r="E334" s="347">
        <v>4340</v>
      </c>
      <c r="F334" s="347">
        <v>780</v>
      </c>
      <c r="G334" s="347">
        <v>2340</v>
      </c>
    </row>
    <row r="335" spans="1:7" s="336" customFormat="1" ht="14.25" customHeight="1">
      <c r="A335" s="347" t="s">
        <v>292</v>
      </c>
      <c r="B335" s="347" t="s">
        <v>2403</v>
      </c>
      <c r="C335" s="347">
        <v>3710</v>
      </c>
      <c r="D335" s="347">
        <v>3670</v>
      </c>
      <c r="E335" s="347">
        <v>4030</v>
      </c>
      <c r="F335" s="347">
        <v>750</v>
      </c>
      <c r="G335" s="347">
        <v>2200</v>
      </c>
    </row>
    <row r="336" spans="1:7" s="336" customFormat="1" ht="14.25" customHeight="1">
      <c r="A336" s="347" t="s">
        <v>292</v>
      </c>
      <c r="B336" s="347" t="s">
        <v>2413</v>
      </c>
      <c r="C336" s="347">
        <v>3570</v>
      </c>
      <c r="D336" s="347">
        <v>3530</v>
      </c>
      <c r="E336" s="347">
        <v>3880</v>
      </c>
      <c r="F336" s="347">
        <v>770</v>
      </c>
      <c r="G336" s="347">
        <v>2110</v>
      </c>
    </row>
    <row r="337" spans="1:10" s="336" customFormat="1" ht="14.25" customHeight="1">
      <c r="A337" s="347" t="s">
        <v>292</v>
      </c>
      <c r="B337" s="347" t="s">
        <v>2423</v>
      </c>
      <c r="C337" s="347">
        <v>3780</v>
      </c>
      <c r="D337" s="347">
        <v>3750</v>
      </c>
      <c r="E337" s="347">
        <v>4130</v>
      </c>
      <c r="F337" s="347">
        <v>750</v>
      </c>
      <c r="G337" s="347">
        <v>2240</v>
      </c>
    </row>
    <row r="338" spans="1:10" s="336" customFormat="1" ht="14.25" customHeight="1">
      <c r="A338" s="347" t="s">
        <v>292</v>
      </c>
      <c r="B338" s="347" t="s">
        <v>2433</v>
      </c>
      <c r="C338" s="347">
        <v>3600</v>
      </c>
      <c r="D338" s="347">
        <v>3570</v>
      </c>
      <c r="E338" s="347">
        <v>3920</v>
      </c>
      <c r="F338" s="347">
        <v>790</v>
      </c>
      <c r="G338" s="347">
        <v>2140</v>
      </c>
    </row>
    <row r="339" spans="1:10" s="336" customFormat="1" ht="14.25" customHeight="1">
      <c r="A339" s="347" t="s">
        <v>292</v>
      </c>
      <c r="B339" s="347" t="s">
        <v>2443</v>
      </c>
      <c r="C339" s="347">
        <v>3540</v>
      </c>
      <c r="D339" s="347">
        <v>3500</v>
      </c>
      <c r="E339" s="347">
        <v>3850</v>
      </c>
      <c r="F339" s="347">
        <v>780</v>
      </c>
      <c r="G339" s="347">
        <v>2100</v>
      </c>
    </row>
    <row r="340" spans="1:10" s="336" customFormat="1" ht="14.25" customHeight="1">
      <c r="A340" s="347" t="s">
        <v>292</v>
      </c>
      <c r="B340" s="347" t="s">
        <v>2453</v>
      </c>
      <c r="C340" s="347">
        <v>3850</v>
      </c>
      <c r="D340" s="347">
        <v>3810</v>
      </c>
      <c r="E340" s="347">
        <v>4210</v>
      </c>
      <c r="F340" s="347">
        <v>750</v>
      </c>
      <c r="G340" s="347">
        <v>2280</v>
      </c>
    </row>
    <row r="341" spans="1:10" s="336" customFormat="1" ht="14.25" customHeight="1">
      <c r="A341" s="347" t="s">
        <v>292</v>
      </c>
      <c r="B341" s="347" t="s">
        <v>2463</v>
      </c>
      <c r="C341" s="347">
        <v>3780</v>
      </c>
      <c r="D341" s="347">
        <v>3750</v>
      </c>
      <c r="E341" s="347">
        <v>4140</v>
      </c>
      <c r="F341" s="347">
        <v>720</v>
      </c>
      <c r="G341" s="347">
        <v>2240</v>
      </c>
    </row>
    <row r="342" spans="1:10" s="336" customFormat="1" ht="14.25" customHeight="1">
      <c r="A342" s="347" t="s">
        <v>292</v>
      </c>
      <c r="B342" s="347" t="s">
        <v>2473</v>
      </c>
      <c r="C342" s="347">
        <v>3670</v>
      </c>
      <c r="D342" s="347">
        <v>3620</v>
      </c>
      <c r="E342" s="347">
        <v>3990</v>
      </c>
      <c r="F342" s="347">
        <v>760</v>
      </c>
      <c r="G342" s="347">
        <v>2170</v>
      </c>
    </row>
    <row r="343" spans="1:10" s="336" customFormat="1" ht="14.25" customHeight="1">
      <c r="A343" s="347" t="s">
        <v>292</v>
      </c>
      <c r="B343" s="347" t="s">
        <v>2482</v>
      </c>
      <c r="C343" s="347">
        <v>3760</v>
      </c>
      <c r="D343" s="347">
        <v>3720</v>
      </c>
      <c r="E343" s="347">
        <v>4090</v>
      </c>
      <c r="F343" s="347">
        <v>780</v>
      </c>
      <c r="G343" s="347">
        <v>2220</v>
      </c>
    </row>
    <row r="344" spans="1:10" s="336" customFormat="1" ht="14.25" customHeight="1">
      <c r="A344" s="347" t="s">
        <v>292</v>
      </c>
      <c r="B344" s="347" t="s">
        <v>2492</v>
      </c>
      <c r="C344" s="347">
        <v>3680</v>
      </c>
      <c r="D344" s="347">
        <v>3640</v>
      </c>
      <c r="E344" s="347">
        <v>4010</v>
      </c>
      <c r="F344" s="347">
        <v>750</v>
      </c>
      <c r="G344" s="347">
        <v>2180</v>
      </c>
    </row>
    <row r="345" spans="1:10">
      <c r="A345" s="347" t="s">
        <v>292</v>
      </c>
      <c r="B345" s="347" t="s">
        <v>2502</v>
      </c>
      <c r="C345" s="347">
        <v>3190</v>
      </c>
      <c r="D345" s="347">
        <v>3140</v>
      </c>
      <c r="E345" s="347">
        <v>3450</v>
      </c>
      <c r="F345" s="347">
        <v>720</v>
      </c>
      <c r="G345" s="347">
        <v>1880</v>
      </c>
      <c r="J345" s="336"/>
    </row>
    <row r="346" spans="1:10">
      <c r="A346" s="347" t="s">
        <v>292</v>
      </c>
      <c r="B346" s="347" t="s">
        <v>2512</v>
      </c>
      <c r="C346" s="347">
        <v>3630</v>
      </c>
      <c r="D346" s="347">
        <v>3590</v>
      </c>
      <c r="E346" s="347">
        <v>3940</v>
      </c>
      <c r="F346" s="347">
        <v>730</v>
      </c>
      <c r="G346" s="347">
        <v>2150</v>
      </c>
      <c r="J346" s="336"/>
    </row>
    <row r="347" spans="1:10">
      <c r="A347" s="347" t="s">
        <v>292</v>
      </c>
      <c r="B347" s="347" t="s">
        <v>2521</v>
      </c>
      <c r="C347" s="347">
        <v>3860</v>
      </c>
      <c r="D347" s="347">
        <v>3820</v>
      </c>
      <c r="E347" s="347">
        <v>4220</v>
      </c>
      <c r="F347" s="347">
        <v>750</v>
      </c>
      <c r="G347" s="347">
        <v>2280</v>
      </c>
      <c r="J347" s="336"/>
    </row>
    <row r="348" spans="1:10">
      <c r="A348" s="347" t="s">
        <v>292</v>
      </c>
      <c r="B348" s="347" t="s">
        <v>2529</v>
      </c>
      <c r="C348" s="347">
        <v>4000</v>
      </c>
      <c r="D348" s="347">
        <v>3950</v>
      </c>
      <c r="E348" s="347">
        <v>4430</v>
      </c>
      <c r="F348" s="347">
        <v>760</v>
      </c>
      <c r="G348" s="347">
        <v>2360</v>
      </c>
      <c r="J348" s="336"/>
    </row>
    <row r="349" spans="1:10">
      <c r="A349" s="347" t="s">
        <v>292</v>
      </c>
      <c r="B349" s="347" t="s">
        <v>2537</v>
      </c>
      <c r="C349" s="347">
        <v>3820</v>
      </c>
      <c r="D349" s="347">
        <v>3780</v>
      </c>
      <c r="E349" s="347">
        <v>4170</v>
      </c>
      <c r="F349" s="347">
        <v>710</v>
      </c>
      <c r="G349" s="347">
        <v>2260</v>
      </c>
      <c r="J349" s="336"/>
    </row>
    <row r="350" spans="1:10">
      <c r="A350" s="347" t="s">
        <v>292</v>
      </c>
      <c r="B350" s="347" t="s">
        <v>2545</v>
      </c>
      <c r="C350" s="347">
        <v>3760</v>
      </c>
      <c r="D350" s="347">
        <v>3730</v>
      </c>
      <c r="E350" s="347">
        <v>4100</v>
      </c>
      <c r="F350" s="347">
        <v>800</v>
      </c>
      <c r="G350" s="347">
        <v>2230</v>
      </c>
      <c r="J350" s="336"/>
    </row>
    <row r="351" spans="1:10">
      <c r="A351" s="347" t="s">
        <v>292</v>
      </c>
      <c r="B351" s="347" t="s">
        <v>2553</v>
      </c>
      <c r="C351" s="347">
        <v>3610</v>
      </c>
      <c r="D351" s="347">
        <v>3580</v>
      </c>
      <c r="E351" s="347">
        <v>3930</v>
      </c>
      <c r="F351" s="347">
        <v>700</v>
      </c>
      <c r="G351" s="347">
        <v>2140</v>
      </c>
      <c r="J351" s="336"/>
    </row>
    <row r="352" spans="1:10">
      <c r="A352" s="347" t="s">
        <v>292</v>
      </c>
      <c r="B352" s="347" t="s">
        <v>2560</v>
      </c>
      <c r="C352" s="347">
        <v>3670</v>
      </c>
      <c r="D352" s="347">
        <v>3630</v>
      </c>
      <c r="E352" s="347">
        <v>4000</v>
      </c>
      <c r="F352" s="347">
        <v>750</v>
      </c>
      <c r="G352" s="347">
        <v>2180</v>
      </c>
    </row>
    <row r="353" spans="1:7" s="337" customFormat="1">
      <c r="A353" s="347" t="s">
        <v>292</v>
      </c>
      <c r="B353" s="347" t="s">
        <v>2567</v>
      </c>
      <c r="C353" s="347">
        <v>3190</v>
      </c>
      <c r="D353" s="347">
        <v>3150</v>
      </c>
      <c r="E353" s="347">
        <v>3640</v>
      </c>
      <c r="F353" s="347">
        <v>630</v>
      </c>
      <c r="G353" s="347">
        <v>1890</v>
      </c>
    </row>
    <row r="354" spans="1:7" s="337" customFormat="1">
      <c r="A354" s="347" t="s">
        <v>292</v>
      </c>
      <c r="B354" s="347" t="s">
        <v>2574</v>
      </c>
      <c r="C354" s="347">
        <v>3450</v>
      </c>
      <c r="D354" s="347">
        <v>3420</v>
      </c>
      <c r="E354" s="347">
        <v>3960</v>
      </c>
      <c r="F354" s="347">
        <v>660</v>
      </c>
      <c r="G354" s="347">
        <v>2050</v>
      </c>
    </row>
    <row r="355" spans="1:7" s="337" customFormat="1">
      <c r="A355" s="347" t="s">
        <v>292</v>
      </c>
      <c r="B355" s="347" t="s">
        <v>2581</v>
      </c>
      <c r="C355" s="347">
        <v>3650</v>
      </c>
      <c r="D355" s="347">
        <v>3610</v>
      </c>
      <c r="E355" s="347">
        <v>4200</v>
      </c>
      <c r="F355" s="347">
        <v>640</v>
      </c>
      <c r="G355" s="347">
        <v>2160</v>
      </c>
    </row>
    <row r="356" spans="1:7" s="337" customFormat="1">
      <c r="A356" s="347" t="s">
        <v>292</v>
      </c>
      <c r="B356" s="347" t="s">
        <v>2588</v>
      </c>
      <c r="C356" s="347">
        <v>3260</v>
      </c>
      <c r="D356" s="347">
        <v>3230</v>
      </c>
      <c r="E356" s="347">
        <v>3740</v>
      </c>
      <c r="F356" s="347">
        <v>600</v>
      </c>
      <c r="G356" s="347">
        <v>1930</v>
      </c>
    </row>
    <row r="357" spans="1:7" s="337" customFormat="1">
      <c r="A357" s="349" t="s">
        <v>292</v>
      </c>
      <c r="B357" s="353" t="s">
        <v>2595</v>
      </c>
      <c r="C357" s="353">
        <v>3690</v>
      </c>
      <c r="D357" s="353">
        <v>3650</v>
      </c>
      <c r="E357" s="353">
        <v>4020</v>
      </c>
      <c r="F357" s="353">
        <v>700</v>
      </c>
      <c r="G357" s="353">
        <v>2190</v>
      </c>
    </row>
    <row r="358" spans="1:7" s="337" customFormat="1">
      <c r="A358" s="345" t="s">
        <v>296</v>
      </c>
      <c r="B358" s="346" t="s">
        <v>2310</v>
      </c>
      <c r="C358" s="346">
        <v>2080</v>
      </c>
      <c r="D358" s="346">
        <v>2040</v>
      </c>
      <c r="E358" s="346">
        <v>2010</v>
      </c>
      <c r="F358" s="346">
        <v>530</v>
      </c>
      <c r="G358" s="354">
        <v>1230</v>
      </c>
    </row>
    <row r="359" spans="1:7" s="337" customFormat="1">
      <c r="A359" s="347" t="s">
        <v>296</v>
      </c>
      <c r="B359" s="347" t="s">
        <v>2323</v>
      </c>
      <c r="C359" s="347">
        <v>1850</v>
      </c>
      <c r="D359" s="347">
        <v>1820</v>
      </c>
      <c r="E359" s="347">
        <v>1780</v>
      </c>
      <c r="F359" s="347">
        <v>520</v>
      </c>
      <c r="G359" s="355">
        <v>1100</v>
      </c>
    </row>
    <row r="360" spans="1:7" s="337" customFormat="1">
      <c r="A360" s="347" t="s">
        <v>296</v>
      </c>
      <c r="B360" s="347" t="s">
        <v>2337</v>
      </c>
      <c r="C360" s="347">
        <v>2020</v>
      </c>
      <c r="D360" s="347">
        <v>1990</v>
      </c>
      <c r="E360" s="347">
        <v>1950</v>
      </c>
      <c r="F360" s="347">
        <v>500</v>
      </c>
      <c r="G360" s="355">
        <v>1200</v>
      </c>
    </row>
    <row r="361" spans="1:7" s="337" customFormat="1">
      <c r="A361" s="347" t="s">
        <v>296</v>
      </c>
      <c r="B361" s="347" t="s">
        <v>2349</v>
      </c>
      <c r="C361" s="347">
        <v>2260</v>
      </c>
      <c r="D361" s="347">
        <v>2220</v>
      </c>
      <c r="E361" s="347">
        <v>2180</v>
      </c>
      <c r="F361" s="347">
        <v>580</v>
      </c>
      <c r="G361" s="355">
        <v>1340</v>
      </c>
    </row>
    <row r="362" spans="1:7" s="337" customFormat="1">
      <c r="A362" s="347" t="s">
        <v>296</v>
      </c>
      <c r="B362" s="347" t="s">
        <v>2361</v>
      </c>
      <c r="C362" s="347">
        <v>2650</v>
      </c>
      <c r="D362" s="347">
        <v>2610</v>
      </c>
      <c r="E362" s="347">
        <v>2570</v>
      </c>
      <c r="F362" s="347">
        <v>630</v>
      </c>
      <c r="G362" s="355">
        <v>1570</v>
      </c>
    </row>
    <row r="363" spans="1:7" s="337" customFormat="1">
      <c r="A363" s="347" t="s">
        <v>296</v>
      </c>
      <c r="B363" s="347" t="s">
        <v>2372</v>
      </c>
      <c r="C363" s="347">
        <v>2390</v>
      </c>
      <c r="D363" s="347">
        <v>2360</v>
      </c>
      <c r="E363" s="347">
        <v>2320</v>
      </c>
      <c r="F363" s="347">
        <v>600</v>
      </c>
      <c r="G363" s="355">
        <v>1420</v>
      </c>
    </row>
    <row r="364" spans="1:7" s="337" customFormat="1">
      <c r="A364" s="347" t="s">
        <v>296</v>
      </c>
      <c r="B364" s="347" t="s">
        <v>2383</v>
      </c>
      <c r="C364" s="347">
        <v>2050</v>
      </c>
      <c r="D364" s="347">
        <v>2030</v>
      </c>
      <c r="E364" s="347">
        <v>1990</v>
      </c>
      <c r="F364" s="347">
        <v>550</v>
      </c>
      <c r="G364" s="355">
        <v>1220</v>
      </c>
    </row>
    <row r="365" spans="1:7" s="337" customFormat="1">
      <c r="A365" s="347" t="s">
        <v>296</v>
      </c>
      <c r="B365" s="347" t="s">
        <v>2394</v>
      </c>
      <c r="C365" s="347">
        <v>2140</v>
      </c>
      <c r="D365" s="347">
        <v>2100</v>
      </c>
      <c r="E365" s="347">
        <v>2060</v>
      </c>
      <c r="F365" s="347">
        <v>540</v>
      </c>
      <c r="G365" s="355">
        <v>1270</v>
      </c>
    </row>
    <row r="366" spans="1:7" s="337" customFormat="1">
      <c r="A366" s="347" t="s">
        <v>296</v>
      </c>
      <c r="B366" s="347" t="s">
        <v>2404</v>
      </c>
      <c r="C366" s="347">
        <v>2410</v>
      </c>
      <c r="D366" s="347">
        <v>2370</v>
      </c>
      <c r="E366" s="347">
        <v>2330</v>
      </c>
      <c r="F366" s="347">
        <v>570</v>
      </c>
      <c r="G366" s="355">
        <v>1440</v>
      </c>
    </row>
    <row r="367" spans="1:7" s="337" customFormat="1">
      <c r="A367" s="347" t="s">
        <v>296</v>
      </c>
      <c r="B367" s="347" t="s">
        <v>2414</v>
      </c>
      <c r="C367" s="347">
        <v>2300</v>
      </c>
      <c r="D367" s="347">
        <v>2260</v>
      </c>
      <c r="E367" s="347">
        <v>2220</v>
      </c>
      <c r="F367" s="347">
        <v>560</v>
      </c>
      <c r="G367" s="355">
        <v>1370</v>
      </c>
    </row>
    <row r="368" spans="1:7" s="337" customFormat="1">
      <c r="A368" s="347" t="s">
        <v>296</v>
      </c>
      <c r="B368" s="347" t="s">
        <v>2424</v>
      </c>
      <c r="C368" s="347">
        <v>2430</v>
      </c>
      <c r="D368" s="347">
        <v>2390</v>
      </c>
      <c r="E368" s="347">
        <v>2350</v>
      </c>
      <c r="F368" s="347">
        <v>570</v>
      </c>
      <c r="G368" s="355">
        <v>1450</v>
      </c>
    </row>
    <row r="369" spans="1:7" s="337" customFormat="1">
      <c r="A369" s="347" t="s">
        <v>296</v>
      </c>
      <c r="B369" s="347" t="s">
        <v>2434</v>
      </c>
      <c r="C369" s="347">
        <v>2320</v>
      </c>
      <c r="D369" s="347">
        <v>2290</v>
      </c>
      <c r="E369" s="347">
        <v>2250</v>
      </c>
      <c r="F369" s="347">
        <v>550</v>
      </c>
      <c r="G369" s="355">
        <v>1380</v>
      </c>
    </row>
    <row r="370" spans="1:7" s="337" customFormat="1">
      <c r="A370" s="347" t="s">
        <v>296</v>
      </c>
      <c r="B370" s="347" t="s">
        <v>2444</v>
      </c>
      <c r="C370" s="347">
        <v>2190</v>
      </c>
      <c r="D370" s="347">
        <v>2170</v>
      </c>
      <c r="E370" s="347">
        <v>2130</v>
      </c>
      <c r="F370" s="347">
        <v>530</v>
      </c>
      <c r="G370" s="355">
        <v>1310</v>
      </c>
    </row>
    <row r="371" spans="1:7" s="337" customFormat="1">
      <c r="A371" s="347" t="s">
        <v>296</v>
      </c>
      <c r="B371" s="347" t="s">
        <v>2454</v>
      </c>
      <c r="C371" s="347">
        <v>2460</v>
      </c>
      <c r="D371" s="347">
        <v>2420</v>
      </c>
      <c r="E371" s="347">
        <v>2370</v>
      </c>
      <c r="F371" s="347">
        <v>560</v>
      </c>
      <c r="G371" s="355">
        <v>1470</v>
      </c>
    </row>
    <row r="372" spans="1:7" s="337" customFormat="1">
      <c r="A372" s="347" t="s">
        <v>296</v>
      </c>
      <c r="B372" s="347" t="s">
        <v>2464</v>
      </c>
      <c r="C372" s="347">
        <v>2250</v>
      </c>
      <c r="D372" s="347">
        <v>2210</v>
      </c>
      <c r="E372" s="347">
        <v>2180</v>
      </c>
      <c r="F372" s="347">
        <v>550</v>
      </c>
      <c r="G372" s="355">
        <v>1340</v>
      </c>
    </row>
    <row r="373" spans="1:7" s="337" customFormat="1">
      <c r="A373" s="347" t="s">
        <v>296</v>
      </c>
      <c r="B373" s="347" t="s">
        <v>2474</v>
      </c>
      <c r="C373" s="347">
        <v>2210</v>
      </c>
      <c r="D373" s="347">
        <v>2190</v>
      </c>
      <c r="E373" s="347">
        <v>2150</v>
      </c>
      <c r="F373" s="347">
        <v>530</v>
      </c>
      <c r="G373" s="355">
        <v>1320</v>
      </c>
    </row>
    <row r="374" spans="1:7" s="337" customFormat="1">
      <c r="A374" s="347" t="s">
        <v>296</v>
      </c>
      <c r="B374" s="347" t="s">
        <v>2483</v>
      </c>
      <c r="C374" s="347">
        <v>2320</v>
      </c>
      <c r="D374" s="347">
        <v>2280</v>
      </c>
      <c r="E374" s="347">
        <v>2230</v>
      </c>
      <c r="F374" s="347">
        <v>580</v>
      </c>
      <c r="G374" s="355">
        <v>1380</v>
      </c>
    </row>
    <row r="375" spans="1:7" s="337" customFormat="1">
      <c r="A375" s="347" t="s">
        <v>296</v>
      </c>
      <c r="B375" s="347" t="s">
        <v>2493</v>
      </c>
      <c r="C375" s="347">
        <v>2090</v>
      </c>
      <c r="D375" s="347">
        <v>2050</v>
      </c>
      <c r="E375" s="347">
        <v>2020</v>
      </c>
      <c r="F375" s="347">
        <v>520</v>
      </c>
      <c r="G375" s="355">
        <v>1240</v>
      </c>
    </row>
    <row r="376" spans="1:7" s="337" customFormat="1">
      <c r="A376" s="347" t="s">
        <v>296</v>
      </c>
      <c r="B376" s="347" t="s">
        <v>2503</v>
      </c>
      <c r="C376" s="347">
        <v>2010</v>
      </c>
      <c r="D376" s="347">
        <v>1980</v>
      </c>
      <c r="E376" s="347">
        <v>1940</v>
      </c>
      <c r="F376" s="347">
        <v>540</v>
      </c>
      <c r="G376" s="355">
        <v>1190</v>
      </c>
    </row>
    <row r="377" spans="1:7" s="337" customFormat="1">
      <c r="A377" s="349" t="s">
        <v>296</v>
      </c>
      <c r="B377" s="353" t="s">
        <v>2513</v>
      </c>
      <c r="C377" s="353">
        <v>1930</v>
      </c>
      <c r="D377" s="353">
        <v>1890</v>
      </c>
      <c r="E377" s="353">
        <v>1860</v>
      </c>
      <c r="F377" s="353">
        <v>530</v>
      </c>
      <c r="G377" s="362">
        <v>1150</v>
      </c>
    </row>
    <row r="378" spans="1:7" s="337" customFormat="1">
      <c r="A378" s="363" t="s">
        <v>300</v>
      </c>
      <c r="B378" s="346" t="s">
        <v>2311</v>
      </c>
      <c r="C378" s="346">
        <v>1520</v>
      </c>
      <c r="D378" s="346">
        <v>1490</v>
      </c>
      <c r="E378" s="346">
        <v>1460</v>
      </c>
      <c r="F378" s="346">
        <v>460</v>
      </c>
      <c r="G378" s="354">
        <v>940</v>
      </c>
    </row>
    <row r="379" spans="1:7" s="337" customFormat="1">
      <c r="A379" s="364" t="s">
        <v>300</v>
      </c>
      <c r="B379" s="347" t="s">
        <v>2324</v>
      </c>
      <c r="C379" s="347">
        <v>1500</v>
      </c>
      <c r="D379" s="347">
        <v>1470</v>
      </c>
      <c r="E379" s="347">
        <v>1430</v>
      </c>
      <c r="F379" s="347">
        <v>460</v>
      </c>
      <c r="G379" s="355">
        <v>920</v>
      </c>
    </row>
    <row r="380" spans="1:7" s="337" customFormat="1">
      <c r="A380" s="364" t="s">
        <v>300</v>
      </c>
      <c r="B380" s="347" t="s">
        <v>2338</v>
      </c>
      <c r="C380" s="347">
        <v>1620</v>
      </c>
      <c r="D380" s="347">
        <v>1590</v>
      </c>
      <c r="E380" s="347">
        <v>1560</v>
      </c>
      <c r="F380" s="347">
        <v>480</v>
      </c>
      <c r="G380" s="355">
        <v>1000</v>
      </c>
    </row>
    <row r="381" spans="1:7" s="337" customFormat="1">
      <c r="A381" s="364" t="s">
        <v>300</v>
      </c>
      <c r="B381" s="347" t="s">
        <v>2350</v>
      </c>
      <c r="C381" s="347">
        <v>1460</v>
      </c>
      <c r="D381" s="347">
        <v>1430</v>
      </c>
      <c r="E381" s="347">
        <v>1390</v>
      </c>
      <c r="F381" s="347">
        <v>450</v>
      </c>
      <c r="G381" s="355">
        <v>900</v>
      </c>
    </row>
    <row r="382" spans="1:7" s="337" customFormat="1">
      <c r="A382" s="364" t="s">
        <v>300</v>
      </c>
      <c r="B382" s="347" t="s">
        <v>2362</v>
      </c>
      <c r="C382" s="347">
        <v>1310</v>
      </c>
      <c r="D382" s="347">
        <v>1280</v>
      </c>
      <c r="E382" s="347">
        <v>1250</v>
      </c>
      <c r="F382" s="347">
        <v>440</v>
      </c>
      <c r="G382" s="355">
        <v>800</v>
      </c>
    </row>
    <row r="383" spans="1:7" s="337" customFormat="1">
      <c r="A383" s="364" t="s">
        <v>300</v>
      </c>
      <c r="B383" s="347" t="s">
        <v>2373</v>
      </c>
      <c r="C383" s="347">
        <v>1260</v>
      </c>
      <c r="D383" s="347">
        <v>1230</v>
      </c>
      <c r="E383" s="347">
        <v>1200</v>
      </c>
      <c r="F383" s="347">
        <v>420</v>
      </c>
      <c r="G383" s="355">
        <v>770</v>
      </c>
    </row>
    <row r="384" spans="1:7" s="337" customFormat="1">
      <c r="A384" s="365" t="s">
        <v>300</v>
      </c>
      <c r="B384" s="351" t="s">
        <v>2384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7" t="s">
        <v>2682</v>
      </c>
      <c r="B1" s="3777"/>
    </row>
    <row r="2" spans="1:7">
      <c r="A2" s="301"/>
      <c r="B2" s="301"/>
    </row>
    <row r="3" spans="1:7">
      <c r="A3" s="301"/>
      <c r="B3" s="301"/>
      <c r="C3" s="302" t="s">
        <v>1978</v>
      </c>
      <c r="D3" s="302" t="s">
        <v>606</v>
      </c>
      <c r="E3" s="302" t="s">
        <v>413</v>
      </c>
      <c r="F3" s="302" t="s">
        <v>409</v>
      </c>
      <c r="G3" s="302" t="s">
        <v>280</v>
      </c>
    </row>
    <row r="4" spans="1:7">
      <c r="A4" s="303" t="s">
        <v>2312</v>
      </c>
      <c r="B4" s="304" t="s">
        <v>2325</v>
      </c>
      <c r="C4" s="302"/>
      <c r="D4" s="302"/>
      <c r="E4" s="302"/>
      <c r="F4" s="302"/>
      <c r="G4" s="302"/>
    </row>
    <row r="5" spans="1:7">
      <c r="A5" s="305" t="s">
        <v>230</v>
      </c>
      <c r="B5" s="306" t="s">
        <v>2300</v>
      </c>
      <c r="C5" s="307">
        <v>9.8000000000000004E-2</v>
      </c>
      <c r="D5" s="307">
        <v>8.6999999999999994E-2</v>
      </c>
      <c r="E5" s="307">
        <v>8.6999999999999994E-2</v>
      </c>
      <c r="F5" s="307">
        <v>9.8000000000000004E-2</v>
      </c>
      <c r="G5" s="308">
        <v>9.5000000000000001E-2</v>
      </c>
    </row>
    <row r="6" spans="1:7">
      <c r="A6" s="309" t="s">
        <v>230</v>
      </c>
      <c r="B6" s="310" t="s">
        <v>2313</v>
      </c>
      <c r="C6" s="311">
        <v>9.8000000000000004E-2</v>
      </c>
      <c r="D6" s="311">
        <v>9.8000000000000004E-2</v>
      </c>
      <c r="E6" s="311">
        <v>9.8000000000000004E-2</v>
      </c>
      <c r="F6" s="311">
        <v>0.1</v>
      </c>
      <c r="G6" s="312">
        <v>9.9000000000000005E-2</v>
      </c>
    </row>
    <row r="7" spans="1:7">
      <c r="A7" s="309" t="s">
        <v>230</v>
      </c>
      <c r="B7" s="310" t="s">
        <v>2327</v>
      </c>
      <c r="C7" s="311">
        <v>9.7000000000000003E-2</v>
      </c>
      <c r="D7" s="311">
        <v>9.7000000000000003E-2</v>
      </c>
      <c r="E7" s="311">
        <v>9.6000000000000002E-2</v>
      </c>
      <c r="F7" s="311">
        <v>0.1</v>
      </c>
      <c r="G7" s="312">
        <v>9.8000000000000004E-2</v>
      </c>
    </row>
    <row r="8" spans="1:7">
      <c r="A8" s="309" t="s">
        <v>230</v>
      </c>
      <c r="B8" s="310" t="s">
        <v>2339</v>
      </c>
      <c r="C8" s="311">
        <v>8.1000000000000003E-2</v>
      </c>
      <c r="D8" s="311">
        <v>8.2000000000000003E-2</v>
      </c>
      <c r="E8" s="311">
        <v>7.0000000000000007E-2</v>
      </c>
      <c r="F8" s="311">
        <v>9.6000000000000002E-2</v>
      </c>
      <c r="G8" s="312">
        <v>8.8999999999999996E-2</v>
      </c>
    </row>
    <row r="9" spans="1:7">
      <c r="A9" s="313" t="s">
        <v>230</v>
      </c>
      <c r="B9" s="314" t="s">
        <v>2351</v>
      </c>
      <c r="C9" s="315">
        <v>0.1</v>
      </c>
      <c r="D9" s="315">
        <v>0.1</v>
      </c>
      <c r="E9" s="315">
        <v>0.1</v>
      </c>
      <c r="F9" s="316"/>
      <c r="G9" s="317">
        <v>0.1</v>
      </c>
    </row>
    <row r="10" spans="1:7">
      <c r="A10" s="305" t="s">
        <v>241</v>
      </c>
      <c r="B10" s="306" t="s">
        <v>2301</v>
      </c>
      <c r="C10" s="307">
        <v>6.7000000000000004E-2</v>
      </c>
      <c r="D10" s="307">
        <v>7.9000000000000001E-2</v>
      </c>
      <c r="E10" s="307">
        <v>7.9000000000000001E-2</v>
      </c>
      <c r="F10" s="307">
        <v>0.1</v>
      </c>
      <c r="G10" s="308">
        <v>9.0999999999999998E-2</v>
      </c>
    </row>
    <row r="11" spans="1:7">
      <c r="A11" s="309" t="s">
        <v>241</v>
      </c>
      <c r="B11" s="310" t="s">
        <v>2314</v>
      </c>
      <c r="C11" s="311">
        <v>0.05</v>
      </c>
      <c r="D11" s="311">
        <v>5.2999999999999999E-2</v>
      </c>
      <c r="E11" s="311">
        <v>6.3E-2</v>
      </c>
      <c r="F11" s="311">
        <v>0.1</v>
      </c>
      <c r="G11" s="312">
        <v>7.1999999999999995E-2</v>
      </c>
    </row>
    <row r="12" spans="1:7">
      <c r="A12" s="309" t="s">
        <v>241</v>
      </c>
      <c r="B12" s="310" t="s">
        <v>2328</v>
      </c>
      <c r="C12" s="311">
        <v>5.2999999999999999E-2</v>
      </c>
      <c r="D12" s="311">
        <v>0.09</v>
      </c>
      <c r="E12" s="311">
        <v>7.1999999999999995E-2</v>
      </c>
      <c r="F12" s="311">
        <v>0.1</v>
      </c>
      <c r="G12" s="312">
        <v>9.7000000000000003E-2</v>
      </c>
    </row>
    <row r="13" spans="1:7">
      <c r="A13" s="309" t="s">
        <v>241</v>
      </c>
      <c r="B13" s="310" t="s">
        <v>2340</v>
      </c>
      <c r="C13" s="311">
        <v>9.7000000000000003E-2</v>
      </c>
      <c r="D13" s="311">
        <v>9.1999999999999998E-2</v>
      </c>
      <c r="E13" s="311">
        <v>9.5000000000000001E-2</v>
      </c>
      <c r="F13" s="311">
        <v>0.1</v>
      </c>
      <c r="G13" s="312">
        <v>9.7000000000000003E-2</v>
      </c>
    </row>
    <row r="14" spans="1:7">
      <c r="A14" s="309" t="s">
        <v>241</v>
      </c>
      <c r="B14" s="310" t="s">
        <v>2352</v>
      </c>
      <c r="C14" s="311">
        <v>9.7000000000000003E-2</v>
      </c>
      <c r="D14" s="311">
        <v>9.7000000000000003E-2</v>
      </c>
      <c r="E14" s="311">
        <v>9.7000000000000003E-2</v>
      </c>
      <c r="F14" s="311">
        <v>0.1</v>
      </c>
      <c r="G14" s="312">
        <v>9.8000000000000004E-2</v>
      </c>
    </row>
    <row r="15" spans="1:7">
      <c r="A15" s="309" t="s">
        <v>241</v>
      </c>
      <c r="B15" s="310" t="s">
        <v>2363</v>
      </c>
      <c r="C15" s="311">
        <v>9.8000000000000004E-2</v>
      </c>
      <c r="D15" s="311">
        <v>9.0999999999999998E-2</v>
      </c>
      <c r="E15" s="311">
        <v>0.06</v>
      </c>
      <c r="F15" s="311">
        <v>0.1</v>
      </c>
      <c r="G15" s="312">
        <v>9.7000000000000003E-2</v>
      </c>
    </row>
    <row r="16" spans="1:7">
      <c r="A16" s="309" t="s">
        <v>241</v>
      </c>
      <c r="B16" s="310" t="s">
        <v>2374</v>
      </c>
      <c r="C16" s="311">
        <v>9.8000000000000004E-2</v>
      </c>
      <c r="D16" s="311">
        <v>9.7000000000000003E-2</v>
      </c>
      <c r="E16" s="311">
        <v>9.5000000000000001E-2</v>
      </c>
      <c r="F16" s="311">
        <v>0.1</v>
      </c>
      <c r="G16" s="312">
        <v>9.9000000000000005E-2</v>
      </c>
    </row>
    <row r="17" spans="1:7">
      <c r="A17" s="309" t="s">
        <v>241</v>
      </c>
      <c r="B17" s="310" t="s">
        <v>2385</v>
      </c>
      <c r="C17" s="311">
        <v>8.8999999999999996E-2</v>
      </c>
      <c r="D17" s="311">
        <v>9.1999999999999998E-2</v>
      </c>
      <c r="E17" s="311">
        <v>6.0999999999999999E-2</v>
      </c>
      <c r="F17" s="311">
        <v>0.1</v>
      </c>
      <c r="G17" s="312">
        <v>9.7000000000000003E-2</v>
      </c>
    </row>
    <row r="18" spans="1:7">
      <c r="A18" s="309" t="s">
        <v>241</v>
      </c>
      <c r="B18" s="310" t="s">
        <v>2395</v>
      </c>
      <c r="C18" s="311">
        <v>9.8000000000000004E-2</v>
      </c>
      <c r="D18" s="311">
        <v>9.8000000000000004E-2</v>
      </c>
      <c r="E18" s="311">
        <v>9.8000000000000004E-2</v>
      </c>
      <c r="F18" s="318"/>
      <c r="G18" s="312">
        <v>9.9000000000000005E-2</v>
      </c>
    </row>
    <row r="19" spans="1:7">
      <c r="A19" s="309" t="s">
        <v>241</v>
      </c>
      <c r="B19" s="310" t="s">
        <v>2405</v>
      </c>
      <c r="C19" s="311">
        <v>9.9000000000000005E-2</v>
      </c>
      <c r="D19" s="311">
        <v>7.3999999999999996E-2</v>
      </c>
      <c r="E19" s="311">
        <v>8.1000000000000003E-2</v>
      </c>
      <c r="F19" s="318"/>
      <c r="G19" s="312">
        <v>9.2999999999999999E-2</v>
      </c>
    </row>
    <row r="20" spans="1:7">
      <c r="A20" s="309" t="s">
        <v>241</v>
      </c>
      <c r="B20" s="310" t="s">
        <v>2415</v>
      </c>
      <c r="C20" s="311">
        <v>0.1</v>
      </c>
      <c r="D20" s="311">
        <v>8.8999999999999996E-2</v>
      </c>
      <c r="E20" s="311">
        <v>8.8999999999999996E-2</v>
      </c>
      <c r="F20" s="318"/>
      <c r="G20" s="312">
        <v>9.5000000000000001E-2</v>
      </c>
    </row>
    <row r="21" spans="1:7">
      <c r="A21" s="309" t="s">
        <v>241</v>
      </c>
      <c r="B21" s="310" t="s">
        <v>2425</v>
      </c>
      <c r="C21" s="311">
        <v>0.1</v>
      </c>
      <c r="D21" s="311">
        <v>9.0999999999999998E-2</v>
      </c>
      <c r="E21" s="311">
        <v>8.2000000000000003E-2</v>
      </c>
      <c r="F21" s="318"/>
      <c r="G21" s="312">
        <v>9.7000000000000003E-2</v>
      </c>
    </row>
    <row r="22" spans="1:7">
      <c r="A22" s="309" t="s">
        <v>241</v>
      </c>
      <c r="B22" s="310" t="s">
        <v>2435</v>
      </c>
      <c r="C22" s="311">
        <v>9.5000000000000001E-2</v>
      </c>
      <c r="D22" s="311">
        <v>9.9000000000000005E-2</v>
      </c>
      <c r="E22" s="311">
        <v>9.8000000000000004E-2</v>
      </c>
      <c r="F22" s="318"/>
      <c r="G22" s="312">
        <v>0.1</v>
      </c>
    </row>
    <row r="23" spans="1:7">
      <c r="A23" s="309" t="s">
        <v>241</v>
      </c>
      <c r="B23" s="310" t="s">
        <v>2445</v>
      </c>
      <c r="C23" s="311">
        <v>9.9000000000000005E-2</v>
      </c>
      <c r="D23" s="311">
        <v>0.1</v>
      </c>
      <c r="E23" s="311">
        <v>0.1</v>
      </c>
      <c r="F23" s="318"/>
      <c r="G23" s="312">
        <v>0.1</v>
      </c>
    </row>
    <row r="24" spans="1:7">
      <c r="A24" s="309" t="s">
        <v>241</v>
      </c>
      <c r="B24" s="310" t="s">
        <v>2455</v>
      </c>
      <c r="C24" s="311">
        <v>9.5000000000000001E-2</v>
      </c>
      <c r="D24" s="311">
        <v>0.1</v>
      </c>
      <c r="E24" s="311">
        <v>9.8000000000000004E-2</v>
      </c>
      <c r="F24" s="318"/>
      <c r="G24" s="312">
        <v>0.1</v>
      </c>
    </row>
    <row r="25" spans="1:7">
      <c r="A25" s="309" t="s">
        <v>241</v>
      </c>
      <c r="B25" s="310" t="s">
        <v>2465</v>
      </c>
      <c r="C25" s="311">
        <v>0.05</v>
      </c>
      <c r="D25" s="311">
        <v>9.6000000000000002E-2</v>
      </c>
      <c r="E25" s="311">
        <v>9.6000000000000002E-2</v>
      </c>
      <c r="F25" s="318"/>
      <c r="G25" s="312">
        <v>9.6000000000000002E-2</v>
      </c>
    </row>
    <row r="26" spans="1:7">
      <c r="A26" s="309" t="s">
        <v>241</v>
      </c>
      <c r="B26" s="310" t="s">
        <v>2475</v>
      </c>
      <c r="C26" s="311">
        <v>6.3E-2</v>
      </c>
      <c r="D26" s="311">
        <v>9.9000000000000005E-2</v>
      </c>
      <c r="E26" s="311">
        <v>9.8000000000000004E-2</v>
      </c>
      <c r="F26" s="318"/>
      <c r="G26" s="312">
        <v>0.1</v>
      </c>
    </row>
    <row r="27" spans="1:7">
      <c r="A27" s="309" t="s">
        <v>241</v>
      </c>
      <c r="B27" s="310" t="s">
        <v>2484</v>
      </c>
      <c r="C27" s="311">
        <v>5.1999999999999998E-2</v>
      </c>
      <c r="D27" s="311">
        <v>9.5000000000000001E-2</v>
      </c>
      <c r="E27" s="311">
        <v>6.4000000000000001E-2</v>
      </c>
      <c r="F27" s="318"/>
      <c r="G27" s="312">
        <v>9.7000000000000003E-2</v>
      </c>
    </row>
    <row r="28" spans="1:7">
      <c r="A28" s="309" t="s">
        <v>241</v>
      </c>
      <c r="B28" s="310" t="s">
        <v>2494</v>
      </c>
      <c r="C28" s="318"/>
      <c r="D28" s="311">
        <v>6.3E-2</v>
      </c>
      <c r="E28" s="311">
        <v>5.1999999999999998E-2</v>
      </c>
      <c r="F28" s="318"/>
      <c r="G28" s="312">
        <v>6.3E-2</v>
      </c>
    </row>
    <row r="29" spans="1:7">
      <c r="A29" s="313" t="s">
        <v>241</v>
      </c>
      <c r="B29" s="314" t="s">
        <v>2504</v>
      </c>
      <c r="C29" s="319"/>
      <c r="D29" s="315">
        <v>5.1999999999999998E-2</v>
      </c>
      <c r="E29" s="315">
        <v>7.0000000000000007E-2</v>
      </c>
      <c r="F29" s="319"/>
      <c r="G29" s="317">
        <v>7.0999999999999994E-2</v>
      </c>
    </row>
    <row r="30" spans="1:7">
      <c r="A30" s="320" t="s">
        <v>251</v>
      </c>
      <c r="B30" s="306" t="s">
        <v>2302</v>
      </c>
      <c r="C30" s="307">
        <v>6.6000000000000003E-2</v>
      </c>
      <c r="D30" s="307">
        <v>6.6000000000000003E-2</v>
      </c>
      <c r="E30" s="307">
        <v>5.7000000000000002E-2</v>
      </c>
      <c r="F30" s="307">
        <v>0.1</v>
      </c>
      <c r="G30" s="308">
        <v>6.8000000000000005E-2</v>
      </c>
    </row>
    <row r="31" spans="1:7">
      <c r="A31" s="321" t="s">
        <v>251</v>
      </c>
      <c r="B31" s="310" t="s">
        <v>2315</v>
      </c>
      <c r="C31" s="311">
        <v>5.5E-2</v>
      </c>
      <c r="D31" s="311">
        <v>8.2000000000000003E-2</v>
      </c>
      <c r="E31" s="311">
        <v>6.4000000000000001E-2</v>
      </c>
      <c r="F31" s="311">
        <v>0.1</v>
      </c>
      <c r="G31" s="312">
        <v>9.5000000000000001E-2</v>
      </c>
    </row>
    <row r="32" spans="1:7">
      <c r="A32" s="321" t="s">
        <v>251</v>
      </c>
      <c r="B32" s="310" t="s">
        <v>2329</v>
      </c>
      <c r="C32" s="311">
        <v>8.2000000000000003E-2</v>
      </c>
      <c r="D32" s="311">
        <v>8.6999999999999994E-2</v>
      </c>
      <c r="E32" s="311">
        <v>9.5000000000000001E-2</v>
      </c>
      <c r="F32" s="311">
        <v>0.1</v>
      </c>
      <c r="G32" s="312">
        <v>9.6000000000000002E-2</v>
      </c>
    </row>
    <row r="33" spans="1:7">
      <c r="A33" s="321" t="s">
        <v>251</v>
      </c>
      <c r="B33" s="310" t="s">
        <v>2341</v>
      </c>
      <c r="C33" s="311">
        <v>9.9000000000000005E-2</v>
      </c>
      <c r="D33" s="311">
        <v>9.1999999999999998E-2</v>
      </c>
      <c r="E33" s="311">
        <v>8.6999999999999994E-2</v>
      </c>
      <c r="F33" s="311">
        <v>0.1</v>
      </c>
      <c r="G33" s="312">
        <v>9.7000000000000003E-2</v>
      </c>
    </row>
    <row r="34" spans="1:7">
      <c r="A34" s="321" t="s">
        <v>251</v>
      </c>
      <c r="B34" s="310" t="s">
        <v>2353</v>
      </c>
      <c r="C34" s="311">
        <v>8.4000000000000005E-2</v>
      </c>
      <c r="D34" s="311">
        <v>9.7000000000000003E-2</v>
      </c>
      <c r="E34" s="311">
        <v>7.0999999999999994E-2</v>
      </c>
      <c r="F34" s="311">
        <v>0.1</v>
      </c>
      <c r="G34" s="312">
        <v>9.8000000000000004E-2</v>
      </c>
    </row>
    <row r="35" spans="1:7">
      <c r="A35" s="321" t="s">
        <v>251</v>
      </c>
      <c r="B35" s="310" t="s">
        <v>2364</v>
      </c>
      <c r="C35" s="311">
        <v>8.3000000000000004E-2</v>
      </c>
      <c r="D35" s="311">
        <v>9.7000000000000003E-2</v>
      </c>
      <c r="E35" s="311">
        <v>6.0999999999999999E-2</v>
      </c>
      <c r="F35" s="311">
        <v>0.1</v>
      </c>
      <c r="G35" s="312">
        <v>9.9000000000000005E-2</v>
      </c>
    </row>
    <row r="36" spans="1:7">
      <c r="A36" s="321" t="s">
        <v>251</v>
      </c>
      <c r="B36" s="310" t="s">
        <v>2375</v>
      </c>
      <c r="C36" s="311">
        <v>9.7000000000000003E-2</v>
      </c>
      <c r="D36" s="311">
        <v>9.7000000000000003E-2</v>
      </c>
      <c r="E36" s="311">
        <v>7.8E-2</v>
      </c>
      <c r="F36" s="311">
        <v>0.1</v>
      </c>
      <c r="G36" s="312">
        <v>9.9000000000000005E-2</v>
      </c>
    </row>
    <row r="37" spans="1:7">
      <c r="A37" s="321" t="s">
        <v>251</v>
      </c>
      <c r="B37" s="310" t="s">
        <v>2386</v>
      </c>
      <c r="C37" s="311">
        <v>9.7000000000000003E-2</v>
      </c>
      <c r="D37" s="311">
        <v>9.5000000000000001E-2</v>
      </c>
      <c r="E37" s="311">
        <v>7.8E-2</v>
      </c>
      <c r="F37" s="311">
        <v>0.1</v>
      </c>
      <c r="G37" s="312">
        <v>9.7000000000000003E-2</v>
      </c>
    </row>
    <row r="38" spans="1:7">
      <c r="A38" s="321" t="s">
        <v>251</v>
      </c>
      <c r="B38" s="310" t="s">
        <v>2396</v>
      </c>
      <c r="C38" s="311">
        <v>9.7000000000000003E-2</v>
      </c>
      <c r="D38" s="311">
        <v>7.6999999999999999E-2</v>
      </c>
      <c r="E38" s="311">
        <v>7.0000000000000007E-2</v>
      </c>
      <c r="F38" s="311">
        <v>0.1</v>
      </c>
      <c r="G38" s="312">
        <v>7.6999999999999999E-2</v>
      </c>
    </row>
    <row r="39" spans="1:7">
      <c r="A39" s="321" t="s">
        <v>251</v>
      </c>
      <c r="B39" s="310" t="s">
        <v>2406</v>
      </c>
      <c r="C39" s="311">
        <v>9.5000000000000001E-2</v>
      </c>
      <c r="D39" s="311">
        <v>7.6999999999999999E-2</v>
      </c>
      <c r="E39" s="311">
        <v>6.6000000000000003E-2</v>
      </c>
      <c r="F39" s="311">
        <v>0.1</v>
      </c>
      <c r="G39" s="312">
        <v>8.5999999999999993E-2</v>
      </c>
    </row>
    <row r="40" spans="1:7">
      <c r="A40" s="321" t="s">
        <v>251</v>
      </c>
      <c r="B40" s="310" t="s">
        <v>2416</v>
      </c>
      <c r="C40" s="311">
        <v>7.6999999999999999E-2</v>
      </c>
      <c r="D40" s="311">
        <v>7.8E-2</v>
      </c>
      <c r="E40" s="311">
        <v>8.2000000000000003E-2</v>
      </c>
      <c r="F40" s="322"/>
      <c r="G40" s="312">
        <v>7.8E-2</v>
      </c>
    </row>
    <row r="41" spans="1:7">
      <c r="A41" s="321" t="s">
        <v>251</v>
      </c>
      <c r="B41" s="310" t="s">
        <v>2426</v>
      </c>
      <c r="C41" s="311">
        <v>7.8E-2</v>
      </c>
      <c r="D41" s="311">
        <v>7.8E-2</v>
      </c>
      <c r="E41" s="311">
        <v>8.2000000000000003E-2</v>
      </c>
      <c r="F41" s="322"/>
      <c r="G41" s="312">
        <v>8.5999999999999993E-2</v>
      </c>
    </row>
    <row r="42" spans="1:7">
      <c r="A42" s="321" t="s">
        <v>251</v>
      </c>
      <c r="B42" s="310" t="s">
        <v>2436</v>
      </c>
      <c r="C42" s="311">
        <v>7.8E-2</v>
      </c>
      <c r="D42" s="311">
        <v>9.6000000000000002E-2</v>
      </c>
      <c r="E42" s="311">
        <v>7.1999999999999995E-2</v>
      </c>
      <c r="F42" s="322"/>
      <c r="G42" s="312">
        <v>9.8000000000000004E-2</v>
      </c>
    </row>
    <row r="43" spans="1:7">
      <c r="A43" s="321" t="s">
        <v>251</v>
      </c>
      <c r="B43" s="310" t="s">
        <v>2446</v>
      </c>
      <c r="C43" s="311">
        <v>7.8E-2</v>
      </c>
      <c r="D43" s="311">
        <v>9.9000000000000005E-2</v>
      </c>
      <c r="E43" s="311">
        <v>9.6000000000000002E-2</v>
      </c>
      <c r="F43" s="322"/>
      <c r="G43" s="312">
        <v>0.1</v>
      </c>
    </row>
    <row r="44" spans="1:7">
      <c r="A44" s="321" t="s">
        <v>251</v>
      </c>
      <c r="B44" s="310" t="s">
        <v>2456</v>
      </c>
      <c r="C44" s="311">
        <v>9.6000000000000002E-2</v>
      </c>
      <c r="D44" s="311">
        <v>0.1</v>
      </c>
      <c r="E44" s="311">
        <v>9.8000000000000004E-2</v>
      </c>
      <c r="F44" s="322"/>
      <c r="G44" s="312">
        <v>0.1</v>
      </c>
    </row>
    <row r="45" spans="1:7">
      <c r="A45" s="321" t="s">
        <v>251</v>
      </c>
      <c r="B45" s="310" t="s">
        <v>2466</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2485</v>
      </c>
      <c r="C47" s="311">
        <v>9.8000000000000004E-2</v>
      </c>
      <c r="D47" s="311">
        <v>8.6999999999999994E-2</v>
      </c>
      <c r="E47" s="311">
        <v>5.8999999999999997E-2</v>
      </c>
      <c r="F47" s="322"/>
      <c r="G47" s="312">
        <v>9.6000000000000002E-2</v>
      </c>
    </row>
    <row r="48" spans="1:7">
      <c r="A48" s="321" t="s">
        <v>251</v>
      </c>
      <c r="B48" s="310" t="s">
        <v>2495</v>
      </c>
      <c r="C48" s="311">
        <v>9.9000000000000005E-2</v>
      </c>
      <c r="D48" s="311">
        <v>9.8000000000000004E-2</v>
      </c>
      <c r="E48" s="311">
        <v>9.5000000000000001E-2</v>
      </c>
      <c r="F48" s="322"/>
      <c r="G48" s="312">
        <v>9.8000000000000004E-2</v>
      </c>
    </row>
    <row r="49" spans="1:7">
      <c r="A49" s="321" t="s">
        <v>251</v>
      </c>
      <c r="B49" s="310" t="s">
        <v>2505</v>
      </c>
      <c r="C49" s="311">
        <v>8.7999999999999995E-2</v>
      </c>
      <c r="D49" s="311">
        <v>9.9000000000000005E-2</v>
      </c>
      <c r="E49" s="311">
        <v>7.0000000000000007E-2</v>
      </c>
      <c r="F49" s="322"/>
      <c r="G49" s="312">
        <v>0.1</v>
      </c>
    </row>
    <row r="50" spans="1:7">
      <c r="A50" s="321" t="s">
        <v>251</v>
      </c>
      <c r="B50" s="310" t="s">
        <v>2514</v>
      </c>
      <c r="C50" s="311">
        <v>9.8000000000000004E-2</v>
      </c>
      <c r="D50" s="311">
        <v>7.2999999999999995E-2</v>
      </c>
      <c r="E50" s="311">
        <v>7.0999999999999994E-2</v>
      </c>
      <c r="F50" s="322"/>
      <c r="G50" s="312">
        <v>7.2999999999999995E-2</v>
      </c>
    </row>
    <row r="51" spans="1:7">
      <c r="A51" s="321" t="s">
        <v>251</v>
      </c>
      <c r="B51" s="310" t="s">
        <v>2522</v>
      </c>
      <c r="C51" s="311">
        <v>9.9000000000000005E-2</v>
      </c>
      <c r="D51" s="311">
        <v>8.5000000000000006E-2</v>
      </c>
      <c r="E51" s="311">
        <v>6.3E-2</v>
      </c>
      <c r="F51" s="322"/>
      <c r="G51" s="312">
        <v>9.6000000000000002E-2</v>
      </c>
    </row>
    <row r="52" spans="1:7">
      <c r="A52" s="321" t="s">
        <v>251</v>
      </c>
      <c r="B52" s="310" t="s">
        <v>2530</v>
      </c>
      <c r="C52" s="311">
        <v>7.3999999999999996E-2</v>
      </c>
      <c r="D52" s="311">
        <v>9.6000000000000002E-2</v>
      </c>
      <c r="E52" s="311">
        <v>0.05</v>
      </c>
      <c r="F52" s="322"/>
      <c r="G52" s="312">
        <v>9.8000000000000004E-2</v>
      </c>
    </row>
    <row r="53" spans="1:7">
      <c r="A53" s="321" t="s">
        <v>251</v>
      </c>
      <c r="B53" s="310" t="s">
        <v>2538</v>
      </c>
      <c r="C53" s="311">
        <v>8.5999999999999993E-2</v>
      </c>
      <c r="D53" s="322"/>
      <c r="E53" s="311">
        <v>9.1999999999999998E-2</v>
      </c>
      <c r="F53" s="322"/>
      <c r="G53" s="323"/>
    </row>
    <row r="54" spans="1:7">
      <c r="A54" s="324" t="s">
        <v>251</v>
      </c>
      <c r="B54" s="314" t="s">
        <v>2546</v>
      </c>
      <c r="C54" s="315">
        <v>9.6000000000000002E-2</v>
      </c>
      <c r="D54" s="316"/>
      <c r="E54" s="325"/>
      <c r="F54" s="316"/>
      <c r="G54" s="326"/>
    </row>
    <row r="55" spans="1:7">
      <c r="A55" s="320" t="s">
        <v>259</v>
      </c>
      <c r="B55" s="306" t="s">
        <v>2303</v>
      </c>
      <c r="C55" s="307">
        <v>9.6000000000000002E-2</v>
      </c>
      <c r="D55" s="307">
        <v>8.4000000000000005E-2</v>
      </c>
      <c r="E55" s="307">
        <v>9.1999999999999998E-2</v>
      </c>
      <c r="F55" s="307">
        <v>0.1</v>
      </c>
      <c r="G55" s="308">
        <v>9.5000000000000001E-2</v>
      </c>
    </row>
    <row r="56" spans="1:7">
      <c r="A56" s="321" t="s">
        <v>259</v>
      </c>
      <c r="B56" s="310" t="s">
        <v>2316</v>
      </c>
      <c r="C56" s="311">
        <v>8.4000000000000005E-2</v>
      </c>
      <c r="D56" s="311">
        <v>9.1999999999999998E-2</v>
      </c>
      <c r="E56" s="311">
        <v>9.5000000000000001E-2</v>
      </c>
      <c r="F56" s="311">
        <v>9.1999999999999998E-2</v>
      </c>
      <c r="G56" s="312">
        <v>9.6000000000000002E-2</v>
      </c>
    </row>
    <row r="57" spans="1:7">
      <c r="A57" s="321" t="s">
        <v>259</v>
      </c>
      <c r="B57" s="310" t="s">
        <v>2330</v>
      </c>
      <c r="C57" s="311">
        <v>9.9000000000000005E-2</v>
      </c>
      <c r="D57" s="311">
        <v>9.6000000000000002E-2</v>
      </c>
      <c r="E57" s="311">
        <v>9.1999999999999998E-2</v>
      </c>
      <c r="F57" s="311">
        <v>0.1</v>
      </c>
      <c r="G57" s="312">
        <v>9.8000000000000004E-2</v>
      </c>
    </row>
    <row r="58" spans="1:7">
      <c r="A58" s="321" t="s">
        <v>259</v>
      </c>
      <c r="B58" s="310" t="s">
        <v>2342</v>
      </c>
      <c r="C58" s="311">
        <v>9.8000000000000004E-2</v>
      </c>
      <c r="D58" s="311">
        <v>9.5000000000000001E-2</v>
      </c>
      <c r="E58" s="311">
        <v>5.7000000000000002E-2</v>
      </c>
      <c r="F58" s="311">
        <v>0.1</v>
      </c>
      <c r="G58" s="312">
        <v>9.6000000000000002E-2</v>
      </c>
    </row>
    <row r="59" spans="1:7">
      <c r="A59" s="321" t="s">
        <v>259</v>
      </c>
      <c r="B59" s="310" t="s">
        <v>2354</v>
      </c>
      <c r="C59" s="311">
        <v>9.5000000000000001E-2</v>
      </c>
      <c r="D59" s="311">
        <v>0.1</v>
      </c>
      <c r="E59" s="311">
        <v>7.4999999999999997E-2</v>
      </c>
      <c r="F59" s="311">
        <v>0.1</v>
      </c>
      <c r="G59" s="312">
        <v>0.1</v>
      </c>
    </row>
    <row r="60" spans="1:7">
      <c r="A60" s="321" t="s">
        <v>259</v>
      </c>
      <c r="B60" s="310" t="s">
        <v>2365</v>
      </c>
      <c r="C60" s="311">
        <v>0.1</v>
      </c>
      <c r="D60" s="311">
        <v>9.7000000000000003E-2</v>
      </c>
      <c r="E60" s="311">
        <v>0.1</v>
      </c>
      <c r="F60" s="311">
        <v>0.1</v>
      </c>
      <c r="G60" s="312">
        <v>9.7000000000000003E-2</v>
      </c>
    </row>
    <row r="61" spans="1:7">
      <c r="A61" s="321" t="s">
        <v>259</v>
      </c>
      <c r="B61" s="310" t="s">
        <v>2376</v>
      </c>
      <c r="C61" s="311">
        <v>9.7000000000000003E-2</v>
      </c>
      <c r="D61" s="311">
        <v>0.1</v>
      </c>
      <c r="E61" s="311">
        <v>9.2999999999999999E-2</v>
      </c>
      <c r="F61" s="311">
        <v>0.1</v>
      </c>
      <c r="G61" s="312">
        <v>0.1</v>
      </c>
    </row>
    <row r="62" spans="1:7">
      <c r="A62" s="321" t="s">
        <v>259</v>
      </c>
      <c r="B62" s="310" t="s">
        <v>2387</v>
      </c>
      <c r="C62" s="311">
        <v>0.1</v>
      </c>
      <c r="D62" s="311">
        <v>9.7000000000000003E-2</v>
      </c>
      <c r="E62" s="311">
        <v>8.8999999999999996E-2</v>
      </c>
      <c r="F62" s="311">
        <v>0.1</v>
      </c>
      <c r="G62" s="312">
        <v>9.8000000000000004E-2</v>
      </c>
    </row>
    <row r="63" spans="1:7">
      <c r="A63" s="321" t="s">
        <v>259</v>
      </c>
      <c r="B63" s="310" t="s">
        <v>2397</v>
      </c>
      <c r="C63" s="311">
        <v>9.7000000000000003E-2</v>
      </c>
      <c r="D63" s="311">
        <v>9.7000000000000003E-2</v>
      </c>
      <c r="E63" s="311">
        <v>9.9000000000000005E-2</v>
      </c>
      <c r="F63" s="311">
        <v>0.1</v>
      </c>
      <c r="G63" s="312">
        <v>9.7000000000000003E-2</v>
      </c>
    </row>
    <row r="64" spans="1:7">
      <c r="A64" s="321" t="s">
        <v>259</v>
      </c>
      <c r="B64" s="310" t="s">
        <v>2407</v>
      </c>
      <c r="C64" s="311">
        <v>9.7000000000000003E-2</v>
      </c>
      <c r="D64" s="311">
        <v>7.3999999999999996E-2</v>
      </c>
      <c r="E64" s="311">
        <v>7.8E-2</v>
      </c>
      <c r="F64" s="311">
        <v>0.1</v>
      </c>
      <c r="G64" s="312">
        <v>8.8999999999999996E-2</v>
      </c>
    </row>
    <row r="65" spans="1:7">
      <c r="A65" s="321" t="s">
        <v>259</v>
      </c>
      <c r="B65" s="310" t="s">
        <v>2417</v>
      </c>
      <c r="C65" s="311">
        <v>7.2999999999999995E-2</v>
      </c>
      <c r="D65" s="311">
        <v>9.8000000000000004E-2</v>
      </c>
      <c r="E65" s="311">
        <v>9.5000000000000001E-2</v>
      </c>
      <c r="F65" s="311">
        <v>0.1</v>
      </c>
      <c r="G65" s="312">
        <v>9.9000000000000005E-2</v>
      </c>
    </row>
    <row r="66" spans="1:7">
      <c r="A66" s="321" t="s">
        <v>259</v>
      </c>
      <c r="B66" s="310" t="s">
        <v>2427</v>
      </c>
      <c r="C66" s="311">
        <v>9.8000000000000004E-2</v>
      </c>
      <c r="D66" s="311">
        <v>9.5000000000000001E-2</v>
      </c>
      <c r="E66" s="311">
        <v>0.05</v>
      </c>
      <c r="F66" s="311">
        <v>0.1</v>
      </c>
      <c r="G66" s="312">
        <v>9.7000000000000003E-2</v>
      </c>
    </row>
    <row r="67" spans="1:7">
      <c r="A67" s="321" t="s">
        <v>259</v>
      </c>
      <c r="B67" s="310" t="s">
        <v>2437</v>
      </c>
      <c r="C67" s="311">
        <v>9.5000000000000001E-2</v>
      </c>
      <c r="D67" s="311">
        <v>9.7000000000000003E-2</v>
      </c>
      <c r="E67" s="311">
        <v>9.7000000000000003E-2</v>
      </c>
      <c r="F67" s="311">
        <v>0.1</v>
      </c>
      <c r="G67" s="312">
        <v>9.9000000000000005E-2</v>
      </c>
    </row>
    <row r="68" spans="1:7">
      <c r="A68" s="321" t="s">
        <v>259</v>
      </c>
      <c r="B68" s="310" t="s">
        <v>2447</v>
      </c>
      <c r="C68" s="311">
        <v>9.7000000000000003E-2</v>
      </c>
      <c r="D68" s="311">
        <v>6.8000000000000005E-2</v>
      </c>
      <c r="E68" s="311">
        <v>6.6000000000000003E-2</v>
      </c>
      <c r="F68" s="311">
        <v>0.1</v>
      </c>
      <c r="G68" s="312">
        <v>8.4000000000000005E-2</v>
      </c>
    </row>
    <row r="69" spans="1:7">
      <c r="A69" s="321" t="s">
        <v>259</v>
      </c>
      <c r="B69" s="310" t="s">
        <v>2457</v>
      </c>
      <c r="C69" s="311">
        <v>6.8000000000000005E-2</v>
      </c>
      <c r="D69" s="311">
        <v>9.8000000000000004E-2</v>
      </c>
      <c r="E69" s="311">
        <v>9.5000000000000001E-2</v>
      </c>
      <c r="F69" s="311">
        <v>0.1</v>
      </c>
      <c r="G69" s="312">
        <v>0.1</v>
      </c>
    </row>
    <row r="70" spans="1:7">
      <c r="A70" s="321" t="s">
        <v>259</v>
      </c>
      <c r="B70" s="310" t="s">
        <v>2467</v>
      </c>
      <c r="C70" s="311">
        <v>9.8000000000000004E-2</v>
      </c>
      <c r="D70" s="311">
        <v>8.8999999999999996E-2</v>
      </c>
      <c r="E70" s="311">
        <v>5.8999999999999997E-2</v>
      </c>
      <c r="F70" s="311">
        <v>0.1</v>
      </c>
      <c r="G70" s="312">
        <v>9.6000000000000002E-2</v>
      </c>
    </row>
    <row r="71" spans="1:7">
      <c r="A71" s="321" t="s">
        <v>259</v>
      </c>
      <c r="B71" s="310" t="s">
        <v>2476</v>
      </c>
      <c r="C71" s="311">
        <v>8.8999999999999996E-2</v>
      </c>
      <c r="D71" s="311">
        <v>9.9000000000000005E-2</v>
      </c>
      <c r="E71" s="311">
        <v>9.6000000000000002E-2</v>
      </c>
      <c r="F71" s="311">
        <v>0.1</v>
      </c>
      <c r="G71" s="312">
        <v>0.1</v>
      </c>
    </row>
    <row r="72" spans="1:7">
      <c r="A72" s="321" t="s">
        <v>259</v>
      </c>
      <c r="B72" s="310" t="s">
        <v>2486</v>
      </c>
      <c r="C72" s="311">
        <v>9.9000000000000005E-2</v>
      </c>
      <c r="D72" s="311">
        <v>0.1</v>
      </c>
      <c r="E72" s="311">
        <v>7.0000000000000007E-2</v>
      </c>
      <c r="F72" s="322"/>
      <c r="G72" s="312">
        <v>0.1</v>
      </c>
    </row>
    <row r="73" spans="1:7">
      <c r="A73" s="321" t="s">
        <v>259</v>
      </c>
      <c r="B73" s="310" t="s">
        <v>2496</v>
      </c>
      <c r="C73" s="311">
        <v>0.1</v>
      </c>
      <c r="D73" s="311">
        <v>0.1</v>
      </c>
      <c r="E73" s="311">
        <v>9.6000000000000002E-2</v>
      </c>
      <c r="F73" s="322"/>
      <c r="G73" s="312">
        <v>0.1</v>
      </c>
    </row>
    <row r="74" spans="1:7">
      <c r="A74" s="321" t="s">
        <v>259</v>
      </c>
      <c r="B74" s="310" t="s">
        <v>2506</v>
      </c>
      <c r="C74" s="311">
        <v>0.1</v>
      </c>
      <c r="D74" s="311">
        <v>0.1</v>
      </c>
      <c r="E74" s="311">
        <v>9.8000000000000004E-2</v>
      </c>
      <c r="F74" s="322"/>
      <c r="G74" s="312">
        <v>0.1</v>
      </c>
    </row>
    <row r="75" spans="1:7">
      <c r="A75" s="321" t="s">
        <v>259</v>
      </c>
      <c r="B75" s="310" t="s">
        <v>2515</v>
      </c>
      <c r="C75" s="311">
        <v>0.1</v>
      </c>
      <c r="D75" s="311">
        <v>9.9000000000000005E-2</v>
      </c>
      <c r="E75" s="311">
        <v>9.8000000000000004E-2</v>
      </c>
      <c r="F75" s="322"/>
      <c r="G75" s="312">
        <v>0.1</v>
      </c>
    </row>
    <row r="76" spans="1:7">
      <c r="A76" s="321" t="s">
        <v>259</v>
      </c>
      <c r="B76" s="310" t="s">
        <v>2523</v>
      </c>
      <c r="C76" s="311">
        <v>9.9000000000000005E-2</v>
      </c>
      <c r="D76" s="311">
        <v>0.1</v>
      </c>
      <c r="E76" s="311">
        <v>9.7000000000000003E-2</v>
      </c>
      <c r="F76" s="322"/>
      <c r="G76" s="312">
        <v>0.1</v>
      </c>
    </row>
    <row r="77" spans="1:7">
      <c r="A77" s="321" t="s">
        <v>259</v>
      </c>
      <c r="B77" s="310" t="s">
        <v>2531</v>
      </c>
      <c r="C77" s="311">
        <v>0.1</v>
      </c>
      <c r="D77" s="311">
        <v>0.1</v>
      </c>
      <c r="E77" s="311">
        <v>9.6000000000000002E-2</v>
      </c>
      <c r="F77" s="322"/>
      <c r="G77" s="312">
        <v>0.1</v>
      </c>
    </row>
    <row r="78" spans="1:7">
      <c r="A78" s="321" t="s">
        <v>259</v>
      </c>
      <c r="B78" s="310" t="s">
        <v>2539</v>
      </c>
      <c r="C78" s="311">
        <v>0.1</v>
      </c>
      <c r="D78" s="311">
        <v>8.5000000000000006E-2</v>
      </c>
      <c r="E78" s="311">
        <v>9.6000000000000002E-2</v>
      </c>
      <c r="F78" s="322"/>
      <c r="G78" s="312">
        <v>9.6000000000000002E-2</v>
      </c>
    </row>
    <row r="79" spans="1:7">
      <c r="A79" s="321" t="s">
        <v>259</v>
      </c>
      <c r="B79" s="310" t="s">
        <v>2547</v>
      </c>
      <c r="C79" s="311">
        <v>0.05</v>
      </c>
      <c r="D79" s="311">
        <v>9.6000000000000002E-2</v>
      </c>
      <c r="E79" s="311">
        <v>9.5000000000000001E-2</v>
      </c>
      <c r="F79" s="322"/>
      <c r="G79" s="312">
        <v>9.8000000000000004E-2</v>
      </c>
    </row>
    <row r="80" spans="1:7">
      <c r="A80" s="321" t="s">
        <v>259</v>
      </c>
      <c r="B80" s="310" t="s">
        <v>2554</v>
      </c>
      <c r="C80" s="311">
        <v>8.5999999999999993E-2</v>
      </c>
      <c r="D80" s="327"/>
      <c r="E80" s="311">
        <v>0.1</v>
      </c>
      <c r="F80" s="322"/>
      <c r="G80" s="323"/>
    </row>
    <row r="81" spans="1:7">
      <c r="A81" s="321" t="s">
        <v>259</v>
      </c>
      <c r="B81" s="310" t="s">
        <v>2561</v>
      </c>
      <c r="C81" s="311">
        <v>9.6000000000000002E-2</v>
      </c>
      <c r="D81" s="322"/>
      <c r="E81" s="311">
        <v>9.8000000000000004E-2</v>
      </c>
      <c r="F81" s="322"/>
      <c r="G81" s="323"/>
    </row>
    <row r="82" spans="1:7">
      <c r="A82" s="321" t="s">
        <v>259</v>
      </c>
      <c r="B82" s="310" t="s">
        <v>2568</v>
      </c>
      <c r="C82" s="327"/>
      <c r="D82" s="322"/>
      <c r="E82" s="311">
        <v>7.6999999999999999E-2</v>
      </c>
      <c r="F82" s="322"/>
      <c r="G82" s="323"/>
    </row>
    <row r="83" spans="1:7">
      <c r="A83" s="321" t="s">
        <v>259</v>
      </c>
      <c r="B83" s="310" t="s">
        <v>2575</v>
      </c>
      <c r="C83" s="322"/>
      <c r="D83" s="322"/>
      <c r="E83" s="322"/>
      <c r="F83" s="311">
        <v>0.1</v>
      </c>
      <c r="G83" s="328"/>
    </row>
    <row r="84" spans="1:7">
      <c r="A84" s="321" t="s">
        <v>259</v>
      </c>
      <c r="B84" s="310" t="s">
        <v>2582</v>
      </c>
      <c r="C84" s="322"/>
      <c r="D84" s="322"/>
      <c r="E84" s="322"/>
      <c r="F84" s="311">
        <v>0.1</v>
      </c>
      <c r="G84" s="328"/>
    </row>
    <row r="85" spans="1:7">
      <c r="A85" s="321" t="s">
        <v>259</v>
      </c>
      <c r="B85" s="310" t="s">
        <v>2589</v>
      </c>
      <c r="C85" s="322"/>
      <c r="D85" s="322"/>
      <c r="E85" s="322"/>
      <c r="F85" s="311">
        <v>0.1</v>
      </c>
      <c r="G85" s="328"/>
    </row>
    <row r="86" spans="1:7">
      <c r="A86" s="324" t="s">
        <v>259</v>
      </c>
      <c r="B86" s="314" t="s">
        <v>2596</v>
      </c>
      <c r="C86" s="315">
        <v>9.8000000000000004E-2</v>
      </c>
      <c r="D86" s="315">
        <v>9.8000000000000004E-2</v>
      </c>
      <c r="E86" s="315">
        <v>9.6000000000000002E-2</v>
      </c>
      <c r="F86" s="325"/>
      <c r="G86" s="317">
        <v>0.1</v>
      </c>
    </row>
    <row r="87" spans="1:7">
      <c r="A87" s="320" t="s">
        <v>267</v>
      </c>
      <c r="B87" s="306" t="s">
        <v>2304</v>
      </c>
      <c r="C87" s="307">
        <v>0.1</v>
      </c>
      <c r="D87" s="307">
        <v>0.1</v>
      </c>
      <c r="E87" s="307">
        <v>9.8000000000000004E-2</v>
      </c>
      <c r="F87" s="307">
        <v>0.1</v>
      </c>
      <c r="G87" s="308">
        <v>0.1</v>
      </c>
    </row>
    <row r="88" spans="1:7">
      <c r="A88" s="321" t="s">
        <v>267</v>
      </c>
      <c r="B88" s="310" t="s">
        <v>2317</v>
      </c>
      <c r="C88" s="311">
        <v>9.0999999999999998E-2</v>
      </c>
      <c r="D88" s="311">
        <v>9.1999999999999998E-2</v>
      </c>
      <c r="E88" s="311">
        <v>0.1</v>
      </c>
      <c r="F88" s="311">
        <v>0.1</v>
      </c>
      <c r="G88" s="312">
        <v>9.6000000000000002E-2</v>
      </c>
    </row>
    <row r="89" spans="1:7">
      <c r="A89" s="321" t="s">
        <v>267</v>
      </c>
      <c r="B89" s="310" t="s">
        <v>2331</v>
      </c>
      <c r="C89" s="311">
        <v>0.1</v>
      </c>
      <c r="D89" s="311">
        <v>0.1</v>
      </c>
      <c r="E89" s="311">
        <v>6.7000000000000004E-2</v>
      </c>
      <c r="F89" s="311">
        <v>9.2999999999999999E-2</v>
      </c>
      <c r="G89" s="312">
        <v>0.1</v>
      </c>
    </row>
    <row r="90" spans="1:7">
      <c r="A90" s="321" t="s">
        <v>267</v>
      </c>
      <c r="B90" s="310" t="s">
        <v>2343</v>
      </c>
      <c r="C90" s="311">
        <v>9.6000000000000002E-2</v>
      </c>
      <c r="D90" s="311">
        <v>9.6000000000000002E-2</v>
      </c>
      <c r="E90" s="311">
        <v>0.1</v>
      </c>
      <c r="F90" s="311">
        <v>0.1</v>
      </c>
      <c r="G90" s="312">
        <v>9.8000000000000004E-2</v>
      </c>
    </row>
    <row r="91" spans="1:7">
      <c r="A91" s="321" t="s">
        <v>267</v>
      </c>
      <c r="B91" s="310" t="s">
        <v>2355</v>
      </c>
      <c r="C91" s="311">
        <v>7.6999999999999999E-2</v>
      </c>
      <c r="D91" s="311">
        <v>7.6999999999999999E-2</v>
      </c>
      <c r="E91" s="311">
        <v>9.6000000000000002E-2</v>
      </c>
      <c r="F91" s="311">
        <v>0.1</v>
      </c>
      <c r="G91" s="312">
        <v>7.6999999999999999E-2</v>
      </c>
    </row>
    <row r="92" spans="1:7">
      <c r="A92" s="321" t="s">
        <v>267</v>
      </c>
      <c r="B92" s="310" t="s">
        <v>2366</v>
      </c>
      <c r="C92" s="311">
        <v>0.1</v>
      </c>
      <c r="D92" s="311">
        <v>0.1</v>
      </c>
      <c r="E92" s="311">
        <v>9.1999999999999998E-2</v>
      </c>
      <c r="F92" s="311">
        <v>0.1</v>
      </c>
      <c r="G92" s="312">
        <v>0.1</v>
      </c>
    </row>
    <row r="93" spans="1:7">
      <c r="A93" s="321" t="s">
        <v>267</v>
      </c>
      <c r="B93" s="310" t="s">
        <v>2377</v>
      </c>
      <c r="C93" s="311">
        <v>9.8000000000000004E-2</v>
      </c>
      <c r="D93" s="311">
        <v>9.8000000000000004E-2</v>
      </c>
      <c r="E93" s="311">
        <v>9.6000000000000002E-2</v>
      </c>
      <c r="F93" s="311">
        <v>0.1</v>
      </c>
      <c r="G93" s="312">
        <v>9.9000000000000005E-2</v>
      </c>
    </row>
    <row r="94" spans="1:7">
      <c r="A94" s="321" t="s">
        <v>267</v>
      </c>
      <c r="B94" s="310" t="s">
        <v>2388</v>
      </c>
      <c r="C94" s="311">
        <v>8.7999999999999995E-2</v>
      </c>
      <c r="D94" s="311">
        <v>8.7999999999999995E-2</v>
      </c>
      <c r="E94" s="311">
        <v>9.6000000000000002E-2</v>
      </c>
      <c r="F94" s="311">
        <v>0.1</v>
      </c>
      <c r="G94" s="312">
        <v>8.7999999999999995E-2</v>
      </c>
    </row>
    <row r="95" spans="1:7">
      <c r="A95" s="321" t="s">
        <v>267</v>
      </c>
      <c r="B95" s="310" t="s">
        <v>2398</v>
      </c>
      <c r="C95" s="311">
        <v>9.6000000000000002E-2</v>
      </c>
      <c r="D95" s="311">
        <v>9.6000000000000002E-2</v>
      </c>
      <c r="E95" s="311">
        <v>0.1</v>
      </c>
      <c r="F95" s="311">
        <v>0.1</v>
      </c>
      <c r="G95" s="312">
        <v>9.8000000000000004E-2</v>
      </c>
    </row>
    <row r="96" spans="1:7">
      <c r="A96" s="321" t="s">
        <v>267</v>
      </c>
      <c r="B96" s="310" t="s">
        <v>2408</v>
      </c>
      <c r="C96" s="311">
        <v>9.7000000000000003E-2</v>
      </c>
      <c r="D96" s="311">
        <v>9.7000000000000003E-2</v>
      </c>
      <c r="E96" s="311">
        <v>0.1</v>
      </c>
      <c r="F96" s="311">
        <v>0.1</v>
      </c>
      <c r="G96" s="312">
        <v>9.8000000000000004E-2</v>
      </c>
    </row>
    <row r="97" spans="1:7">
      <c r="A97" s="321" t="s">
        <v>267</v>
      </c>
      <c r="B97" s="310" t="s">
        <v>2418</v>
      </c>
      <c r="C97" s="311">
        <v>9.6000000000000002E-2</v>
      </c>
      <c r="D97" s="311">
        <v>9.6000000000000002E-2</v>
      </c>
      <c r="E97" s="311">
        <v>9.9000000000000005E-2</v>
      </c>
      <c r="F97" s="311">
        <v>0.1</v>
      </c>
      <c r="G97" s="312">
        <v>9.8000000000000004E-2</v>
      </c>
    </row>
    <row r="98" spans="1:7">
      <c r="A98" s="321" t="s">
        <v>267</v>
      </c>
      <c r="B98" s="310" t="s">
        <v>2428</v>
      </c>
      <c r="C98" s="311">
        <v>9.8000000000000004E-2</v>
      </c>
      <c r="D98" s="311">
        <v>9.8000000000000004E-2</v>
      </c>
      <c r="E98" s="311">
        <v>0.1</v>
      </c>
      <c r="F98" s="311">
        <v>0.1</v>
      </c>
      <c r="G98" s="312">
        <v>9.9000000000000005E-2</v>
      </c>
    </row>
    <row r="99" spans="1:7">
      <c r="A99" s="321" t="s">
        <v>267</v>
      </c>
      <c r="B99" s="310" t="s">
        <v>2438</v>
      </c>
      <c r="C99" s="311">
        <v>9.6000000000000002E-2</v>
      </c>
      <c r="D99" s="311">
        <v>9.6000000000000002E-2</v>
      </c>
      <c r="E99" s="311">
        <v>0.1</v>
      </c>
      <c r="F99" s="311">
        <v>0.1</v>
      </c>
      <c r="G99" s="312">
        <v>9.7000000000000003E-2</v>
      </c>
    </row>
    <row r="100" spans="1:7">
      <c r="A100" s="321" t="s">
        <v>267</v>
      </c>
      <c r="B100" s="310" t="s">
        <v>2448</v>
      </c>
      <c r="C100" s="311">
        <v>0.1</v>
      </c>
      <c r="D100" s="311">
        <v>0.1</v>
      </c>
      <c r="E100" s="311">
        <v>9.7000000000000003E-2</v>
      </c>
      <c r="F100" s="311">
        <v>9.8000000000000004E-2</v>
      </c>
      <c r="G100" s="312">
        <v>0.1</v>
      </c>
    </row>
    <row r="101" spans="1:7">
      <c r="A101" s="321" t="s">
        <v>267</v>
      </c>
      <c r="B101" s="310" t="s">
        <v>2458</v>
      </c>
      <c r="C101" s="311">
        <v>0.1</v>
      </c>
      <c r="D101" s="311">
        <v>0.1</v>
      </c>
      <c r="E101" s="311">
        <v>9.5000000000000001E-2</v>
      </c>
      <c r="F101" s="311">
        <v>0.1</v>
      </c>
      <c r="G101" s="312">
        <v>0.1</v>
      </c>
    </row>
    <row r="102" spans="1:7">
      <c r="A102" s="321" t="s">
        <v>267</v>
      </c>
      <c r="B102" s="310" t="s">
        <v>2468</v>
      </c>
      <c r="C102" s="311">
        <v>0.1</v>
      </c>
      <c r="D102" s="311">
        <v>0.1</v>
      </c>
      <c r="E102" s="311">
        <v>9.9000000000000005E-2</v>
      </c>
      <c r="F102" s="311">
        <v>9.7000000000000003E-2</v>
      </c>
      <c r="G102" s="312">
        <v>0.1</v>
      </c>
    </row>
    <row r="103" spans="1:7">
      <c r="A103" s="321" t="s">
        <v>267</v>
      </c>
      <c r="B103" s="310" t="s">
        <v>2477</v>
      </c>
      <c r="C103" s="311">
        <v>0.1</v>
      </c>
      <c r="D103" s="311">
        <v>0.1</v>
      </c>
      <c r="E103" s="311">
        <v>9.8000000000000004E-2</v>
      </c>
      <c r="F103" s="311">
        <v>0.1</v>
      </c>
      <c r="G103" s="312">
        <v>0.1</v>
      </c>
    </row>
    <row r="104" spans="1:7">
      <c r="A104" s="321" t="s">
        <v>267</v>
      </c>
      <c r="B104" s="310" t="s">
        <v>2487</v>
      </c>
      <c r="C104" s="311">
        <v>0.1</v>
      </c>
      <c r="D104" s="311">
        <v>0.1</v>
      </c>
      <c r="E104" s="311">
        <v>9.8000000000000004E-2</v>
      </c>
      <c r="F104" s="311">
        <v>0.1</v>
      </c>
      <c r="G104" s="312">
        <v>0.1</v>
      </c>
    </row>
    <row r="105" spans="1:7">
      <c r="A105" s="321" t="s">
        <v>267</v>
      </c>
      <c r="B105" s="310" t="s">
        <v>2497</v>
      </c>
      <c r="C105" s="311">
        <v>9.8000000000000004E-2</v>
      </c>
      <c r="D105" s="311">
        <v>9.8000000000000004E-2</v>
      </c>
      <c r="E105" s="311">
        <v>9.8000000000000004E-2</v>
      </c>
      <c r="F105" s="311">
        <v>0.1</v>
      </c>
      <c r="G105" s="312">
        <v>9.9000000000000005E-2</v>
      </c>
    </row>
    <row r="106" spans="1:7">
      <c r="A106" s="321" t="s">
        <v>267</v>
      </c>
      <c r="B106" s="310" t="s">
        <v>2507</v>
      </c>
      <c r="C106" s="311">
        <v>9.7000000000000003E-2</v>
      </c>
      <c r="D106" s="311">
        <v>9.7000000000000003E-2</v>
      </c>
      <c r="E106" s="311">
        <v>9.7000000000000003E-2</v>
      </c>
      <c r="F106" s="311">
        <v>0.1</v>
      </c>
      <c r="G106" s="312">
        <v>9.9000000000000005E-2</v>
      </c>
    </row>
    <row r="107" spans="1:7">
      <c r="A107" s="321" t="s">
        <v>267</v>
      </c>
      <c r="B107" s="310" t="s">
        <v>2516</v>
      </c>
      <c r="C107" s="311">
        <v>0.1</v>
      </c>
      <c r="D107" s="311">
        <v>0.1</v>
      </c>
      <c r="E107" s="311">
        <v>8.5999999999999993E-2</v>
      </c>
      <c r="F107" s="311">
        <v>0.09</v>
      </c>
      <c r="G107" s="312">
        <v>0.1</v>
      </c>
    </row>
    <row r="108" spans="1:7">
      <c r="A108" s="321" t="s">
        <v>267</v>
      </c>
      <c r="B108" s="310" t="s">
        <v>2524</v>
      </c>
      <c r="C108" s="311">
        <v>0.1</v>
      </c>
      <c r="D108" s="311">
        <v>0.1</v>
      </c>
      <c r="E108" s="311">
        <v>9.6000000000000002E-2</v>
      </c>
      <c r="F108" s="322"/>
      <c r="G108" s="312">
        <v>0.1</v>
      </c>
    </row>
    <row r="109" spans="1:7">
      <c r="A109" s="321" t="s">
        <v>267</v>
      </c>
      <c r="B109" s="310" t="s">
        <v>2532</v>
      </c>
      <c r="C109" s="311">
        <v>0.1</v>
      </c>
      <c r="D109" s="311">
        <v>0.1</v>
      </c>
      <c r="E109" s="311">
        <v>0.1</v>
      </c>
      <c r="F109" s="322"/>
      <c r="G109" s="312">
        <v>0.1</v>
      </c>
    </row>
    <row r="110" spans="1:7">
      <c r="A110" s="321" t="s">
        <v>267</v>
      </c>
      <c r="B110" s="310" t="s">
        <v>2540</v>
      </c>
      <c r="C110" s="311">
        <v>0.1</v>
      </c>
      <c r="D110" s="311">
        <v>0.1</v>
      </c>
      <c r="E110" s="311">
        <v>0.1</v>
      </c>
      <c r="F110" s="322"/>
      <c r="G110" s="312">
        <v>0.1</v>
      </c>
    </row>
    <row r="111" spans="1:7">
      <c r="A111" s="321" t="s">
        <v>267</v>
      </c>
      <c r="B111" s="310" t="s">
        <v>2548</v>
      </c>
      <c r="C111" s="311">
        <v>0.1</v>
      </c>
      <c r="D111" s="311">
        <v>0.1</v>
      </c>
      <c r="E111" s="311">
        <v>9.5000000000000001E-2</v>
      </c>
      <c r="F111" s="322"/>
      <c r="G111" s="312">
        <v>0.1</v>
      </c>
    </row>
    <row r="112" spans="1:7">
      <c r="A112" s="321" t="s">
        <v>267</v>
      </c>
      <c r="B112" s="310" t="s">
        <v>2555</v>
      </c>
      <c r="C112" s="311">
        <v>9.7000000000000003E-2</v>
      </c>
      <c r="D112" s="311">
        <v>9.7000000000000003E-2</v>
      </c>
      <c r="E112" s="311">
        <v>0.05</v>
      </c>
      <c r="F112" s="322"/>
      <c r="G112" s="312">
        <v>9.8000000000000004E-2</v>
      </c>
    </row>
    <row r="113" spans="1:7">
      <c r="A113" s="321" t="s">
        <v>267</v>
      </c>
      <c r="B113" s="310" t="s">
        <v>2562</v>
      </c>
      <c r="C113" s="311">
        <v>0.1</v>
      </c>
      <c r="D113" s="311">
        <v>0.1</v>
      </c>
      <c r="E113" s="322"/>
      <c r="F113" s="322"/>
      <c r="G113" s="312">
        <v>0.1</v>
      </c>
    </row>
    <row r="114" spans="1:7">
      <c r="A114" s="321" t="s">
        <v>267</v>
      </c>
      <c r="B114" s="310" t="s">
        <v>2569</v>
      </c>
      <c r="C114" s="311">
        <v>9.7000000000000003E-2</v>
      </c>
      <c r="D114" s="311">
        <v>9.7000000000000003E-2</v>
      </c>
      <c r="E114" s="322"/>
      <c r="F114" s="322"/>
      <c r="G114" s="312">
        <v>9.9000000000000005E-2</v>
      </c>
    </row>
    <row r="115" spans="1:7">
      <c r="A115" s="321" t="s">
        <v>267</v>
      </c>
      <c r="B115" s="310" t="s">
        <v>2576</v>
      </c>
      <c r="C115" s="311">
        <v>0.1</v>
      </c>
      <c r="D115" s="311">
        <v>0.1</v>
      </c>
      <c r="E115" s="322"/>
      <c r="F115" s="322"/>
      <c r="G115" s="312">
        <v>0.1</v>
      </c>
    </row>
    <row r="116" spans="1:7">
      <c r="A116" s="321" t="s">
        <v>267</v>
      </c>
      <c r="B116" s="310" t="s">
        <v>2583</v>
      </c>
      <c r="C116" s="311">
        <v>0.1</v>
      </c>
      <c r="D116" s="311">
        <v>0.1</v>
      </c>
      <c r="E116" s="322"/>
      <c r="F116" s="322"/>
      <c r="G116" s="312">
        <v>0.1</v>
      </c>
    </row>
    <row r="117" spans="1:7">
      <c r="A117" s="321" t="s">
        <v>267</v>
      </c>
      <c r="B117" s="310" t="s">
        <v>2590</v>
      </c>
      <c r="C117" s="311">
        <v>9.7000000000000003E-2</v>
      </c>
      <c r="D117" s="311">
        <v>9.7000000000000003E-2</v>
      </c>
      <c r="E117" s="322"/>
      <c r="F117" s="322"/>
      <c r="G117" s="312">
        <v>9.7000000000000003E-2</v>
      </c>
    </row>
    <row r="118" spans="1:7">
      <c r="A118" s="321" t="s">
        <v>267</v>
      </c>
      <c r="B118" s="310" t="s">
        <v>2597</v>
      </c>
      <c r="C118" s="311">
        <v>0.1</v>
      </c>
      <c r="D118" s="311">
        <v>0.1</v>
      </c>
      <c r="E118" s="322"/>
      <c r="F118" s="322"/>
      <c r="G118" s="312">
        <v>0.1</v>
      </c>
    </row>
    <row r="119" spans="1:7">
      <c r="A119" s="321" t="s">
        <v>267</v>
      </c>
      <c r="B119" s="310" t="s">
        <v>2602</v>
      </c>
      <c r="C119" s="311">
        <v>5.0999999999999997E-2</v>
      </c>
      <c r="D119" s="311">
        <v>5.1999999999999998E-2</v>
      </c>
      <c r="E119" s="322"/>
      <c r="F119" s="327"/>
      <c r="G119" s="312">
        <v>0.06</v>
      </c>
    </row>
    <row r="120" spans="1:7">
      <c r="A120" s="321" t="s">
        <v>267</v>
      </c>
      <c r="B120" s="310" t="s">
        <v>2607</v>
      </c>
      <c r="C120" s="322"/>
      <c r="D120" s="322"/>
      <c r="E120" s="322"/>
      <c r="F120" s="311">
        <v>0.1</v>
      </c>
      <c r="G120" s="328"/>
    </row>
    <row r="121" spans="1:7">
      <c r="A121" s="321" t="s">
        <v>267</v>
      </c>
      <c r="B121" s="310" t="s">
        <v>2612</v>
      </c>
      <c r="C121" s="322"/>
      <c r="D121" s="322"/>
      <c r="E121" s="322"/>
      <c r="F121" s="311">
        <v>0.1</v>
      </c>
      <c r="G121" s="328"/>
    </row>
    <row r="122" spans="1:7">
      <c r="A122" s="321" t="s">
        <v>267</v>
      </c>
      <c r="B122" s="310" t="s">
        <v>2617</v>
      </c>
      <c r="C122" s="311">
        <v>0.1</v>
      </c>
      <c r="D122" s="311">
        <v>0.1</v>
      </c>
      <c r="E122" s="311">
        <v>9.8000000000000004E-2</v>
      </c>
      <c r="F122" s="311">
        <v>0.1</v>
      </c>
      <c r="G122" s="312">
        <v>0.1</v>
      </c>
    </row>
    <row r="123" spans="1:7">
      <c r="A123" s="321" t="s">
        <v>267</v>
      </c>
      <c r="B123" s="310" t="s">
        <v>2622</v>
      </c>
      <c r="C123" s="311">
        <v>0.1</v>
      </c>
      <c r="D123" s="311">
        <v>0.1</v>
      </c>
      <c r="E123" s="311">
        <v>9.8000000000000004E-2</v>
      </c>
      <c r="F123" s="311">
        <v>0.1</v>
      </c>
      <c r="G123" s="312">
        <v>0.1</v>
      </c>
    </row>
    <row r="124" spans="1:7">
      <c r="A124" s="321" t="s">
        <v>267</v>
      </c>
      <c r="B124" s="310" t="s">
        <v>2627</v>
      </c>
      <c r="C124" s="311">
        <v>0.1</v>
      </c>
      <c r="D124" s="311">
        <v>0.1</v>
      </c>
      <c r="E124" s="311">
        <v>9.8000000000000004E-2</v>
      </c>
      <c r="F124" s="327"/>
      <c r="G124" s="312">
        <v>0.1</v>
      </c>
    </row>
    <row r="125" spans="1:7">
      <c r="A125" s="321" t="s">
        <v>267</v>
      </c>
      <c r="B125" s="310" t="s">
        <v>2632</v>
      </c>
      <c r="C125" s="311">
        <v>9.8000000000000004E-2</v>
      </c>
      <c r="D125" s="311">
        <v>9.8000000000000004E-2</v>
      </c>
      <c r="E125" s="311">
        <v>9.6000000000000002E-2</v>
      </c>
      <c r="F125" s="327"/>
      <c r="G125" s="312">
        <v>0.1</v>
      </c>
    </row>
    <row r="126" spans="1:7">
      <c r="A126" s="324" t="s">
        <v>267</v>
      </c>
      <c r="B126" s="314" t="s">
        <v>2637</v>
      </c>
      <c r="C126" s="315">
        <v>0.1</v>
      </c>
      <c r="D126" s="315">
        <v>0.1</v>
      </c>
      <c r="E126" s="315">
        <v>9.8000000000000004E-2</v>
      </c>
      <c r="F126" s="315">
        <v>0.1</v>
      </c>
      <c r="G126" s="317">
        <v>0.1</v>
      </c>
    </row>
    <row r="127" spans="1:7">
      <c r="A127" s="320" t="s">
        <v>273</v>
      </c>
      <c r="B127" s="306" t="s">
        <v>2305</v>
      </c>
      <c r="C127" s="307">
        <v>0.121</v>
      </c>
      <c r="D127" s="307">
        <v>0.121</v>
      </c>
      <c r="E127" s="307">
        <v>0.107</v>
      </c>
      <c r="F127" s="307">
        <v>0.13</v>
      </c>
      <c r="G127" s="308">
        <v>0.122</v>
      </c>
    </row>
    <row r="128" spans="1:7">
      <c r="A128" s="321" t="s">
        <v>273</v>
      </c>
      <c r="B128" s="310" t="s">
        <v>2318</v>
      </c>
      <c r="C128" s="311">
        <v>0.11600000000000001</v>
      </c>
      <c r="D128" s="311">
        <v>0.11700000000000001</v>
      </c>
      <c r="E128" s="311">
        <v>0.104</v>
      </c>
      <c r="F128" s="311">
        <v>0.13</v>
      </c>
      <c r="G128" s="312">
        <v>0.11700000000000001</v>
      </c>
    </row>
    <row r="129" spans="1:7">
      <c r="A129" s="321" t="s">
        <v>273</v>
      </c>
      <c r="B129" s="310" t="s">
        <v>2332</v>
      </c>
      <c r="C129" s="311">
        <v>0.107</v>
      </c>
      <c r="D129" s="311">
        <v>0.108</v>
      </c>
      <c r="E129" s="311">
        <v>0.1</v>
      </c>
      <c r="F129" s="311">
        <v>0.13</v>
      </c>
      <c r="G129" s="312">
        <v>0.11700000000000001</v>
      </c>
    </row>
    <row r="130" spans="1:7">
      <c r="A130" s="321" t="s">
        <v>273</v>
      </c>
      <c r="B130" s="310" t="s">
        <v>2344</v>
      </c>
      <c r="C130" s="311">
        <v>0.13</v>
      </c>
      <c r="D130" s="311">
        <v>0.13</v>
      </c>
      <c r="E130" s="311">
        <v>0.126</v>
      </c>
      <c r="F130" s="311">
        <v>0.13</v>
      </c>
      <c r="G130" s="312">
        <v>0.13</v>
      </c>
    </row>
    <row r="131" spans="1:7">
      <c r="A131" s="321" t="s">
        <v>273</v>
      </c>
      <c r="B131" s="310" t="s">
        <v>2356</v>
      </c>
      <c r="C131" s="311">
        <v>0.13</v>
      </c>
      <c r="D131" s="311">
        <v>0.13</v>
      </c>
      <c r="E131" s="311">
        <v>0.13</v>
      </c>
      <c r="F131" s="311">
        <v>0.13</v>
      </c>
      <c r="G131" s="312">
        <v>0.13</v>
      </c>
    </row>
    <row r="132" spans="1:7">
      <c r="A132" s="321" t="s">
        <v>273</v>
      </c>
      <c r="B132" s="310" t="s">
        <v>2367</v>
      </c>
      <c r="C132" s="311">
        <v>0.13</v>
      </c>
      <c r="D132" s="311">
        <v>0.13</v>
      </c>
      <c r="E132" s="311">
        <v>0.126</v>
      </c>
      <c r="F132" s="311">
        <v>0.13</v>
      </c>
      <c r="G132" s="312">
        <v>0.13</v>
      </c>
    </row>
    <row r="133" spans="1:7">
      <c r="A133" s="321" t="s">
        <v>273</v>
      </c>
      <c r="B133" s="310" t="s">
        <v>2378</v>
      </c>
      <c r="C133" s="311">
        <v>0.111</v>
      </c>
      <c r="D133" s="311">
        <v>0.111</v>
      </c>
      <c r="E133" s="311">
        <v>0.10199999999999999</v>
      </c>
      <c r="F133" s="311">
        <v>0.13</v>
      </c>
      <c r="G133" s="312">
        <v>0.121</v>
      </c>
    </row>
    <row r="134" spans="1:7">
      <c r="A134" s="321" t="s">
        <v>273</v>
      </c>
      <c r="B134" s="310" t="s">
        <v>2389</v>
      </c>
      <c r="C134" s="311">
        <v>0.121</v>
      </c>
      <c r="D134" s="311">
        <v>0.121</v>
      </c>
      <c r="E134" s="311">
        <v>0.1</v>
      </c>
      <c r="F134" s="311">
        <v>0.13</v>
      </c>
      <c r="G134" s="312">
        <v>0.123</v>
      </c>
    </row>
    <row r="135" spans="1:7">
      <c r="A135" s="321" t="s">
        <v>273</v>
      </c>
      <c r="B135" s="310" t="s">
        <v>2399</v>
      </c>
      <c r="C135" s="311">
        <v>0.105</v>
      </c>
      <c r="D135" s="311">
        <v>0.106</v>
      </c>
      <c r="E135" s="311">
        <v>0.1</v>
      </c>
      <c r="F135" s="311">
        <v>0.13</v>
      </c>
      <c r="G135" s="312">
        <v>0.115</v>
      </c>
    </row>
    <row r="136" spans="1:7">
      <c r="A136" s="321" t="s">
        <v>273</v>
      </c>
      <c r="B136" s="310" t="s">
        <v>2409</v>
      </c>
      <c r="C136" s="311">
        <v>0.127</v>
      </c>
      <c r="D136" s="311">
        <v>0.127</v>
      </c>
      <c r="E136" s="311">
        <v>0.121</v>
      </c>
      <c r="F136" s="311">
        <v>0.123</v>
      </c>
      <c r="G136" s="312">
        <v>0.129</v>
      </c>
    </row>
    <row r="137" spans="1:7">
      <c r="A137" s="321" t="s">
        <v>273</v>
      </c>
      <c r="B137" s="310" t="s">
        <v>2419</v>
      </c>
      <c r="C137" s="311">
        <v>0.13</v>
      </c>
      <c r="D137" s="311">
        <v>0.13</v>
      </c>
      <c r="E137" s="311">
        <v>0.129</v>
      </c>
      <c r="F137" s="311">
        <v>0.13</v>
      </c>
      <c r="G137" s="312">
        <v>0.13</v>
      </c>
    </row>
    <row r="138" spans="1:7">
      <c r="A138" s="321" t="s">
        <v>273</v>
      </c>
      <c r="B138" s="310" t="s">
        <v>2429</v>
      </c>
      <c r="C138" s="311">
        <v>0.13</v>
      </c>
      <c r="D138" s="311">
        <v>0.13</v>
      </c>
      <c r="E138" s="311">
        <v>0.125</v>
      </c>
      <c r="F138" s="311">
        <v>0.13</v>
      </c>
      <c r="G138" s="312">
        <v>0.13</v>
      </c>
    </row>
    <row r="139" spans="1:7">
      <c r="A139" s="321" t="s">
        <v>273</v>
      </c>
      <c r="B139" s="310" t="s">
        <v>2439</v>
      </c>
      <c r="C139" s="311">
        <v>0.13</v>
      </c>
      <c r="D139" s="311">
        <v>0.13</v>
      </c>
      <c r="E139" s="311">
        <v>0.126</v>
      </c>
      <c r="F139" s="311">
        <v>0.13</v>
      </c>
      <c r="G139" s="312">
        <v>0.13</v>
      </c>
    </row>
    <row r="140" spans="1:7">
      <c r="A140" s="321" t="s">
        <v>273</v>
      </c>
      <c r="B140" s="310" t="s">
        <v>2449</v>
      </c>
      <c r="C140" s="311">
        <v>0.1</v>
      </c>
      <c r="D140" s="311">
        <v>0.1</v>
      </c>
      <c r="E140" s="311">
        <v>0.1</v>
      </c>
      <c r="F140" s="311">
        <v>0.123</v>
      </c>
      <c r="G140" s="312">
        <v>0.107</v>
      </c>
    </row>
    <row r="141" spans="1:7">
      <c r="A141" s="321" t="s">
        <v>273</v>
      </c>
      <c r="B141" s="310" t="s">
        <v>2459</v>
      </c>
      <c r="C141" s="311">
        <v>0.127</v>
      </c>
      <c r="D141" s="311">
        <v>0.127</v>
      </c>
      <c r="E141" s="311">
        <v>0.122</v>
      </c>
      <c r="F141" s="311">
        <v>0.1</v>
      </c>
      <c r="G141" s="312">
        <v>0.129</v>
      </c>
    </row>
    <row r="142" spans="1:7">
      <c r="A142" s="321" t="s">
        <v>273</v>
      </c>
      <c r="B142" s="310" t="s">
        <v>2469</v>
      </c>
      <c r="C142" s="311">
        <v>0.121</v>
      </c>
      <c r="D142" s="311">
        <v>0.122</v>
      </c>
      <c r="E142" s="311">
        <v>0.1</v>
      </c>
      <c r="F142" s="311">
        <v>0.123</v>
      </c>
      <c r="G142" s="312">
        <v>0.123</v>
      </c>
    </row>
    <row r="143" spans="1:7">
      <c r="A143" s="321" t="s">
        <v>273</v>
      </c>
      <c r="B143" s="310" t="s">
        <v>2478</v>
      </c>
      <c r="C143" s="311">
        <v>0.1</v>
      </c>
      <c r="D143" s="311">
        <v>0.1</v>
      </c>
      <c r="E143" s="311">
        <v>0.1</v>
      </c>
      <c r="F143" s="311">
        <v>0.13</v>
      </c>
      <c r="G143" s="312">
        <v>0.1</v>
      </c>
    </row>
    <row r="144" spans="1:7">
      <c r="A144" s="321" t="s">
        <v>273</v>
      </c>
      <c r="B144" s="310" t="s">
        <v>2488</v>
      </c>
      <c r="C144" s="311">
        <v>0.106</v>
      </c>
      <c r="D144" s="311">
        <v>0.105</v>
      </c>
      <c r="E144" s="311">
        <v>0.1</v>
      </c>
      <c r="F144" s="311">
        <v>0.13</v>
      </c>
      <c r="G144" s="312">
        <v>0.11799999999999999</v>
      </c>
    </row>
    <row r="145" spans="1:7">
      <c r="A145" s="321" t="s">
        <v>273</v>
      </c>
      <c r="B145" s="310" t="s">
        <v>2498</v>
      </c>
      <c r="C145" s="311">
        <v>0.123</v>
      </c>
      <c r="D145" s="311">
        <v>0.123</v>
      </c>
      <c r="E145" s="311">
        <v>0.11700000000000001</v>
      </c>
      <c r="F145" s="311">
        <v>0.13</v>
      </c>
      <c r="G145" s="312">
        <v>0.126</v>
      </c>
    </row>
    <row r="146" spans="1:7">
      <c r="A146" s="321" t="s">
        <v>273</v>
      </c>
      <c r="B146" s="310" t="s">
        <v>2508</v>
      </c>
      <c r="C146" s="311">
        <v>0.127</v>
      </c>
      <c r="D146" s="311">
        <v>0.127</v>
      </c>
      <c r="E146" s="311">
        <v>0.12</v>
      </c>
      <c r="F146" s="322"/>
      <c r="G146" s="312">
        <v>0.129</v>
      </c>
    </row>
    <row r="147" spans="1:7">
      <c r="A147" s="321" t="s">
        <v>273</v>
      </c>
      <c r="B147" s="310" t="s">
        <v>2517</v>
      </c>
      <c r="C147" s="311">
        <v>0.13</v>
      </c>
      <c r="D147" s="311">
        <v>0.13</v>
      </c>
      <c r="E147" s="311">
        <v>0.126</v>
      </c>
      <c r="F147" s="322"/>
      <c r="G147" s="312">
        <v>0.13</v>
      </c>
    </row>
    <row r="148" spans="1:7">
      <c r="A148" s="321" t="s">
        <v>273</v>
      </c>
      <c r="B148" s="310" t="s">
        <v>2525</v>
      </c>
      <c r="C148" s="311">
        <v>0.13</v>
      </c>
      <c r="D148" s="311">
        <v>0.13</v>
      </c>
      <c r="E148" s="311">
        <v>0.13</v>
      </c>
      <c r="F148" s="322"/>
      <c r="G148" s="312">
        <v>0.13</v>
      </c>
    </row>
    <row r="149" spans="1:7">
      <c r="A149" s="321" t="s">
        <v>273</v>
      </c>
      <c r="B149" s="310" t="s">
        <v>2533</v>
      </c>
      <c r="C149" s="311">
        <v>0.13</v>
      </c>
      <c r="D149" s="311">
        <v>0.13</v>
      </c>
      <c r="E149" s="311">
        <v>0.13</v>
      </c>
      <c r="F149" s="311">
        <v>0.13</v>
      </c>
      <c r="G149" s="312">
        <v>0.13</v>
      </c>
    </row>
    <row r="150" spans="1:7">
      <c r="A150" s="321" t="s">
        <v>273</v>
      </c>
      <c r="B150" s="310" t="s">
        <v>2541</v>
      </c>
      <c r="C150" s="311">
        <v>0.13</v>
      </c>
      <c r="D150" s="311">
        <v>0.13</v>
      </c>
      <c r="E150" s="311">
        <v>0.127</v>
      </c>
      <c r="F150" s="311">
        <v>0.13</v>
      </c>
      <c r="G150" s="312">
        <v>0.13</v>
      </c>
    </row>
    <row r="151" spans="1:7">
      <c r="A151" s="321" t="s">
        <v>273</v>
      </c>
      <c r="B151" s="310" t="s">
        <v>2549</v>
      </c>
      <c r="C151" s="311">
        <v>0.13</v>
      </c>
      <c r="D151" s="311">
        <v>0.13</v>
      </c>
      <c r="E151" s="311">
        <v>0.13</v>
      </c>
      <c r="F151" s="311">
        <v>0.13</v>
      </c>
      <c r="G151" s="312">
        <v>0.13</v>
      </c>
    </row>
    <row r="152" spans="1:7">
      <c r="A152" s="321" t="s">
        <v>273</v>
      </c>
      <c r="B152" s="310" t="s">
        <v>2556</v>
      </c>
      <c r="C152" s="311">
        <v>0.13</v>
      </c>
      <c r="D152" s="311">
        <v>0.13</v>
      </c>
      <c r="E152" s="311">
        <v>0.13</v>
      </c>
      <c r="F152" s="311">
        <v>0.13</v>
      </c>
      <c r="G152" s="312">
        <v>0.13</v>
      </c>
    </row>
    <row r="153" spans="1:7">
      <c r="A153" s="321" t="s">
        <v>273</v>
      </c>
      <c r="B153" s="310" t="s">
        <v>2563</v>
      </c>
      <c r="C153" s="311">
        <v>0.13</v>
      </c>
      <c r="D153" s="311">
        <v>0.13</v>
      </c>
      <c r="E153" s="311">
        <v>0.13</v>
      </c>
      <c r="F153" s="311">
        <v>0.13</v>
      </c>
      <c r="G153" s="312">
        <v>0.13</v>
      </c>
    </row>
    <row r="154" spans="1:7">
      <c r="A154" s="321" t="s">
        <v>273</v>
      </c>
      <c r="B154" s="310" t="s">
        <v>2570</v>
      </c>
      <c r="C154" s="311">
        <v>0.121</v>
      </c>
      <c r="D154" s="311">
        <v>0.121</v>
      </c>
      <c r="E154" s="311">
        <v>0.105</v>
      </c>
      <c r="F154" s="311">
        <v>0.121</v>
      </c>
      <c r="G154" s="312">
        <v>0.123</v>
      </c>
    </row>
    <row r="155" spans="1:7">
      <c r="A155" s="321" t="s">
        <v>273</v>
      </c>
      <c r="B155" s="310" t="s">
        <v>2577</v>
      </c>
      <c r="C155" s="311">
        <v>0.1</v>
      </c>
      <c r="D155" s="311">
        <v>0.1</v>
      </c>
      <c r="E155" s="311">
        <v>0.1</v>
      </c>
      <c r="F155" s="311">
        <v>0.1</v>
      </c>
      <c r="G155" s="312">
        <v>0.1</v>
      </c>
    </row>
    <row r="156" spans="1:7">
      <c r="A156" s="321" t="s">
        <v>273</v>
      </c>
      <c r="B156" s="310" t="s">
        <v>2584</v>
      </c>
      <c r="C156" s="311">
        <v>0.13</v>
      </c>
      <c r="D156" s="311">
        <v>0.13</v>
      </c>
      <c r="E156" s="311">
        <v>0.13</v>
      </c>
      <c r="F156" s="311">
        <v>0.13</v>
      </c>
      <c r="G156" s="312">
        <v>0.13</v>
      </c>
    </row>
    <row r="157" spans="1:7">
      <c r="A157" s="321" t="s">
        <v>273</v>
      </c>
      <c r="B157" s="310" t="s">
        <v>2591</v>
      </c>
      <c r="C157" s="311">
        <v>0.13</v>
      </c>
      <c r="D157" s="311">
        <v>0.13</v>
      </c>
      <c r="E157" s="311">
        <v>0.125</v>
      </c>
      <c r="F157" s="311">
        <v>0.13</v>
      </c>
      <c r="G157" s="312">
        <v>0.13</v>
      </c>
    </row>
    <row r="158" spans="1:7">
      <c r="A158" s="321" t="s">
        <v>273</v>
      </c>
      <c r="B158" s="310" t="s">
        <v>2598</v>
      </c>
      <c r="C158" s="311">
        <v>0.124</v>
      </c>
      <c r="D158" s="311">
        <v>0.124</v>
      </c>
      <c r="E158" s="311">
        <v>0.11700000000000001</v>
      </c>
      <c r="F158" s="311">
        <v>0.121</v>
      </c>
      <c r="G158" s="312">
        <v>0.124</v>
      </c>
    </row>
    <row r="159" spans="1:7">
      <c r="A159" s="321" t="s">
        <v>273</v>
      </c>
      <c r="B159" s="310" t="s">
        <v>2603</v>
      </c>
      <c r="C159" s="311">
        <v>0.127</v>
      </c>
      <c r="D159" s="311">
        <v>0.127</v>
      </c>
      <c r="E159" s="311">
        <v>0.122</v>
      </c>
      <c r="F159" s="311">
        <v>0.13</v>
      </c>
      <c r="G159" s="312">
        <v>0.129</v>
      </c>
    </row>
    <row r="160" spans="1:7">
      <c r="A160" s="321" t="s">
        <v>273</v>
      </c>
      <c r="B160" s="310" t="s">
        <v>2608</v>
      </c>
      <c r="C160" s="311">
        <v>0.13</v>
      </c>
      <c r="D160" s="311">
        <v>0.13</v>
      </c>
      <c r="E160" s="311">
        <v>0.124</v>
      </c>
      <c r="F160" s="311">
        <v>0.126</v>
      </c>
      <c r="G160" s="312">
        <v>0.13</v>
      </c>
    </row>
    <row r="161" spans="1:7">
      <c r="A161" s="321" t="s">
        <v>273</v>
      </c>
      <c r="B161" s="310" t="s">
        <v>2613</v>
      </c>
      <c r="C161" s="311">
        <v>0.13</v>
      </c>
      <c r="D161" s="311">
        <v>0.13</v>
      </c>
      <c r="E161" s="311">
        <v>0.124</v>
      </c>
      <c r="F161" s="311">
        <v>0.127</v>
      </c>
      <c r="G161" s="312">
        <v>0.13</v>
      </c>
    </row>
    <row r="162" spans="1:7">
      <c r="A162" s="321" t="s">
        <v>273</v>
      </c>
      <c r="B162" s="310" t="s">
        <v>2618</v>
      </c>
      <c r="C162" s="311">
        <v>0.1</v>
      </c>
      <c r="D162" s="311">
        <v>0.1</v>
      </c>
      <c r="E162" s="311">
        <v>0.1</v>
      </c>
      <c r="F162" s="311">
        <v>0.121</v>
      </c>
      <c r="G162" s="312">
        <v>0.105</v>
      </c>
    </row>
    <row r="163" spans="1:7">
      <c r="A163" s="321" t="s">
        <v>273</v>
      </c>
      <c r="B163" s="310" t="s">
        <v>2623</v>
      </c>
      <c r="C163" s="311">
        <v>0.1</v>
      </c>
      <c r="D163" s="311">
        <v>0.1</v>
      </c>
      <c r="E163" s="311">
        <v>0.1</v>
      </c>
      <c r="F163" s="311">
        <v>0.1</v>
      </c>
      <c r="G163" s="312">
        <v>0.1</v>
      </c>
    </row>
    <row r="164" spans="1:7">
      <c r="A164" s="321" t="s">
        <v>273</v>
      </c>
      <c r="B164" s="310" t="s">
        <v>2628</v>
      </c>
      <c r="C164" s="327"/>
      <c r="D164" s="327"/>
      <c r="E164" s="327"/>
      <c r="F164" s="311">
        <v>0.1</v>
      </c>
      <c r="G164" s="323"/>
    </row>
    <row r="165" spans="1:7">
      <c r="A165" s="321" t="s">
        <v>273</v>
      </c>
      <c r="B165" s="310" t="s">
        <v>2633</v>
      </c>
      <c r="C165" s="311">
        <v>0.126</v>
      </c>
      <c r="D165" s="311">
        <v>0.126</v>
      </c>
      <c r="E165" s="311">
        <v>0.11899999999999999</v>
      </c>
      <c r="F165" s="311">
        <v>0.13</v>
      </c>
      <c r="G165" s="312">
        <v>0.128</v>
      </c>
    </row>
    <row r="166" spans="1:7">
      <c r="A166" s="321" t="s">
        <v>273</v>
      </c>
      <c r="B166" s="310" t="s">
        <v>2638</v>
      </c>
      <c r="C166" s="311">
        <v>0.129</v>
      </c>
      <c r="D166" s="311">
        <v>0.129</v>
      </c>
      <c r="E166" s="311">
        <v>0.123</v>
      </c>
      <c r="F166" s="311">
        <v>0.128</v>
      </c>
      <c r="G166" s="312">
        <v>0.13</v>
      </c>
    </row>
    <row r="167" spans="1:7">
      <c r="A167" s="321" t="s">
        <v>273</v>
      </c>
      <c r="B167" s="310" t="s">
        <v>2642</v>
      </c>
      <c r="C167" s="311">
        <v>0.125</v>
      </c>
      <c r="D167" s="311">
        <v>0.125</v>
      </c>
      <c r="E167" s="311">
        <v>0.11700000000000001</v>
      </c>
      <c r="F167" s="311">
        <v>0.13</v>
      </c>
      <c r="G167" s="312">
        <v>0.126</v>
      </c>
    </row>
    <row r="168" spans="1:7">
      <c r="A168" s="321" t="s">
        <v>273</v>
      </c>
      <c r="B168" s="310" t="s">
        <v>2646</v>
      </c>
      <c r="C168" s="311">
        <v>0.128</v>
      </c>
      <c r="D168" s="311">
        <v>0.128</v>
      </c>
      <c r="E168" s="311">
        <v>0.123</v>
      </c>
      <c r="F168" s="322"/>
      <c r="G168" s="312">
        <v>0.13</v>
      </c>
    </row>
    <row r="169" spans="1:7">
      <c r="A169" s="321" t="s">
        <v>273</v>
      </c>
      <c r="B169" s="310" t="s">
        <v>2650</v>
      </c>
      <c r="C169" s="327"/>
      <c r="D169" s="327"/>
      <c r="E169" s="327"/>
      <c r="F169" s="311">
        <v>0.05</v>
      </c>
      <c r="G169" s="323"/>
    </row>
    <row r="170" spans="1:7">
      <c r="A170" s="321" t="s">
        <v>273</v>
      </c>
      <c r="B170" s="310" t="s">
        <v>2654</v>
      </c>
      <c r="C170" s="327"/>
      <c r="D170" s="327"/>
      <c r="E170" s="327"/>
      <c r="F170" s="311">
        <v>0.05</v>
      </c>
      <c r="G170" s="323"/>
    </row>
    <row r="171" spans="1:7">
      <c r="A171" s="321" t="s">
        <v>273</v>
      </c>
      <c r="B171" s="310" t="s">
        <v>2657</v>
      </c>
      <c r="C171" s="327"/>
      <c r="D171" s="327"/>
      <c r="E171" s="327"/>
      <c r="F171" s="311">
        <v>0.05</v>
      </c>
      <c r="G171" s="328"/>
    </row>
    <row r="172" spans="1:7">
      <c r="A172" s="321" t="s">
        <v>273</v>
      </c>
      <c r="B172" s="310" t="s">
        <v>2659</v>
      </c>
      <c r="C172" s="327"/>
      <c r="D172" s="327"/>
      <c r="E172" s="327"/>
      <c r="F172" s="311">
        <v>0.05</v>
      </c>
      <c r="G172" s="328"/>
    </row>
    <row r="173" spans="1:7">
      <c r="A173" s="321" t="s">
        <v>273</v>
      </c>
      <c r="B173" s="310" t="s">
        <v>2661</v>
      </c>
      <c r="C173" s="327"/>
      <c r="D173" s="327"/>
      <c r="E173" s="327"/>
      <c r="F173" s="311">
        <v>0.05</v>
      </c>
      <c r="G173" s="323"/>
    </row>
    <row r="174" spans="1:7">
      <c r="A174" s="321" t="s">
        <v>273</v>
      </c>
      <c r="B174" s="310" t="s">
        <v>2663</v>
      </c>
      <c r="C174" s="327"/>
      <c r="D174" s="327"/>
      <c r="E174" s="327"/>
      <c r="F174" s="311">
        <v>0.05</v>
      </c>
      <c r="G174" s="323"/>
    </row>
    <row r="175" spans="1:7">
      <c r="A175" s="321" t="s">
        <v>273</v>
      </c>
      <c r="B175" s="310" t="s">
        <v>2665</v>
      </c>
      <c r="C175" s="327"/>
      <c r="D175" s="327"/>
      <c r="E175" s="327"/>
      <c r="F175" s="311">
        <v>0.05</v>
      </c>
      <c r="G175" s="323"/>
    </row>
    <row r="176" spans="1:7">
      <c r="A176" s="321" t="s">
        <v>273</v>
      </c>
      <c r="B176" s="310" t="s">
        <v>2667</v>
      </c>
      <c r="C176" s="327"/>
      <c r="D176" s="327"/>
      <c r="E176" s="327"/>
      <c r="F176" s="311">
        <v>0.05</v>
      </c>
      <c r="G176" s="323"/>
    </row>
    <row r="177" spans="1:7">
      <c r="A177" s="321" t="s">
        <v>273</v>
      </c>
      <c r="B177" s="310" t="s">
        <v>2669</v>
      </c>
      <c r="C177" s="322"/>
      <c r="D177" s="322"/>
      <c r="E177" s="322"/>
      <c r="F177" s="311">
        <v>0.05</v>
      </c>
      <c r="G177" s="328"/>
    </row>
    <row r="178" spans="1:7">
      <c r="A178" s="321" t="s">
        <v>273</v>
      </c>
      <c r="B178" s="310" t="s">
        <v>2670</v>
      </c>
      <c r="C178" s="322"/>
      <c r="D178" s="322"/>
      <c r="E178" s="322"/>
      <c r="F178" s="311">
        <v>0.05</v>
      </c>
      <c r="G178" s="328"/>
    </row>
    <row r="179" spans="1:7">
      <c r="A179" s="321" t="s">
        <v>273</v>
      </c>
      <c r="B179" s="310" t="s">
        <v>2671</v>
      </c>
      <c r="C179" s="322"/>
      <c r="D179" s="322"/>
      <c r="E179" s="322"/>
      <c r="F179" s="311">
        <v>0.05</v>
      </c>
      <c r="G179" s="328"/>
    </row>
    <row r="180" spans="1:7">
      <c r="A180" s="321" t="s">
        <v>273</v>
      </c>
      <c r="B180" s="310" t="s">
        <v>2672</v>
      </c>
      <c r="C180" s="322"/>
      <c r="D180" s="322"/>
      <c r="E180" s="322"/>
      <c r="F180" s="311">
        <v>0.05</v>
      </c>
      <c r="G180" s="328"/>
    </row>
    <row r="181" spans="1:7">
      <c r="A181" s="321" t="s">
        <v>273</v>
      </c>
      <c r="B181" s="310" t="s">
        <v>2673</v>
      </c>
      <c r="C181" s="322"/>
      <c r="D181" s="322"/>
      <c r="E181" s="322"/>
      <c r="F181" s="311">
        <v>0.05</v>
      </c>
      <c r="G181" s="328"/>
    </row>
    <row r="182" spans="1:7">
      <c r="A182" s="321" t="s">
        <v>273</v>
      </c>
      <c r="B182" s="310" t="s">
        <v>2674</v>
      </c>
      <c r="C182" s="322"/>
      <c r="D182" s="322"/>
      <c r="E182" s="322"/>
      <c r="F182" s="311">
        <v>0.05</v>
      </c>
      <c r="G182" s="328"/>
    </row>
    <row r="183" spans="1:7">
      <c r="A183" s="321" t="s">
        <v>273</v>
      </c>
      <c r="B183" s="310" t="s">
        <v>2675</v>
      </c>
      <c r="C183" s="322"/>
      <c r="D183" s="322"/>
      <c r="E183" s="322"/>
      <c r="F183" s="311">
        <v>0.05</v>
      </c>
      <c r="G183" s="328"/>
    </row>
    <row r="184" spans="1:7">
      <c r="A184" s="321" t="s">
        <v>273</v>
      </c>
      <c r="B184" s="310" t="s">
        <v>2676</v>
      </c>
      <c r="C184" s="322"/>
      <c r="D184" s="322"/>
      <c r="E184" s="322"/>
      <c r="F184" s="311">
        <v>0.05</v>
      </c>
      <c r="G184" s="328"/>
    </row>
    <row r="185" spans="1:7">
      <c r="A185" s="321" t="s">
        <v>273</v>
      </c>
      <c r="B185" s="310" t="s">
        <v>2677</v>
      </c>
      <c r="C185" s="322"/>
      <c r="D185" s="322"/>
      <c r="E185" s="322"/>
      <c r="F185" s="311">
        <v>0.05</v>
      </c>
      <c r="G185" s="328"/>
    </row>
    <row r="186" spans="1:7">
      <c r="A186" s="321" t="s">
        <v>273</v>
      </c>
      <c r="B186" s="310" t="s">
        <v>2678</v>
      </c>
      <c r="C186" s="322"/>
      <c r="D186" s="322"/>
      <c r="E186" s="322"/>
      <c r="F186" s="311">
        <v>0.05</v>
      </c>
      <c r="G186" s="328"/>
    </row>
    <row r="187" spans="1:7">
      <c r="A187" s="321" t="s">
        <v>273</v>
      </c>
      <c r="B187" s="310" t="s">
        <v>2679</v>
      </c>
      <c r="C187" s="322"/>
      <c r="D187" s="322"/>
      <c r="E187" s="322"/>
      <c r="F187" s="311">
        <v>0.05</v>
      </c>
      <c r="G187" s="328"/>
    </row>
    <row r="188" spans="1:7">
      <c r="A188" s="321" t="s">
        <v>273</v>
      </c>
      <c r="B188" s="310" t="s">
        <v>2680</v>
      </c>
      <c r="C188" s="322"/>
      <c r="D188" s="322"/>
      <c r="E188" s="322"/>
      <c r="F188" s="311">
        <v>0.05</v>
      </c>
      <c r="G188" s="328"/>
    </row>
    <row r="189" spans="1:7">
      <c r="A189" s="324" t="s">
        <v>273</v>
      </c>
      <c r="B189" s="314" t="s">
        <v>2681</v>
      </c>
      <c r="C189" s="316"/>
      <c r="D189" s="316"/>
      <c r="E189" s="316"/>
      <c r="F189" s="315">
        <v>0.05</v>
      </c>
      <c r="G189" s="329"/>
    </row>
    <row r="190" spans="1:7">
      <c r="A190" s="320" t="s">
        <v>278</v>
      </c>
      <c r="B190" s="306" t="s">
        <v>2306</v>
      </c>
      <c r="C190" s="307">
        <v>0.124</v>
      </c>
      <c r="D190" s="307">
        <v>0.124</v>
      </c>
      <c r="E190" s="307">
        <v>0.129</v>
      </c>
      <c r="F190" s="307">
        <v>0.13</v>
      </c>
      <c r="G190" s="308">
        <v>0.127</v>
      </c>
    </row>
    <row r="191" spans="1:7">
      <c r="A191" s="321" t="s">
        <v>278</v>
      </c>
      <c r="B191" s="310" t="s">
        <v>2319</v>
      </c>
      <c r="C191" s="311">
        <v>0.13</v>
      </c>
      <c r="D191" s="311">
        <v>0.13</v>
      </c>
      <c r="E191" s="311">
        <v>0.13</v>
      </c>
      <c r="F191" s="311">
        <v>0.13</v>
      </c>
      <c r="G191" s="312">
        <v>0.13</v>
      </c>
    </row>
    <row r="192" spans="1:7">
      <c r="A192" s="321" t="s">
        <v>278</v>
      </c>
      <c r="B192" s="310" t="s">
        <v>2333</v>
      </c>
      <c r="C192" s="311">
        <v>0.13</v>
      </c>
      <c r="D192" s="311">
        <v>0.13</v>
      </c>
      <c r="E192" s="311">
        <v>0.13</v>
      </c>
      <c r="F192" s="311">
        <v>0.13</v>
      </c>
      <c r="G192" s="312">
        <v>0.13</v>
      </c>
    </row>
    <row r="193" spans="1:7">
      <c r="A193" s="321" t="s">
        <v>278</v>
      </c>
      <c r="B193" s="310" t="s">
        <v>2345</v>
      </c>
      <c r="C193" s="311">
        <v>0.13</v>
      </c>
      <c r="D193" s="311">
        <v>0.13</v>
      </c>
      <c r="E193" s="311">
        <v>0.13</v>
      </c>
      <c r="F193" s="311">
        <v>0.13</v>
      </c>
      <c r="G193" s="312">
        <v>0.13</v>
      </c>
    </row>
    <row r="194" spans="1:7">
      <c r="A194" s="321" t="s">
        <v>278</v>
      </c>
      <c r="B194" s="310" t="s">
        <v>2357</v>
      </c>
      <c r="C194" s="311">
        <v>0.123</v>
      </c>
      <c r="D194" s="311">
        <v>0.123</v>
      </c>
      <c r="E194" s="311">
        <v>0.128</v>
      </c>
      <c r="F194" s="311">
        <v>0.13</v>
      </c>
      <c r="G194" s="312">
        <v>0.126</v>
      </c>
    </row>
    <row r="195" spans="1:7">
      <c r="A195" s="321" t="s">
        <v>278</v>
      </c>
      <c r="B195" s="310" t="s">
        <v>2368</v>
      </c>
      <c r="C195" s="311">
        <v>0.127</v>
      </c>
      <c r="D195" s="311">
        <v>0.127</v>
      </c>
      <c r="E195" s="311">
        <v>0.121</v>
      </c>
      <c r="F195" s="311">
        <v>0.129</v>
      </c>
      <c r="G195" s="312">
        <v>0.129</v>
      </c>
    </row>
    <row r="196" spans="1:7">
      <c r="A196" s="321" t="s">
        <v>278</v>
      </c>
      <c r="B196" s="310" t="s">
        <v>2379</v>
      </c>
      <c r="C196" s="311">
        <v>0.127</v>
      </c>
      <c r="D196" s="311">
        <v>0.128</v>
      </c>
      <c r="E196" s="311">
        <v>0.122</v>
      </c>
      <c r="F196" s="311">
        <v>0.13</v>
      </c>
      <c r="G196" s="312">
        <v>0.129</v>
      </c>
    </row>
    <row r="197" spans="1:7">
      <c r="A197" s="321" t="s">
        <v>278</v>
      </c>
      <c r="B197" s="310" t="s">
        <v>2390</v>
      </c>
      <c r="C197" s="311">
        <v>0.126</v>
      </c>
      <c r="D197" s="311">
        <v>0.126</v>
      </c>
      <c r="E197" s="311">
        <v>0.11899999999999999</v>
      </c>
      <c r="F197" s="311">
        <v>0.13</v>
      </c>
      <c r="G197" s="312">
        <v>0.128</v>
      </c>
    </row>
    <row r="198" spans="1:7">
      <c r="A198" s="321" t="s">
        <v>278</v>
      </c>
      <c r="B198" s="310" t="s">
        <v>2400</v>
      </c>
      <c r="C198" s="311">
        <v>0.13</v>
      </c>
      <c r="D198" s="311">
        <v>0.13</v>
      </c>
      <c r="E198" s="311">
        <v>0.126</v>
      </c>
      <c r="F198" s="327"/>
      <c r="G198" s="312">
        <v>0.13</v>
      </c>
    </row>
    <row r="199" spans="1:7">
      <c r="A199" s="321" t="s">
        <v>278</v>
      </c>
      <c r="B199" s="310" t="s">
        <v>2410</v>
      </c>
      <c r="C199" s="311">
        <v>0.13</v>
      </c>
      <c r="D199" s="311">
        <v>0.13</v>
      </c>
      <c r="E199" s="311">
        <v>0.13</v>
      </c>
      <c r="F199" s="311">
        <v>0.13</v>
      </c>
      <c r="G199" s="312">
        <v>0.13</v>
      </c>
    </row>
    <row r="200" spans="1:7">
      <c r="A200" s="321" t="s">
        <v>278</v>
      </c>
      <c r="B200" s="310" t="s">
        <v>2420</v>
      </c>
      <c r="C200" s="327"/>
      <c r="D200" s="327"/>
      <c r="E200" s="327"/>
      <c r="F200" s="311">
        <v>0.13</v>
      </c>
      <c r="G200" s="323"/>
    </row>
    <row r="201" spans="1:7">
      <c r="A201" s="321" t="s">
        <v>278</v>
      </c>
      <c r="B201" s="310" t="s">
        <v>2430</v>
      </c>
      <c r="C201" s="311">
        <v>0.13</v>
      </c>
      <c r="D201" s="311">
        <v>0.13</v>
      </c>
      <c r="E201" s="311">
        <v>0.13</v>
      </c>
      <c r="F201" s="311">
        <v>0.129</v>
      </c>
      <c r="G201" s="312">
        <v>0.13</v>
      </c>
    </row>
    <row r="202" spans="1:7">
      <c r="A202" s="321" t="s">
        <v>278</v>
      </c>
      <c r="B202" s="310" t="s">
        <v>2440</v>
      </c>
      <c r="C202" s="311">
        <v>0.13</v>
      </c>
      <c r="D202" s="311">
        <v>0.13</v>
      </c>
      <c r="E202" s="311">
        <v>0.13</v>
      </c>
      <c r="F202" s="311">
        <v>0.13</v>
      </c>
      <c r="G202" s="312">
        <v>0.13</v>
      </c>
    </row>
    <row r="203" spans="1:7">
      <c r="A203" s="321" t="s">
        <v>278</v>
      </c>
      <c r="B203" s="310" t="s">
        <v>2450</v>
      </c>
      <c r="C203" s="311">
        <v>0.129</v>
      </c>
      <c r="D203" s="311">
        <v>0.129</v>
      </c>
      <c r="E203" s="311">
        <v>0.13</v>
      </c>
      <c r="F203" s="311">
        <v>0.13</v>
      </c>
      <c r="G203" s="312">
        <v>0.13</v>
      </c>
    </row>
    <row r="204" spans="1:7">
      <c r="A204" s="321" t="s">
        <v>278</v>
      </c>
      <c r="B204" s="310" t="s">
        <v>2460</v>
      </c>
      <c r="C204" s="311">
        <v>0.129</v>
      </c>
      <c r="D204" s="311">
        <v>0.129</v>
      </c>
      <c r="E204" s="311">
        <v>0.123</v>
      </c>
      <c r="F204" s="311">
        <v>0.13</v>
      </c>
      <c r="G204" s="312">
        <v>0.13</v>
      </c>
    </row>
    <row r="205" spans="1:7">
      <c r="A205" s="321" t="s">
        <v>278</v>
      </c>
      <c r="B205" s="310" t="s">
        <v>2470</v>
      </c>
      <c r="C205" s="311">
        <v>0.13</v>
      </c>
      <c r="D205" s="311">
        <v>0.13</v>
      </c>
      <c r="E205" s="311">
        <v>0.13</v>
      </c>
      <c r="F205" s="311">
        <v>0.13</v>
      </c>
      <c r="G205" s="312">
        <v>0.13</v>
      </c>
    </row>
    <row r="206" spans="1:7">
      <c r="A206" s="321" t="s">
        <v>278</v>
      </c>
      <c r="B206" s="310" t="s">
        <v>2479</v>
      </c>
      <c r="C206" s="311">
        <v>0.13</v>
      </c>
      <c r="D206" s="311">
        <v>0.13</v>
      </c>
      <c r="E206" s="311">
        <v>0.13</v>
      </c>
      <c r="F206" s="311">
        <v>0.128</v>
      </c>
      <c r="G206" s="312">
        <v>0.13</v>
      </c>
    </row>
    <row r="207" spans="1:7">
      <c r="A207" s="321" t="s">
        <v>278</v>
      </c>
      <c r="B207" s="310" t="s">
        <v>2489</v>
      </c>
      <c r="C207" s="311">
        <v>0.13</v>
      </c>
      <c r="D207" s="311">
        <v>0.13</v>
      </c>
      <c r="E207" s="311">
        <v>0.13</v>
      </c>
      <c r="F207" s="311">
        <v>0.13</v>
      </c>
      <c r="G207" s="312">
        <v>0.13</v>
      </c>
    </row>
    <row r="208" spans="1:7">
      <c r="A208" s="321" t="s">
        <v>278</v>
      </c>
      <c r="B208" s="310" t="s">
        <v>2499</v>
      </c>
      <c r="C208" s="311">
        <v>0.13</v>
      </c>
      <c r="D208" s="311">
        <v>0.13</v>
      </c>
      <c r="E208" s="311">
        <v>0.13</v>
      </c>
      <c r="F208" s="311">
        <v>0.13</v>
      </c>
      <c r="G208" s="312">
        <v>0.13</v>
      </c>
    </row>
    <row r="209" spans="1:7">
      <c r="A209" s="321" t="s">
        <v>278</v>
      </c>
      <c r="B209" s="310" t="s">
        <v>2509</v>
      </c>
      <c r="C209" s="311">
        <v>0.13</v>
      </c>
      <c r="D209" s="311">
        <v>0.13</v>
      </c>
      <c r="E209" s="311">
        <v>0.13</v>
      </c>
      <c r="F209" s="311">
        <v>0.13</v>
      </c>
      <c r="G209" s="312">
        <v>0.13</v>
      </c>
    </row>
    <row r="210" spans="1:7">
      <c r="A210" s="321" t="s">
        <v>278</v>
      </c>
      <c r="B210" s="310" t="s">
        <v>2518</v>
      </c>
      <c r="C210" s="311">
        <v>0.121</v>
      </c>
      <c r="D210" s="311">
        <v>0.121</v>
      </c>
      <c r="E210" s="311">
        <v>0.125</v>
      </c>
      <c r="F210" s="311">
        <v>0.13</v>
      </c>
      <c r="G210" s="312">
        <v>0.123</v>
      </c>
    </row>
    <row r="211" spans="1:7">
      <c r="A211" s="321" t="s">
        <v>278</v>
      </c>
      <c r="B211" s="310" t="s">
        <v>2526</v>
      </c>
      <c r="C211" s="311">
        <v>0.123</v>
      </c>
      <c r="D211" s="311">
        <v>0.123</v>
      </c>
      <c r="E211" s="311">
        <v>0.127</v>
      </c>
      <c r="F211" s="311">
        <v>0.115</v>
      </c>
      <c r="G211" s="312">
        <v>0.126</v>
      </c>
    </row>
    <row r="212" spans="1:7">
      <c r="A212" s="321" t="s">
        <v>278</v>
      </c>
      <c r="B212" s="310" t="s">
        <v>2534</v>
      </c>
      <c r="C212" s="311">
        <v>0.126</v>
      </c>
      <c r="D212" s="311">
        <v>0.126</v>
      </c>
      <c r="E212" s="311">
        <v>0.13</v>
      </c>
      <c r="F212" s="311">
        <v>0.13</v>
      </c>
      <c r="G212" s="312">
        <v>0.129</v>
      </c>
    </row>
    <row r="213" spans="1:7">
      <c r="A213" s="321" t="s">
        <v>278</v>
      </c>
      <c r="B213" s="310" t="s">
        <v>2542</v>
      </c>
      <c r="C213" s="311">
        <v>0.129</v>
      </c>
      <c r="D213" s="311">
        <v>0.13</v>
      </c>
      <c r="E213" s="311">
        <v>0.127</v>
      </c>
      <c r="F213" s="311">
        <v>0.13</v>
      </c>
      <c r="G213" s="312">
        <v>0.13</v>
      </c>
    </row>
    <row r="214" spans="1:7">
      <c r="A214" s="321" t="s">
        <v>278</v>
      </c>
      <c r="B214" s="310" t="s">
        <v>2550</v>
      </c>
      <c r="C214" s="311">
        <v>0.128</v>
      </c>
      <c r="D214" s="311">
        <v>0.128</v>
      </c>
      <c r="E214" s="311">
        <v>0.13</v>
      </c>
      <c r="F214" s="311">
        <v>0.13</v>
      </c>
      <c r="G214" s="312">
        <v>0.13</v>
      </c>
    </row>
    <row r="215" spans="1:7">
      <c r="A215" s="321" t="s">
        <v>278</v>
      </c>
      <c r="B215" s="310" t="s">
        <v>2557</v>
      </c>
      <c r="C215" s="311">
        <v>0.13</v>
      </c>
      <c r="D215" s="311">
        <v>0.13</v>
      </c>
      <c r="E215" s="311">
        <v>0.13</v>
      </c>
      <c r="F215" s="311">
        <v>0.129</v>
      </c>
      <c r="G215" s="312">
        <v>0.13</v>
      </c>
    </row>
    <row r="216" spans="1:7">
      <c r="A216" s="321" t="s">
        <v>278</v>
      </c>
      <c r="B216" s="310" t="s">
        <v>2564</v>
      </c>
      <c r="C216" s="311">
        <v>0.13</v>
      </c>
      <c r="D216" s="311">
        <v>0.13</v>
      </c>
      <c r="E216" s="311">
        <v>0.13</v>
      </c>
      <c r="F216" s="311">
        <v>0.13</v>
      </c>
      <c r="G216" s="312">
        <v>0.13</v>
      </c>
    </row>
    <row r="217" spans="1:7">
      <c r="A217" s="321" t="s">
        <v>278</v>
      </c>
      <c r="B217" s="310" t="s">
        <v>2571</v>
      </c>
      <c r="C217" s="311">
        <v>0.129</v>
      </c>
      <c r="D217" s="311">
        <v>0.129</v>
      </c>
      <c r="E217" s="311">
        <v>0.13</v>
      </c>
      <c r="F217" s="311">
        <v>0.13</v>
      </c>
      <c r="G217" s="312">
        <v>0.13</v>
      </c>
    </row>
    <row r="218" spans="1:7">
      <c r="A218" s="321" t="s">
        <v>278</v>
      </c>
      <c r="B218" s="310" t="s">
        <v>2578</v>
      </c>
      <c r="C218" s="322"/>
      <c r="D218" s="322"/>
      <c r="E218" s="322"/>
      <c r="F218" s="311">
        <v>0.05</v>
      </c>
      <c r="G218" s="328"/>
    </row>
    <row r="219" spans="1:7">
      <c r="A219" s="321" t="s">
        <v>278</v>
      </c>
      <c r="B219" s="310" t="s">
        <v>2585</v>
      </c>
      <c r="C219" s="322"/>
      <c r="D219" s="322"/>
      <c r="E219" s="322"/>
      <c r="F219" s="311">
        <v>0.05</v>
      </c>
      <c r="G219" s="328"/>
    </row>
    <row r="220" spans="1:7">
      <c r="A220" s="321" t="s">
        <v>278</v>
      </c>
      <c r="B220" s="310" t="s">
        <v>2592</v>
      </c>
      <c r="C220" s="322"/>
      <c r="D220" s="322"/>
      <c r="E220" s="322"/>
      <c r="F220" s="311">
        <v>0.05</v>
      </c>
      <c r="G220" s="328"/>
    </row>
    <row r="221" spans="1:7">
      <c r="A221" s="321" t="s">
        <v>278</v>
      </c>
      <c r="B221" s="310" t="s">
        <v>2599</v>
      </c>
      <c r="C221" s="322"/>
      <c r="D221" s="322"/>
      <c r="E221" s="322"/>
      <c r="F221" s="311">
        <v>0.05</v>
      </c>
      <c r="G221" s="328"/>
    </row>
    <row r="222" spans="1:7">
      <c r="A222" s="321" t="s">
        <v>278</v>
      </c>
      <c r="B222" s="310" t="s">
        <v>2604</v>
      </c>
      <c r="C222" s="322"/>
      <c r="D222" s="322"/>
      <c r="E222" s="322"/>
      <c r="F222" s="311">
        <v>0.05</v>
      </c>
      <c r="G222" s="328"/>
    </row>
    <row r="223" spans="1:7">
      <c r="A223" s="321" t="s">
        <v>278</v>
      </c>
      <c r="B223" s="310" t="s">
        <v>2609</v>
      </c>
      <c r="C223" s="322"/>
      <c r="D223" s="322"/>
      <c r="E223" s="322"/>
      <c r="F223" s="311">
        <v>0.05</v>
      </c>
      <c r="G223" s="328"/>
    </row>
    <row r="224" spans="1:7">
      <c r="A224" s="321" t="s">
        <v>278</v>
      </c>
      <c r="B224" s="310" t="s">
        <v>2614</v>
      </c>
      <c r="C224" s="322"/>
      <c r="D224" s="322"/>
      <c r="E224" s="322"/>
      <c r="F224" s="311">
        <v>0.05</v>
      </c>
      <c r="G224" s="328"/>
    </row>
    <row r="225" spans="1:7">
      <c r="A225" s="321" t="s">
        <v>278</v>
      </c>
      <c r="B225" s="310" t="s">
        <v>2619</v>
      </c>
      <c r="C225" s="322"/>
      <c r="D225" s="322"/>
      <c r="E225" s="322"/>
      <c r="F225" s="311">
        <v>0.05</v>
      </c>
      <c r="G225" s="328"/>
    </row>
    <row r="226" spans="1:7">
      <c r="A226" s="321" t="s">
        <v>278</v>
      </c>
      <c r="B226" s="310" t="s">
        <v>2624</v>
      </c>
      <c r="C226" s="322"/>
      <c r="D226" s="322"/>
      <c r="E226" s="322"/>
      <c r="F226" s="311">
        <v>0.05</v>
      </c>
      <c r="G226" s="328"/>
    </row>
    <row r="227" spans="1:7">
      <c r="A227" s="321" t="s">
        <v>278</v>
      </c>
      <c r="B227" s="310" t="s">
        <v>2683</v>
      </c>
      <c r="C227" s="322"/>
      <c r="D227" s="322"/>
      <c r="E227" s="322"/>
      <c r="F227" s="311">
        <v>0.05</v>
      </c>
      <c r="G227" s="328"/>
    </row>
    <row r="228" spans="1:7">
      <c r="A228" s="321" t="s">
        <v>278</v>
      </c>
      <c r="B228" s="310" t="s">
        <v>2684</v>
      </c>
      <c r="C228" s="322"/>
      <c r="D228" s="322"/>
      <c r="E228" s="322"/>
      <c r="F228" s="311">
        <v>0.05</v>
      </c>
      <c r="G228" s="328"/>
    </row>
    <row r="229" spans="1:7">
      <c r="A229" s="321" t="s">
        <v>278</v>
      </c>
      <c r="B229" s="310" t="s">
        <v>2685</v>
      </c>
      <c r="C229" s="322"/>
      <c r="D229" s="322"/>
      <c r="E229" s="322"/>
      <c r="F229" s="311">
        <v>0.05</v>
      </c>
      <c r="G229" s="328"/>
    </row>
    <row r="230" spans="1:7">
      <c r="A230" s="321" t="s">
        <v>278</v>
      </c>
      <c r="B230" s="310" t="s">
        <v>2643</v>
      </c>
      <c r="C230" s="322"/>
      <c r="D230" s="322"/>
      <c r="E230" s="322"/>
      <c r="F230" s="311">
        <v>0.05</v>
      </c>
      <c r="G230" s="328"/>
    </row>
    <row r="231" spans="1:7">
      <c r="A231" s="321" t="s">
        <v>278</v>
      </c>
      <c r="B231" s="310" t="s">
        <v>2647</v>
      </c>
      <c r="C231" s="322"/>
      <c r="D231" s="322"/>
      <c r="E231" s="322"/>
      <c r="F231" s="311">
        <v>0.05</v>
      </c>
      <c r="G231" s="328"/>
    </row>
    <row r="232" spans="1:7">
      <c r="A232" s="321" t="s">
        <v>278</v>
      </c>
      <c r="B232" s="310" t="s">
        <v>2686</v>
      </c>
      <c r="C232" s="322"/>
      <c r="D232" s="322"/>
      <c r="E232" s="322"/>
      <c r="F232" s="311">
        <v>0.05</v>
      </c>
      <c r="G232" s="328"/>
    </row>
    <row r="233" spans="1:7">
      <c r="A233" s="324" t="s">
        <v>278</v>
      </c>
      <c r="B233" s="314" t="s">
        <v>2655</v>
      </c>
      <c r="C233" s="316"/>
      <c r="D233" s="316"/>
      <c r="E233" s="316"/>
      <c r="F233" s="315">
        <v>0.05</v>
      </c>
      <c r="G233" s="329"/>
    </row>
    <row r="234" spans="1:7">
      <c r="A234" s="320" t="s">
        <v>284</v>
      </c>
      <c r="B234" s="306" t="s">
        <v>2307</v>
      </c>
      <c r="C234" s="307">
        <v>0.13</v>
      </c>
      <c r="D234" s="307">
        <v>0.128</v>
      </c>
      <c r="E234" s="307">
        <v>0.14199999999999999</v>
      </c>
      <c r="F234" s="307">
        <v>0.14699999999999999</v>
      </c>
      <c r="G234" s="308">
        <v>0.14000000000000001</v>
      </c>
    </row>
    <row r="235" spans="1:7">
      <c r="A235" s="321" t="s">
        <v>284</v>
      </c>
      <c r="B235" s="310" t="s">
        <v>2320</v>
      </c>
      <c r="C235" s="311">
        <v>0.13600000000000001</v>
      </c>
      <c r="D235" s="311">
        <v>0.13800000000000001</v>
      </c>
      <c r="E235" s="311">
        <v>0.14499999999999999</v>
      </c>
      <c r="F235" s="311">
        <v>0.14299999999999999</v>
      </c>
      <c r="G235" s="312">
        <v>0.14099999999999999</v>
      </c>
    </row>
    <row r="236" spans="1:7">
      <c r="A236" s="321" t="s">
        <v>284</v>
      </c>
      <c r="B236" s="310" t="s">
        <v>2334</v>
      </c>
      <c r="C236" s="311">
        <v>0.15</v>
      </c>
      <c r="D236" s="311">
        <v>0.15</v>
      </c>
      <c r="E236" s="311">
        <v>0.15</v>
      </c>
      <c r="F236" s="311">
        <v>0.15</v>
      </c>
      <c r="G236" s="312">
        <v>0.15</v>
      </c>
    </row>
    <row r="237" spans="1:7">
      <c r="A237" s="321" t="s">
        <v>284</v>
      </c>
      <c r="B237" s="310" t="s">
        <v>2346</v>
      </c>
      <c r="C237" s="311">
        <v>0.15</v>
      </c>
      <c r="D237" s="311">
        <v>0.15</v>
      </c>
      <c r="E237" s="311">
        <v>0.15</v>
      </c>
      <c r="F237" s="311">
        <v>0.15</v>
      </c>
      <c r="G237" s="312">
        <v>0.15</v>
      </c>
    </row>
    <row r="238" spans="1:7">
      <c r="A238" s="321" t="s">
        <v>284</v>
      </c>
      <c r="B238" s="310" t="s">
        <v>2358</v>
      </c>
      <c r="C238" s="311">
        <v>0.14899999999999999</v>
      </c>
      <c r="D238" s="311">
        <v>0.14899999999999999</v>
      </c>
      <c r="E238" s="311">
        <v>0.15</v>
      </c>
      <c r="F238" s="311">
        <v>0.15</v>
      </c>
      <c r="G238" s="312">
        <v>0.15</v>
      </c>
    </row>
    <row r="239" spans="1:7">
      <c r="A239" s="321" t="s">
        <v>284</v>
      </c>
      <c r="B239" s="310" t="s">
        <v>2369</v>
      </c>
      <c r="C239" s="311">
        <v>0.15</v>
      </c>
      <c r="D239" s="311">
        <v>0.15</v>
      </c>
      <c r="E239" s="311">
        <v>0.15</v>
      </c>
      <c r="F239" s="311">
        <v>0.15</v>
      </c>
      <c r="G239" s="312">
        <v>0.15</v>
      </c>
    </row>
    <row r="240" spans="1:7">
      <c r="A240" s="321" t="s">
        <v>284</v>
      </c>
      <c r="B240" s="310" t="s">
        <v>2380</v>
      </c>
      <c r="C240" s="311">
        <v>0.15</v>
      </c>
      <c r="D240" s="311">
        <v>0.15</v>
      </c>
      <c r="E240" s="311">
        <v>0.15</v>
      </c>
      <c r="F240" s="311">
        <v>0.15</v>
      </c>
      <c r="G240" s="312">
        <v>0.15</v>
      </c>
    </row>
    <row r="241" spans="1:7">
      <c r="A241" s="321" t="s">
        <v>284</v>
      </c>
      <c r="B241" s="310" t="s">
        <v>2391</v>
      </c>
      <c r="C241" s="311">
        <v>0.14099999999999999</v>
      </c>
      <c r="D241" s="311">
        <v>0.14199999999999999</v>
      </c>
      <c r="E241" s="311">
        <v>0.14899999999999999</v>
      </c>
      <c r="F241" s="311">
        <v>0.15</v>
      </c>
      <c r="G241" s="312">
        <v>0.14399999999999999</v>
      </c>
    </row>
    <row r="242" spans="1:7">
      <c r="A242" s="321" t="s">
        <v>284</v>
      </c>
      <c r="B242" s="310" t="s">
        <v>2401</v>
      </c>
      <c r="C242" s="311">
        <v>0.14099999999999999</v>
      </c>
      <c r="D242" s="311">
        <v>0.14199999999999999</v>
      </c>
      <c r="E242" s="311">
        <v>0.14799999999999999</v>
      </c>
      <c r="F242" s="311">
        <v>0.127</v>
      </c>
      <c r="G242" s="312">
        <v>0.14399999999999999</v>
      </c>
    </row>
    <row r="243" spans="1:7">
      <c r="A243" s="321" t="s">
        <v>284</v>
      </c>
      <c r="B243" s="310" t="s">
        <v>2411</v>
      </c>
      <c r="C243" s="311">
        <v>0.14699999999999999</v>
      </c>
      <c r="D243" s="311">
        <v>0.14699999999999999</v>
      </c>
      <c r="E243" s="311">
        <v>0.15</v>
      </c>
      <c r="F243" s="311">
        <v>0.15</v>
      </c>
      <c r="G243" s="312">
        <v>0.14899999999999999</v>
      </c>
    </row>
    <row r="244" spans="1:7">
      <c r="A244" s="321" t="s">
        <v>284</v>
      </c>
      <c r="B244" s="310" t="s">
        <v>2421</v>
      </c>
      <c r="C244" s="311">
        <v>0.15</v>
      </c>
      <c r="D244" s="311">
        <v>0.15</v>
      </c>
      <c r="E244" s="311">
        <v>0.15</v>
      </c>
      <c r="F244" s="311">
        <v>0.15</v>
      </c>
      <c r="G244" s="312">
        <v>0.15</v>
      </c>
    </row>
    <row r="245" spans="1:7">
      <c r="A245" s="321" t="s">
        <v>284</v>
      </c>
      <c r="B245" s="310" t="s">
        <v>2431</v>
      </c>
      <c r="C245" s="311">
        <v>0.14199999999999999</v>
      </c>
      <c r="D245" s="311">
        <v>0.14199999999999999</v>
      </c>
      <c r="E245" s="311">
        <v>0.15</v>
      </c>
      <c r="F245" s="311">
        <v>0.15</v>
      </c>
      <c r="G245" s="312">
        <v>0.14499999999999999</v>
      </c>
    </row>
    <row r="246" spans="1:7">
      <c r="A246" s="321" t="s">
        <v>284</v>
      </c>
      <c r="B246" s="310" t="s">
        <v>2441</v>
      </c>
      <c r="C246" s="311">
        <v>0.14199999999999999</v>
      </c>
      <c r="D246" s="311">
        <v>0.14299999999999999</v>
      </c>
      <c r="E246" s="311">
        <v>0.15</v>
      </c>
      <c r="F246" s="311">
        <v>0.14199999999999999</v>
      </c>
      <c r="G246" s="312">
        <v>0.14399999999999999</v>
      </c>
    </row>
    <row r="247" spans="1:7">
      <c r="A247" s="321" t="s">
        <v>284</v>
      </c>
      <c r="B247" s="310" t="s">
        <v>2451</v>
      </c>
      <c r="C247" s="311">
        <v>0.14899999999999999</v>
      </c>
      <c r="D247" s="311">
        <v>0.14899999999999999</v>
      </c>
      <c r="E247" s="311">
        <v>0.15</v>
      </c>
      <c r="F247" s="311">
        <v>0.15</v>
      </c>
      <c r="G247" s="312">
        <v>0.15</v>
      </c>
    </row>
    <row r="248" spans="1:7">
      <c r="A248" s="321" t="s">
        <v>284</v>
      </c>
      <c r="B248" s="310" t="s">
        <v>2461</v>
      </c>
      <c r="C248" s="311">
        <v>0.14399999999999999</v>
      </c>
      <c r="D248" s="311">
        <v>0.14399999999999999</v>
      </c>
      <c r="E248" s="311">
        <v>0.14899999999999999</v>
      </c>
      <c r="F248" s="311">
        <v>0.14799999999999999</v>
      </c>
      <c r="G248" s="312">
        <v>0.14599999999999999</v>
      </c>
    </row>
    <row r="249" spans="1:7">
      <c r="A249" s="321" t="s">
        <v>284</v>
      </c>
      <c r="B249" s="310" t="s">
        <v>2471</v>
      </c>
      <c r="C249" s="311">
        <v>0.14000000000000001</v>
      </c>
      <c r="D249" s="311">
        <v>0.14000000000000001</v>
      </c>
      <c r="E249" s="311">
        <v>0.14699999999999999</v>
      </c>
      <c r="F249" s="311">
        <v>0.14899999999999999</v>
      </c>
      <c r="G249" s="312">
        <v>0.14199999999999999</v>
      </c>
    </row>
    <row r="250" spans="1:7">
      <c r="A250" s="321" t="s">
        <v>284</v>
      </c>
      <c r="B250" s="310" t="s">
        <v>2480</v>
      </c>
      <c r="C250" s="311">
        <v>0.14399999999999999</v>
      </c>
      <c r="D250" s="311">
        <v>0.14299999999999999</v>
      </c>
      <c r="E250" s="311">
        <v>0.14899999999999999</v>
      </c>
      <c r="F250" s="311">
        <v>0.15</v>
      </c>
      <c r="G250" s="312">
        <v>0.14599999999999999</v>
      </c>
    </row>
    <row r="251" spans="1:7">
      <c r="A251" s="321" t="s">
        <v>284</v>
      </c>
      <c r="B251" s="310" t="s">
        <v>2490</v>
      </c>
      <c r="C251" s="327"/>
      <c r="D251" s="322"/>
      <c r="E251" s="322"/>
      <c r="F251" s="311">
        <v>0.1</v>
      </c>
      <c r="G251" s="328"/>
    </row>
    <row r="252" spans="1:7">
      <c r="A252" s="321" t="s">
        <v>284</v>
      </c>
      <c r="B252" s="310" t="s">
        <v>2500</v>
      </c>
      <c r="C252" s="311">
        <v>0.14399999999999999</v>
      </c>
      <c r="D252" s="311">
        <v>0.14399999999999999</v>
      </c>
      <c r="E252" s="311">
        <v>0.15</v>
      </c>
      <c r="F252" s="311">
        <v>0.14899999999999999</v>
      </c>
      <c r="G252" s="312">
        <v>0.14599999999999999</v>
      </c>
    </row>
    <row r="253" spans="1:7">
      <c r="A253" s="321" t="s">
        <v>284</v>
      </c>
      <c r="B253" s="310" t="s">
        <v>2510</v>
      </c>
      <c r="C253" s="311">
        <v>0.14199999999999999</v>
      </c>
      <c r="D253" s="311">
        <v>0.14199999999999999</v>
      </c>
      <c r="E253" s="311">
        <v>0.14599999999999999</v>
      </c>
      <c r="F253" s="311">
        <v>0.14799999999999999</v>
      </c>
      <c r="G253" s="312">
        <v>0.14499999999999999</v>
      </c>
    </row>
    <row r="254" spans="1:7">
      <c r="A254" s="321" t="s">
        <v>284</v>
      </c>
      <c r="B254" s="310" t="s">
        <v>2519</v>
      </c>
      <c r="C254" s="311">
        <v>0.15</v>
      </c>
      <c r="D254" s="311">
        <v>0.15</v>
      </c>
      <c r="E254" s="311">
        <v>0.15</v>
      </c>
      <c r="F254" s="311">
        <v>0.15</v>
      </c>
      <c r="G254" s="312">
        <v>0.15</v>
      </c>
    </row>
    <row r="255" spans="1:7">
      <c r="A255" s="321" t="s">
        <v>284</v>
      </c>
      <c r="B255" s="310" t="s">
        <v>2527</v>
      </c>
      <c r="C255" s="311">
        <v>0.14299999999999999</v>
      </c>
      <c r="D255" s="311">
        <v>0.14299999999999999</v>
      </c>
      <c r="E255" s="311">
        <v>0.15</v>
      </c>
      <c r="F255" s="311">
        <v>0.15</v>
      </c>
      <c r="G255" s="312">
        <v>0.14499999999999999</v>
      </c>
    </row>
    <row r="256" spans="1:7">
      <c r="A256" s="321" t="s">
        <v>284</v>
      </c>
      <c r="B256" s="310" t="s">
        <v>2535</v>
      </c>
      <c r="C256" s="311">
        <v>0.15</v>
      </c>
      <c r="D256" s="311">
        <v>0.15</v>
      </c>
      <c r="E256" s="311">
        <v>0.15</v>
      </c>
      <c r="F256" s="311">
        <v>0.14599999999999999</v>
      </c>
      <c r="G256" s="312">
        <v>0.15</v>
      </c>
    </row>
    <row r="257" spans="1:7">
      <c r="A257" s="321" t="s">
        <v>284</v>
      </c>
      <c r="B257" s="310" t="s">
        <v>2543</v>
      </c>
      <c r="C257" s="311">
        <v>0.14199999999999999</v>
      </c>
      <c r="D257" s="311">
        <v>0.14299999999999999</v>
      </c>
      <c r="E257" s="311">
        <v>0.14799999999999999</v>
      </c>
      <c r="F257" s="311">
        <v>0.15</v>
      </c>
      <c r="G257" s="312">
        <v>0.14499999999999999</v>
      </c>
    </row>
    <row r="258" spans="1:7">
      <c r="A258" s="321" t="s">
        <v>284</v>
      </c>
      <c r="B258" s="310" t="s">
        <v>2551</v>
      </c>
      <c r="C258" s="311">
        <v>0.14299999999999999</v>
      </c>
      <c r="D258" s="311">
        <v>0.14299999999999999</v>
      </c>
      <c r="E258" s="311">
        <v>0.15</v>
      </c>
      <c r="F258" s="311">
        <v>0.14799999999999999</v>
      </c>
      <c r="G258" s="312">
        <v>0.14599999999999999</v>
      </c>
    </row>
    <row r="259" spans="1:7">
      <c r="A259" s="321" t="s">
        <v>284</v>
      </c>
      <c r="B259" s="310" t="s">
        <v>2558</v>
      </c>
      <c r="C259" s="311">
        <v>0.14399999999999999</v>
      </c>
      <c r="D259" s="311">
        <v>0.14399999999999999</v>
      </c>
      <c r="E259" s="311">
        <v>0.14899999999999999</v>
      </c>
      <c r="F259" s="311">
        <v>0.14699999999999999</v>
      </c>
      <c r="G259" s="312">
        <v>0.14599999999999999</v>
      </c>
    </row>
    <row r="260" spans="1:7">
      <c r="A260" s="321" t="s">
        <v>284</v>
      </c>
      <c r="B260" s="310" t="s">
        <v>2565</v>
      </c>
      <c r="C260" s="311">
        <v>0.109</v>
      </c>
      <c r="D260" s="311">
        <v>0.111</v>
      </c>
      <c r="E260" s="311">
        <v>0.13100000000000001</v>
      </c>
      <c r="F260" s="311">
        <v>0.126</v>
      </c>
      <c r="G260" s="312">
        <v>0.11899999999999999</v>
      </c>
    </row>
    <row r="261" spans="1:7">
      <c r="A261" s="321" t="s">
        <v>284</v>
      </c>
      <c r="B261" s="310" t="s">
        <v>2572</v>
      </c>
      <c r="C261" s="311">
        <v>0.1</v>
      </c>
      <c r="D261" s="311">
        <v>0.1</v>
      </c>
      <c r="E261" s="311">
        <v>0.11799999999999999</v>
      </c>
      <c r="F261" s="311">
        <v>0.108</v>
      </c>
      <c r="G261" s="312">
        <v>0.107</v>
      </c>
    </row>
    <row r="262" spans="1:7">
      <c r="A262" s="321" t="s">
        <v>284</v>
      </c>
      <c r="B262" s="310" t="s">
        <v>2579</v>
      </c>
      <c r="C262" s="311">
        <v>0.1</v>
      </c>
      <c r="D262" s="311">
        <v>0.1</v>
      </c>
      <c r="E262" s="311">
        <v>0.1</v>
      </c>
      <c r="F262" s="311">
        <v>0.14099999999999999</v>
      </c>
      <c r="G262" s="312">
        <v>0.1</v>
      </c>
    </row>
    <row r="263" spans="1:7">
      <c r="A263" s="321" t="s">
        <v>284</v>
      </c>
      <c r="B263" s="310" t="s">
        <v>2586</v>
      </c>
      <c r="C263" s="311">
        <v>0.14799999999999999</v>
      </c>
      <c r="D263" s="311">
        <v>0.14799999999999999</v>
      </c>
      <c r="E263" s="311">
        <v>0.15</v>
      </c>
      <c r="F263" s="311">
        <v>0.14699999999999999</v>
      </c>
      <c r="G263" s="312">
        <v>0.15</v>
      </c>
    </row>
    <row r="264" spans="1:7">
      <c r="A264" s="321" t="s">
        <v>284</v>
      </c>
      <c r="B264" s="310" t="s">
        <v>2593</v>
      </c>
      <c r="C264" s="311">
        <v>0.14299999999999999</v>
      </c>
      <c r="D264" s="311">
        <v>0.14299999999999999</v>
      </c>
      <c r="E264" s="311">
        <v>0.15</v>
      </c>
      <c r="F264" s="311">
        <v>0.14899999999999999</v>
      </c>
      <c r="G264" s="312">
        <v>0.14599999999999999</v>
      </c>
    </row>
    <row r="265" spans="1:7">
      <c r="A265" s="321" t="s">
        <v>284</v>
      </c>
      <c r="B265" s="310" t="s">
        <v>2600</v>
      </c>
      <c r="C265" s="322"/>
      <c r="D265" s="322"/>
      <c r="E265" s="322"/>
      <c r="F265" s="311">
        <v>0.05</v>
      </c>
      <c r="G265" s="328"/>
    </row>
    <row r="266" spans="1:7">
      <c r="A266" s="321" t="s">
        <v>284</v>
      </c>
      <c r="B266" s="310" t="s">
        <v>2605</v>
      </c>
      <c r="C266" s="322"/>
      <c r="D266" s="322"/>
      <c r="E266" s="322"/>
      <c r="F266" s="311">
        <v>0.05</v>
      </c>
      <c r="G266" s="328"/>
    </row>
    <row r="267" spans="1:7">
      <c r="A267" s="321" t="s">
        <v>284</v>
      </c>
      <c r="B267" s="310" t="s">
        <v>2610</v>
      </c>
      <c r="C267" s="322"/>
      <c r="D267" s="322"/>
      <c r="E267" s="322"/>
      <c r="F267" s="311">
        <v>0.05</v>
      </c>
      <c r="G267" s="328"/>
    </row>
    <row r="268" spans="1:7">
      <c r="A268" s="321" t="s">
        <v>284</v>
      </c>
      <c r="B268" s="310" t="s">
        <v>2615</v>
      </c>
      <c r="C268" s="322"/>
      <c r="D268" s="322"/>
      <c r="E268" s="322"/>
      <c r="F268" s="311">
        <v>0.05</v>
      </c>
      <c r="G268" s="328"/>
    </row>
    <row r="269" spans="1:7">
      <c r="A269" s="321" t="s">
        <v>284</v>
      </c>
      <c r="B269" s="310" t="s">
        <v>2620</v>
      </c>
      <c r="C269" s="322"/>
      <c r="D269" s="322"/>
      <c r="E269" s="322"/>
      <c r="F269" s="311">
        <v>0.05</v>
      </c>
      <c r="G269" s="328"/>
    </row>
    <row r="270" spans="1:7">
      <c r="A270" s="321" t="s">
        <v>284</v>
      </c>
      <c r="B270" s="310" t="s">
        <v>2625</v>
      </c>
      <c r="C270" s="322"/>
      <c r="D270" s="322"/>
      <c r="E270" s="322"/>
      <c r="F270" s="311">
        <v>0.05</v>
      </c>
      <c r="G270" s="328"/>
    </row>
    <row r="271" spans="1:7">
      <c r="A271" s="321" t="s">
        <v>284</v>
      </c>
      <c r="B271" s="310" t="s">
        <v>2630</v>
      </c>
      <c r="C271" s="322"/>
      <c r="D271" s="322"/>
      <c r="E271" s="322"/>
      <c r="F271" s="311">
        <v>0.05</v>
      </c>
      <c r="G271" s="328"/>
    </row>
    <row r="272" spans="1:7">
      <c r="A272" s="321" t="s">
        <v>284</v>
      </c>
      <c r="B272" s="310" t="s">
        <v>2635</v>
      </c>
      <c r="C272" s="322"/>
      <c r="D272" s="322"/>
      <c r="E272" s="322"/>
      <c r="F272" s="311">
        <v>0.05</v>
      </c>
      <c r="G272" s="328"/>
    </row>
    <row r="273" spans="1:7">
      <c r="A273" s="321" t="s">
        <v>284</v>
      </c>
      <c r="B273" s="310" t="s">
        <v>2640</v>
      </c>
      <c r="C273" s="322"/>
      <c r="D273" s="322"/>
      <c r="E273" s="322"/>
      <c r="F273" s="311">
        <v>0.05</v>
      </c>
      <c r="G273" s="328"/>
    </row>
    <row r="274" spans="1:7">
      <c r="A274" s="321" t="s">
        <v>284</v>
      </c>
      <c r="B274" s="310" t="s">
        <v>2644</v>
      </c>
      <c r="C274" s="322"/>
      <c r="D274" s="322"/>
      <c r="E274" s="322"/>
      <c r="F274" s="311">
        <v>0.05</v>
      </c>
      <c r="G274" s="328"/>
    </row>
    <row r="275" spans="1:7">
      <c r="A275" s="321" t="s">
        <v>284</v>
      </c>
      <c r="B275" s="310" t="s">
        <v>2648</v>
      </c>
      <c r="C275" s="322"/>
      <c r="D275" s="322"/>
      <c r="E275" s="322"/>
      <c r="F275" s="311">
        <v>0.05</v>
      </c>
      <c r="G275" s="328"/>
    </row>
    <row r="276" spans="1:7">
      <c r="A276" s="324" t="s">
        <v>284</v>
      </c>
      <c r="B276" s="314" t="s">
        <v>2652</v>
      </c>
      <c r="C276" s="316"/>
      <c r="D276" s="316"/>
      <c r="E276" s="316"/>
      <c r="F276" s="315">
        <v>0.05</v>
      </c>
      <c r="G276" s="329"/>
    </row>
    <row r="277" spans="1:7">
      <c r="A277" s="320" t="s">
        <v>288</v>
      </c>
      <c r="B277" s="306" t="s">
        <v>2308</v>
      </c>
      <c r="C277" s="307">
        <v>0.15</v>
      </c>
      <c r="D277" s="307">
        <v>0.15</v>
      </c>
      <c r="E277" s="307">
        <v>0.15</v>
      </c>
      <c r="F277" s="307">
        <v>0.15</v>
      </c>
      <c r="G277" s="308">
        <v>0.15</v>
      </c>
    </row>
    <row r="278" spans="1:7">
      <c r="A278" s="321" t="s">
        <v>288</v>
      </c>
      <c r="B278" s="310" t="s">
        <v>2321</v>
      </c>
      <c r="C278" s="311">
        <v>0.15</v>
      </c>
      <c r="D278" s="311">
        <v>0.15</v>
      </c>
      <c r="E278" s="311">
        <v>0.15</v>
      </c>
      <c r="F278" s="311">
        <v>0.15</v>
      </c>
      <c r="G278" s="312">
        <v>0.15</v>
      </c>
    </row>
    <row r="279" spans="1:7">
      <c r="A279" s="321" t="s">
        <v>288</v>
      </c>
      <c r="B279" s="310" t="s">
        <v>2335</v>
      </c>
      <c r="C279" s="311">
        <v>0.15</v>
      </c>
      <c r="D279" s="311">
        <v>0.15</v>
      </c>
      <c r="E279" s="311">
        <v>0.15</v>
      </c>
      <c r="F279" s="311">
        <v>0.15</v>
      </c>
      <c r="G279" s="312">
        <v>0.15</v>
      </c>
    </row>
    <row r="280" spans="1:7">
      <c r="A280" s="321" t="s">
        <v>288</v>
      </c>
      <c r="B280" s="310" t="s">
        <v>2347</v>
      </c>
      <c r="C280" s="311">
        <v>0.15</v>
      </c>
      <c r="D280" s="311">
        <v>0.15</v>
      </c>
      <c r="E280" s="311">
        <v>0.15</v>
      </c>
      <c r="F280" s="311">
        <v>0.15</v>
      </c>
      <c r="G280" s="312">
        <v>0.15</v>
      </c>
    </row>
    <row r="281" spans="1:7">
      <c r="A281" s="321" t="s">
        <v>288</v>
      </c>
      <c r="B281" s="310" t="s">
        <v>2359</v>
      </c>
      <c r="C281" s="311">
        <v>0.15</v>
      </c>
      <c r="D281" s="311">
        <v>0.15</v>
      </c>
      <c r="E281" s="311">
        <v>0.15</v>
      </c>
      <c r="F281" s="311">
        <v>0.15</v>
      </c>
      <c r="G281" s="312">
        <v>0.15</v>
      </c>
    </row>
    <row r="282" spans="1:7">
      <c r="A282" s="321" t="s">
        <v>288</v>
      </c>
      <c r="B282" s="310" t="s">
        <v>2370</v>
      </c>
      <c r="C282" s="311">
        <v>0.15</v>
      </c>
      <c r="D282" s="311">
        <v>0.15</v>
      </c>
      <c r="E282" s="311">
        <v>0.15</v>
      </c>
      <c r="F282" s="311">
        <v>0.14499999999999999</v>
      </c>
      <c r="G282" s="312">
        <v>0.15</v>
      </c>
    </row>
    <row r="283" spans="1:7">
      <c r="A283" s="321" t="s">
        <v>288</v>
      </c>
      <c r="B283" s="310" t="s">
        <v>2381</v>
      </c>
      <c r="C283" s="311">
        <v>0.15</v>
      </c>
      <c r="D283" s="311">
        <v>0.15</v>
      </c>
      <c r="E283" s="311">
        <v>0.15</v>
      </c>
      <c r="F283" s="311">
        <v>0.14199999999999999</v>
      </c>
      <c r="G283" s="312">
        <v>0.15</v>
      </c>
    </row>
    <row r="284" spans="1:7">
      <c r="A284" s="321" t="s">
        <v>288</v>
      </c>
      <c r="B284" s="310" t="s">
        <v>2392</v>
      </c>
      <c r="C284" s="311">
        <v>0.15</v>
      </c>
      <c r="D284" s="311">
        <v>0.15</v>
      </c>
      <c r="E284" s="311">
        <v>0.15</v>
      </c>
      <c r="F284" s="311">
        <v>0.15</v>
      </c>
      <c r="G284" s="312">
        <v>0.15</v>
      </c>
    </row>
    <row r="285" spans="1:7">
      <c r="A285" s="321" t="s">
        <v>288</v>
      </c>
      <c r="B285" s="310" t="s">
        <v>2402</v>
      </c>
      <c r="C285" s="311">
        <v>0.15</v>
      </c>
      <c r="D285" s="311">
        <v>0.15</v>
      </c>
      <c r="E285" s="311">
        <v>0.15</v>
      </c>
      <c r="F285" s="311">
        <v>0.15</v>
      </c>
      <c r="G285" s="312">
        <v>0.15</v>
      </c>
    </row>
    <row r="286" spans="1:7">
      <c r="A286" s="321" t="s">
        <v>288</v>
      </c>
      <c r="B286" s="310" t="s">
        <v>2412</v>
      </c>
      <c r="C286" s="311">
        <v>0.14499999999999999</v>
      </c>
      <c r="D286" s="311">
        <v>0.14499999999999999</v>
      </c>
      <c r="E286" s="311">
        <v>0.15</v>
      </c>
      <c r="F286" s="311">
        <v>0.14099999999999999</v>
      </c>
      <c r="G286" s="312">
        <v>0.14499999999999999</v>
      </c>
    </row>
    <row r="287" spans="1:7">
      <c r="A287" s="321" t="s">
        <v>288</v>
      </c>
      <c r="B287" s="310" t="s">
        <v>2422</v>
      </c>
      <c r="C287" s="311">
        <v>0.11</v>
      </c>
      <c r="D287" s="311">
        <v>0.111</v>
      </c>
      <c r="E287" s="311">
        <v>0.14099999999999999</v>
      </c>
      <c r="F287" s="311">
        <v>0.11</v>
      </c>
      <c r="G287" s="312">
        <v>0.12</v>
      </c>
    </row>
    <row r="288" spans="1:7">
      <c r="A288" s="321" t="s">
        <v>288</v>
      </c>
      <c r="B288" s="310" t="s">
        <v>2432</v>
      </c>
      <c r="C288" s="311">
        <v>0.14199999999999999</v>
      </c>
      <c r="D288" s="311">
        <v>0.14299999999999999</v>
      </c>
      <c r="E288" s="311">
        <v>0.15</v>
      </c>
      <c r="F288" s="311">
        <v>0.14199999999999999</v>
      </c>
      <c r="G288" s="312">
        <v>0.14399999999999999</v>
      </c>
    </row>
    <row r="289" spans="1:7">
      <c r="A289" s="321" t="s">
        <v>288</v>
      </c>
      <c r="B289" s="310" t="s">
        <v>2442</v>
      </c>
      <c r="C289" s="311">
        <v>0.14299999999999999</v>
      </c>
      <c r="D289" s="311">
        <v>0.14299999999999999</v>
      </c>
      <c r="E289" s="311">
        <v>0.14799999999999999</v>
      </c>
      <c r="F289" s="311">
        <v>0.14399999999999999</v>
      </c>
      <c r="G289" s="312">
        <v>0.14399999999999999</v>
      </c>
    </row>
    <row r="290" spans="1:7">
      <c r="A290" s="321" t="s">
        <v>288</v>
      </c>
      <c r="B290" s="310" t="s">
        <v>2452</v>
      </c>
      <c r="C290" s="311">
        <v>0.14799999999999999</v>
      </c>
      <c r="D290" s="311">
        <v>0.14899999999999999</v>
      </c>
      <c r="E290" s="311">
        <v>0.15</v>
      </c>
      <c r="F290" s="311">
        <v>0.127</v>
      </c>
      <c r="G290" s="312">
        <v>0.15</v>
      </c>
    </row>
    <row r="291" spans="1:7">
      <c r="A291" s="321" t="s">
        <v>288</v>
      </c>
      <c r="B291" s="310" t="s">
        <v>2462</v>
      </c>
      <c r="C291" s="311">
        <v>0.15</v>
      </c>
      <c r="D291" s="311">
        <v>0.15</v>
      </c>
      <c r="E291" s="311">
        <v>0.15</v>
      </c>
      <c r="F291" s="311">
        <v>0.14899999999999999</v>
      </c>
      <c r="G291" s="312">
        <v>0.15</v>
      </c>
    </row>
    <row r="292" spans="1:7">
      <c r="A292" s="321" t="s">
        <v>288</v>
      </c>
      <c r="B292" s="310" t="s">
        <v>2472</v>
      </c>
      <c r="C292" s="311">
        <v>0.15</v>
      </c>
      <c r="D292" s="311">
        <v>0.15</v>
      </c>
      <c r="E292" s="311">
        <v>0.15</v>
      </c>
      <c r="F292" s="311">
        <v>0.14399999999999999</v>
      </c>
      <c r="G292" s="312">
        <v>0.15</v>
      </c>
    </row>
    <row r="293" spans="1:7">
      <c r="A293" s="321" t="s">
        <v>288</v>
      </c>
      <c r="B293" s="310" t="s">
        <v>2481</v>
      </c>
      <c r="C293" s="311">
        <v>0.15</v>
      </c>
      <c r="D293" s="311">
        <v>0.15</v>
      </c>
      <c r="E293" s="311">
        <v>0.15</v>
      </c>
      <c r="F293" s="311">
        <v>0.14499999999999999</v>
      </c>
      <c r="G293" s="312">
        <v>0.15</v>
      </c>
    </row>
    <row r="294" spans="1:7">
      <c r="A294" s="321" t="s">
        <v>288</v>
      </c>
      <c r="B294" s="310" t="s">
        <v>2491</v>
      </c>
      <c r="C294" s="311">
        <v>0.15</v>
      </c>
      <c r="D294" s="311">
        <v>0.15</v>
      </c>
      <c r="E294" s="311">
        <v>0.15</v>
      </c>
      <c r="F294" s="311">
        <v>0.14899999999999999</v>
      </c>
      <c r="G294" s="312">
        <v>0.15</v>
      </c>
    </row>
    <row r="295" spans="1:7">
      <c r="A295" s="321" t="s">
        <v>288</v>
      </c>
      <c r="B295" s="310" t="s">
        <v>2501</v>
      </c>
      <c r="C295" s="311">
        <v>0.15</v>
      </c>
      <c r="D295" s="311">
        <v>0.15</v>
      </c>
      <c r="E295" s="311">
        <v>0.15</v>
      </c>
      <c r="F295" s="311">
        <v>0.14799999999999999</v>
      </c>
      <c r="G295" s="312">
        <v>0.15</v>
      </c>
    </row>
    <row r="296" spans="1:7">
      <c r="A296" s="321" t="s">
        <v>288</v>
      </c>
      <c r="B296" s="310" t="s">
        <v>2511</v>
      </c>
      <c r="C296" s="311">
        <v>0.15</v>
      </c>
      <c r="D296" s="311">
        <v>0.15</v>
      </c>
      <c r="E296" s="311">
        <v>0.15</v>
      </c>
      <c r="F296" s="311">
        <v>0.14399999999999999</v>
      </c>
      <c r="G296" s="312">
        <v>0.15</v>
      </c>
    </row>
    <row r="297" spans="1:7">
      <c r="A297" s="321" t="s">
        <v>288</v>
      </c>
      <c r="B297" s="310" t="s">
        <v>2520</v>
      </c>
      <c r="C297" s="311">
        <v>0.15</v>
      </c>
      <c r="D297" s="311">
        <v>0.15</v>
      </c>
      <c r="E297" s="311">
        <v>0.15</v>
      </c>
      <c r="F297" s="311">
        <v>0.14499999999999999</v>
      </c>
      <c r="G297" s="312">
        <v>0.15</v>
      </c>
    </row>
    <row r="298" spans="1:7">
      <c r="A298" s="321" t="s">
        <v>288</v>
      </c>
      <c r="B298" s="310" t="s">
        <v>2528</v>
      </c>
      <c r="C298" s="311">
        <v>0.15</v>
      </c>
      <c r="D298" s="311">
        <v>0.15</v>
      </c>
      <c r="E298" s="311">
        <v>0.15</v>
      </c>
      <c r="F298" s="311">
        <v>0.15</v>
      </c>
      <c r="G298" s="312">
        <v>0.15</v>
      </c>
    </row>
    <row r="299" spans="1:7">
      <c r="A299" s="321" t="s">
        <v>288</v>
      </c>
      <c r="B299" s="330" t="s">
        <v>2536</v>
      </c>
      <c r="C299" s="311">
        <v>0.15</v>
      </c>
      <c r="D299" s="311">
        <v>0.15</v>
      </c>
      <c r="E299" s="311">
        <v>0.15</v>
      </c>
      <c r="F299" s="311">
        <v>0.14499999999999999</v>
      </c>
      <c r="G299" s="312">
        <v>0.15</v>
      </c>
    </row>
    <row r="300" spans="1:7">
      <c r="A300" s="321" t="s">
        <v>288</v>
      </c>
      <c r="B300" s="330" t="s">
        <v>2544</v>
      </c>
      <c r="C300" s="311">
        <v>0.15</v>
      </c>
      <c r="D300" s="311">
        <v>0.15</v>
      </c>
      <c r="E300" s="311">
        <v>0.15</v>
      </c>
      <c r="F300" s="311">
        <v>0.14599999999999999</v>
      </c>
      <c r="G300" s="312">
        <v>0.15</v>
      </c>
    </row>
    <row r="301" spans="1:7">
      <c r="A301" s="321" t="s">
        <v>288</v>
      </c>
      <c r="B301" s="330" t="s">
        <v>2552</v>
      </c>
      <c r="C301" s="311">
        <v>0.126</v>
      </c>
      <c r="D301" s="311">
        <v>0.124</v>
      </c>
      <c r="E301" s="311">
        <v>0.14099999999999999</v>
      </c>
      <c r="F301" s="311">
        <v>0.14399999999999999</v>
      </c>
      <c r="G301" s="312">
        <v>0.13</v>
      </c>
    </row>
    <row r="302" spans="1:7">
      <c r="A302" s="321" t="s">
        <v>288</v>
      </c>
      <c r="B302" s="310" t="s">
        <v>2559</v>
      </c>
      <c r="C302" s="311">
        <v>0.15</v>
      </c>
      <c r="D302" s="311">
        <v>0.15</v>
      </c>
      <c r="E302" s="311">
        <v>0.15</v>
      </c>
      <c r="F302" s="311">
        <v>0.14699999999999999</v>
      </c>
      <c r="G302" s="312">
        <v>0.15</v>
      </c>
    </row>
    <row r="303" spans="1:7">
      <c r="A303" s="321" t="s">
        <v>288</v>
      </c>
      <c r="B303" s="310" t="s">
        <v>2566</v>
      </c>
      <c r="C303" s="311">
        <v>0.15</v>
      </c>
      <c r="D303" s="311">
        <v>0.15</v>
      </c>
      <c r="E303" s="311">
        <v>0.15</v>
      </c>
      <c r="F303" s="311">
        <v>0.14199999999999999</v>
      </c>
      <c r="G303" s="312">
        <v>0.15</v>
      </c>
    </row>
    <row r="304" spans="1:7">
      <c r="A304" s="321" t="s">
        <v>288</v>
      </c>
      <c r="B304" s="310" t="s">
        <v>2573</v>
      </c>
      <c r="C304" s="311">
        <v>0.15</v>
      </c>
      <c r="D304" s="311">
        <v>0.15</v>
      </c>
      <c r="E304" s="311">
        <v>0.15</v>
      </c>
      <c r="F304" s="311">
        <v>0.14499999999999999</v>
      </c>
      <c r="G304" s="312">
        <v>0.15</v>
      </c>
    </row>
    <row r="305" spans="1:7">
      <c r="A305" s="321" t="s">
        <v>288</v>
      </c>
      <c r="B305" s="310" t="s">
        <v>2580</v>
      </c>
      <c r="C305" s="311">
        <v>0.15</v>
      </c>
      <c r="D305" s="311">
        <v>0.15</v>
      </c>
      <c r="E305" s="311">
        <v>0.15</v>
      </c>
      <c r="F305" s="311">
        <v>0.111</v>
      </c>
      <c r="G305" s="312">
        <v>0.15</v>
      </c>
    </row>
    <row r="306" spans="1:7">
      <c r="A306" s="321" t="s">
        <v>288</v>
      </c>
      <c r="B306" s="310" t="s">
        <v>2587</v>
      </c>
      <c r="C306" s="311">
        <v>0.15</v>
      </c>
      <c r="D306" s="311">
        <v>0.15</v>
      </c>
      <c r="E306" s="311">
        <v>0.15</v>
      </c>
      <c r="F306" s="311">
        <v>0.126</v>
      </c>
      <c r="G306" s="312">
        <v>0.15</v>
      </c>
    </row>
    <row r="307" spans="1:7">
      <c r="A307" s="321" t="s">
        <v>288</v>
      </c>
      <c r="B307" s="310" t="s">
        <v>2594</v>
      </c>
      <c r="C307" s="311">
        <v>0.15</v>
      </c>
      <c r="D307" s="311">
        <v>0.15</v>
      </c>
      <c r="E307" s="311">
        <v>0.15</v>
      </c>
      <c r="F307" s="311">
        <v>0.12</v>
      </c>
      <c r="G307" s="312">
        <v>0.15</v>
      </c>
    </row>
    <row r="308" spans="1:7">
      <c r="A308" s="321" t="s">
        <v>288</v>
      </c>
      <c r="B308" s="310" t="s">
        <v>2601</v>
      </c>
      <c r="C308" s="311">
        <v>0.15</v>
      </c>
      <c r="D308" s="311">
        <v>0.15</v>
      </c>
      <c r="E308" s="311">
        <v>0.15</v>
      </c>
      <c r="F308" s="311">
        <v>0.13</v>
      </c>
      <c r="G308" s="312">
        <v>0.15</v>
      </c>
    </row>
    <row r="309" spans="1:7">
      <c r="A309" s="321" t="s">
        <v>288</v>
      </c>
      <c r="B309" s="310" t="s">
        <v>2606</v>
      </c>
      <c r="C309" s="311">
        <v>0.15</v>
      </c>
      <c r="D309" s="311">
        <v>0.15</v>
      </c>
      <c r="E309" s="311">
        <v>0.15</v>
      </c>
      <c r="F309" s="311">
        <v>0.14099999999999999</v>
      </c>
      <c r="G309" s="312">
        <v>0.15</v>
      </c>
    </row>
    <row r="310" spans="1:7">
      <c r="A310" s="321" t="s">
        <v>288</v>
      </c>
      <c r="B310" s="310" t="s">
        <v>2611</v>
      </c>
      <c r="C310" s="311">
        <v>0.15</v>
      </c>
      <c r="D310" s="311">
        <v>0.15</v>
      </c>
      <c r="E310" s="311">
        <v>0.15</v>
      </c>
      <c r="F310" s="311">
        <v>0.15</v>
      </c>
      <c r="G310" s="312">
        <v>0.15</v>
      </c>
    </row>
    <row r="311" spans="1:7">
      <c r="A311" s="321" t="s">
        <v>288</v>
      </c>
      <c r="B311" s="310" t="s">
        <v>2616</v>
      </c>
      <c r="C311" s="311">
        <v>0.13200000000000001</v>
      </c>
      <c r="D311" s="311">
        <v>0.13300000000000001</v>
      </c>
      <c r="E311" s="311">
        <v>0.14499999999999999</v>
      </c>
      <c r="F311" s="311">
        <v>0.14199999999999999</v>
      </c>
      <c r="G311" s="312">
        <v>0.14000000000000001</v>
      </c>
    </row>
    <row r="312" spans="1:7">
      <c r="A312" s="321" t="s">
        <v>288</v>
      </c>
      <c r="B312" s="310" t="s">
        <v>2621</v>
      </c>
      <c r="C312" s="311">
        <v>0.13800000000000001</v>
      </c>
      <c r="D312" s="311">
        <v>0.14000000000000001</v>
      </c>
      <c r="E312" s="311">
        <v>0.14599999999999999</v>
      </c>
      <c r="F312" s="311">
        <v>0.14899999999999999</v>
      </c>
      <c r="G312" s="312">
        <v>0.14199999999999999</v>
      </c>
    </row>
    <row r="313" spans="1:7">
      <c r="A313" s="321" t="s">
        <v>288</v>
      </c>
      <c r="B313" s="310" t="s">
        <v>2626</v>
      </c>
      <c r="C313" s="311">
        <v>0.125</v>
      </c>
      <c r="D313" s="311">
        <v>0.127</v>
      </c>
      <c r="E313" s="311">
        <v>0.14399999999999999</v>
      </c>
      <c r="F313" s="311">
        <v>0.115</v>
      </c>
      <c r="G313" s="312">
        <v>0.13600000000000001</v>
      </c>
    </row>
    <row r="314" spans="1:7">
      <c r="A314" s="321" t="s">
        <v>288</v>
      </c>
      <c r="B314" s="310" t="s">
        <v>2631</v>
      </c>
      <c r="C314" s="327"/>
      <c r="D314" s="327"/>
      <c r="E314" s="327"/>
      <c r="F314" s="311">
        <v>0.05</v>
      </c>
      <c r="G314" s="328"/>
    </row>
    <row r="315" spans="1:7">
      <c r="A315" s="321" t="s">
        <v>288</v>
      </c>
      <c r="B315" s="310" t="s">
        <v>2636</v>
      </c>
      <c r="C315" s="327"/>
      <c r="D315" s="327"/>
      <c r="E315" s="327"/>
      <c r="F315" s="311">
        <v>0.05</v>
      </c>
      <c r="G315" s="328"/>
    </row>
    <row r="316" spans="1:7">
      <c r="A316" s="321" t="s">
        <v>288</v>
      </c>
      <c r="B316" s="310" t="s">
        <v>2641</v>
      </c>
      <c r="C316" s="322"/>
      <c r="D316" s="322"/>
      <c r="E316" s="322"/>
      <c r="F316" s="311">
        <v>0.05</v>
      </c>
      <c r="G316" s="328"/>
    </row>
    <row r="317" spans="1:7">
      <c r="A317" s="321" t="s">
        <v>288</v>
      </c>
      <c r="B317" s="310" t="s">
        <v>2645</v>
      </c>
      <c r="C317" s="322"/>
      <c r="D317" s="322"/>
      <c r="E317" s="322"/>
      <c r="F317" s="311">
        <v>0.05</v>
      </c>
      <c r="G317" s="328"/>
    </row>
    <row r="318" spans="1:7">
      <c r="A318" s="321" t="s">
        <v>288</v>
      </c>
      <c r="B318" s="310" t="s">
        <v>2649</v>
      </c>
      <c r="C318" s="322"/>
      <c r="D318" s="322"/>
      <c r="E318" s="322"/>
      <c r="F318" s="311">
        <v>0.05</v>
      </c>
      <c r="G318" s="328"/>
    </row>
    <row r="319" spans="1:7">
      <c r="A319" s="321" t="s">
        <v>288</v>
      </c>
      <c r="B319" s="310" t="s">
        <v>2653</v>
      </c>
      <c r="C319" s="322"/>
      <c r="D319" s="322"/>
      <c r="E319" s="322"/>
      <c r="F319" s="311">
        <v>0.05</v>
      </c>
      <c r="G319" s="328"/>
    </row>
    <row r="320" spans="1:7">
      <c r="A320" s="321" t="s">
        <v>288</v>
      </c>
      <c r="B320" s="310" t="s">
        <v>2656</v>
      </c>
      <c r="C320" s="322"/>
      <c r="D320" s="322"/>
      <c r="E320" s="322"/>
      <c r="F320" s="311">
        <v>0.05</v>
      </c>
      <c r="G320" s="328"/>
    </row>
    <row r="321" spans="1:7">
      <c r="A321" s="321" t="s">
        <v>288</v>
      </c>
      <c r="B321" s="310" t="s">
        <v>2658</v>
      </c>
      <c r="C321" s="322"/>
      <c r="D321" s="322"/>
      <c r="E321" s="322"/>
      <c r="F321" s="311">
        <v>0.05</v>
      </c>
      <c r="G321" s="328"/>
    </row>
    <row r="322" spans="1:7">
      <c r="A322" s="321" t="s">
        <v>288</v>
      </c>
      <c r="B322" s="310" t="s">
        <v>2660</v>
      </c>
      <c r="C322" s="322"/>
      <c r="D322" s="322"/>
      <c r="E322" s="322"/>
      <c r="F322" s="311">
        <v>0.05</v>
      </c>
      <c r="G322" s="328"/>
    </row>
    <row r="323" spans="1:7">
      <c r="A323" s="321" t="s">
        <v>288</v>
      </c>
      <c r="B323" s="310" t="s">
        <v>2662</v>
      </c>
      <c r="C323" s="322"/>
      <c r="D323" s="322"/>
      <c r="E323" s="322"/>
      <c r="F323" s="311">
        <v>0.05</v>
      </c>
      <c r="G323" s="328"/>
    </row>
    <row r="324" spans="1:7">
      <c r="A324" s="321" t="s">
        <v>288</v>
      </c>
      <c r="B324" s="310" t="s">
        <v>2664</v>
      </c>
      <c r="C324" s="322"/>
      <c r="D324" s="322"/>
      <c r="E324" s="322"/>
      <c r="F324" s="311">
        <v>0.05</v>
      </c>
      <c r="G324" s="328"/>
    </row>
    <row r="325" spans="1:7">
      <c r="A325" s="321" t="s">
        <v>288</v>
      </c>
      <c r="B325" s="310" t="s">
        <v>2666</v>
      </c>
      <c r="C325" s="322"/>
      <c r="D325" s="322"/>
      <c r="E325" s="322"/>
      <c r="F325" s="311">
        <v>0.05</v>
      </c>
      <c r="G325" s="328"/>
    </row>
    <row r="326" spans="1:7">
      <c r="A326" s="324" t="s">
        <v>288</v>
      </c>
      <c r="B326" s="314" t="s">
        <v>2668</v>
      </c>
      <c r="C326" s="316"/>
      <c r="D326" s="316"/>
      <c r="E326" s="316"/>
      <c r="F326" s="315">
        <v>0.05</v>
      </c>
      <c r="G326" s="329"/>
    </row>
    <row r="327" spans="1:7">
      <c r="A327" s="320" t="s">
        <v>292</v>
      </c>
      <c r="B327" s="306" t="s">
        <v>2309</v>
      </c>
      <c r="C327" s="307">
        <v>0.15</v>
      </c>
      <c r="D327" s="307">
        <v>0.15</v>
      </c>
      <c r="E327" s="307">
        <v>0.15</v>
      </c>
      <c r="F327" s="307">
        <v>0.15</v>
      </c>
      <c r="G327" s="308">
        <v>0.15</v>
      </c>
    </row>
    <row r="328" spans="1:7">
      <c r="A328" s="321" t="s">
        <v>292</v>
      </c>
      <c r="B328" s="310" t="s">
        <v>2322</v>
      </c>
      <c r="C328" s="311">
        <v>0.15</v>
      </c>
      <c r="D328" s="311">
        <v>0.15</v>
      </c>
      <c r="E328" s="311">
        <v>0.15</v>
      </c>
      <c r="F328" s="311">
        <v>0.126</v>
      </c>
      <c r="G328" s="312">
        <v>0.15</v>
      </c>
    </row>
    <row r="329" spans="1:7">
      <c r="A329" s="321" t="s">
        <v>292</v>
      </c>
      <c r="B329" s="310" t="s">
        <v>2336</v>
      </c>
      <c r="C329" s="311">
        <v>0.15</v>
      </c>
      <c r="D329" s="311">
        <v>0.15</v>
      </c>
      <c r="E329" s="311">
        <v>0.15</v>
      </c>
      <c r="F329" s="311">
        <v>0.15</v>
      </c>
      <c r="G329" s="312">
        <v>0.15</v>
      </c>
    </row>
    <row r="330" spans="1:7">
      <c r="A330" s="321" t="s">
        <v>292</v>
      </c>
      <c r="B330" s="310" t="s">
        <v>2348</v>
      </c>
      <c r="C330" s="311">
        <v>0.15</v>
      </c>
      <c r="D330" s="311">
        <v>0.15</v>
      </c>
      <c r="E330" s="311">
        <v>0.15</v>
      </c>
      <c r="F330" s="311">
        <v>0.15</v>
      </c>
      <c r="G330" s="312">
        <v>0.15</v>
      </c>
    </row>
    <row r="331" spans="1:7">
      <c r="A331" s="321" t="s">
        <v>292</v>
      </c>
      <c r="B331" s="310" t="s">
        <v>2360</v>
      </c>
      <c r="C331" s="311">
        <v>0.15</v>
      </c>
      <c r="D331" s="311">
        <v>0.15</v>
      </c>
      <c r="E331" s="311">
        <v>0.15</v>
      </c>
      <c r="F331" s="311">
        <v>0.15</v>
      </c>
      <c r="G331" s="312">
        <v>0.15</v>
      </c>
    </row>
    <row r="332" spans="1:7">
      <c r="A332" s="321" t="s">
        <v>292</v>
      </c>
      <c r="B332" s="310" t="s">
        <v>2371</v>
      </c>
      <c r="C332" s="311">
        <v>0.15</v>
      </c>
      <c r="D332" s="311">
        <v>0.15</v>
      </c>
      <c r="E332" s="311">
        <v>0.15</v>
      </c>
      <c r="F332" s="311">
        <v>0.15</v>
      </c>
      <c r="G332" s="312">
        <v>0.15</v>
      </c>
    </row>
    <row r="333" spans="1:7">
      <c r="A333" s="321" t="s">
        <v>292</v>
      </c>
      <c r="B333" s="310" t="s">
        <v>2382</v>
      </c>
      <c r="C333" s="311">
        <v>0.14899999999999999</v>
      </c>
      <c r="D333" s="311">
        <v>0.14899999999999999</v>
      </c>
      <c r="E333" s="311">
        <v>0.15</v>
      </c>
      <c r="F333" s="311">
        <v>0.11600000000000001</v>
      </c>
      <c r="G333" s="312">
        <v>0.15</v>
      </c>
    </row>
    <row r="334" spans="1:7">
      <c r="A334" s="321" t="s">
        <v>292</v>
      </c>
      <c r="B334" s="310" t="s">
        <v>2393</v>
      </c>
      <c r="C334" s="311">
        <v>0.15</v>
      </c>
      <c r="D334" s="311">
        <v>0.15</v>
      </c>
      <c r="E334" s="311">
        <v>0.15</v>
      </c>
      <c r="F334" s="311">
        <v>0.13</v>
      </c>
      <c r="G334" s="312">
        <v>0.15</v>
      </c>
    </row>
    <row r="335" spans="1:7">
      <c r="A335" s="321" t="s">
        <v>292</v>
      </c>
      <c r="B335" s="310" t="s">
        <v>2403</v>
      </c>
      <c r="C335" s="311">
        <v>0.15</v>
      </c>
      <c r="D335" s="311">
        <v>0.15</v>
      </c>
      <c r="E335" s="311">
        <v>0.15</v>
      </c>
      <c r="F335" s="311">
        <v>0.14399999999999999</v>
      </c>
      <c r="G335" s="312">
        <v>0.15</v>
      </c>
    </row>
    <row r="336" spans="1:7">
      <c r="A336" s="321" t="s">
        <v>292</v>
      </c>
      <c r="B336" s="310" t="s">
        <v>2413</v>
      </c>
      <c r="C336" s="311">
        <v>0.15</v>
      </c>
      <c r="D336" s="311">
        <v>0.15</v>
      </c>
      <c r="E336" s="311">
        <v>0.15</v>
      </c>
      <c r="F336" s="311">
        <v>0.14199999999999999</v>
      </c>
      <c r="G336" s="312">
        <v>0.15</v>
      </c>
    </row>
    <row r="337" spans="1:7">
      <c r="A337" s="321" t="s">
        <v>292</v>
      </c>
      <c r="B337" s="310" t="s">
        <v>2423</v>
      </c>
      <c r="C337" s="311">
        <v>0.15</v>
      </c>
      <c r="D337" s="311">
        <v>0.15</v>
      </c>
      <c r="E337" s="311">
        <v>0.15</v>
      </c>
      <c r="F337" s="311">
        <v>0.14499999999999999</v>
      </c>
      <c r="G337" s="312">
        <v>0.15</v>
      </c>
    </row>
    <row r="338" spans="1:7">
      <c r="A338" s="321" t="s">
        <v>292</v>
      </c>
      <c r="B338" s="310" t="s">
        <v>2433</v>
      </c>
      <c r="C338" s="311">
        <v>0.15</v>
      </c>
      <c r="D338" s="311">
        <v>0.15</v>
      </c>
      <c r="E338" s="311">
        <v>0.15</v>
      </c>
      <c r="F338" s="311">
        <v>0.15</v>
      </c>
      <c r="G338" s="312">
        <v>0.15</v>
      </c>
    </row>
    <row r="339" spans="1:7">
      <c r="A339" s="321" t="s">
        <v>292</v>
      </c>
      <c r="B339" s="310" t="s">
        <v>2443</v>
      </c>
      <c r="C339" s="311">
        <v>0.15</v>
      </c>
      <c r="D339" s="311">
        <v>0.15</v>
      </c>
      <c r="E339" s="311">
        <v>0.15</v>
      </c>
      <c r="F339" s="311">
        <v>0.14699999999999999</v>
      </c>
      <c r="G339" s="312">
        <v>0.15</v>
      </c>
    </row>
    <row r="340" spans="1:7">
      <c r="A340" s="321" t="s">
        <v>292</v>
      </c>
      <c r="B340" s="310" t="s">
        <v>2453</v>
      </c>
      <c r="C340" s="311">
        <v>0.14599999999999999</v>
      </c>
      <c r="D340" s="311">
        <v>0.14599999999999999</v>
      </c>
      <c r="E340" s="311">
        <v>0.15</v>
      </c>
      <c r="F340" s="311">
        <v>0.14099999999999999</v>
      </c>
      <c r="G340" s="312">
        <v>0.14699999999999999</v>
      </c>
    </row>
    <row r="341" spans="1:7">
      <c r="A341" s="321" t="s">
        <v>292</v>
      </c>
      <c r="B341" s="310" t="s">
        <v>2463</v>
      </c>
      <c r="C341" s="311">
        <v>0.126</v>
      </c>
      <c r="D341" s="311">
        <v>0.124</v>
      </c>
      <c r="E341" s="311">
        <v>0.14099999999999999</v>
      </c>
      <c r="F341" s="311">
        <v>0.14399999999999999</v>
      </c>
      <c r="G341" s="312">
        <v>0.13</v>
      </c>
    </row>
    <row r="342" spans="1:7">
      <c r="A342" s="321" t="s">
        <v>292</v>
      </c>
      <c r="B342" s="310" t="s">
        <v>2473</v>
      </c>
      <c r="C342" s="311">
        <v>0.15</v>
      </c>
      <c r="D342" s="311">
        <v>0.15</v>
      </c>
      <c r="E342" s="311">
        <v>0.15</v>
      </c>
      <c r="F342" s="311">
        <v>0.14399999999999999</v>
      </c>
      <c r="G342" s="312">
        <v>0.15</v>
      </c>
    </row>
    <row r="343" spans="1:7">
      <c r="A343" s="321" t="s">
        <v>292</v>
      </c>
      <c r="B343" s="310" t="s">
        <v>2482</v>
      </c>
      <c r="C343" s="311">
        <v>0.15</v>
      </c>
      <c r="D343" s="311">
        <v>0.15</v>
      </c>
      <c r="E343" s="311">
        <v>0.15</v>
      </c>
      <c r="F343" s="311">
        <v>0.128</v>
      </c>
      <c r="G343" s="312">
        <v>0.15</v>
      </c>
    </row>
    <row r="344" spans="1:7">
      <c r="A344" s="321" t="s">
        <v>292</v>
      </c>
      <c r="B344" s="310" t="s">
        <v>2492</v>
      </c>
      <c r="C344" s="311">
        <v>0.15</v>
      </c>
      <c r="D344" s="311">
        <v>0.15</v>
      </c>
      <c r="E344" s="311">
        <v>0.15</v>
      </c>
      <c r="F344" s="311">
        <v>0.14799999999999999</v>
      </c>
      <c r="G344" s="312">
        <v>0.15</v>
      </c>
    </row>
    <row r="345" spans="1:7">
      <c r="A345" s="321" t="s">
        <v>292</v>
      </c>
      <c r="B345" s="310" t="s">
        <v>2502</v>
      </c>
      <c r="C345" s="311">
        <v>0.15</v>
      </c>
      <c r="D345" s="311">
        <v>0.15</v>
      </c>
      <c r="E345" s="311">
        <v>0.15</v>
      </c>
      <c r="F345" s="311">
        <v>0.13800000000000001</v>
      </c>
      <c r="G345" s="312">
        <v>0.15</v>
      </c>
    </row>
    <row r="346" spans="1:7">
      <c r="A346" s="321" t="s">
        <v>292</v>
      </c>
      <c r="B346" s="310" t="s">
        <v>2512</v>
      </c>
      <c r="C346" s="311">
        <v>0.15</v>
      </c>
      <c r="D346" s="311">
        <v>0.15</v>
      </c>
      <c r="E346" s="311">
        <v>0.15</v>
      </c>
      <c r="F346" s="311">
        <v>0.14399999999999999</v>
      </c>
      <c r="G346" s="312">
        <v>0.15</v>
      </c>
    </row>
    <row r="347" spans="1:7">
      <c r="A347" s="321" t="s">
        <v>292</v>
      </c>
      <c r="B347" s="310" t="s">
        <v>2521</v>
      </c>
      <c r="C347" s="311">
        <v>0.15</v>
      </c>
      <c r="D347" s="311">
        <v>0.15</v>
      </c>
      <c r="E347" s="311">
        <v>0.15</v>
      </c>
      <c r="F347" s="311">
        <v>0.14599999999999999</v>
      </c>
      <c r="G347" s="312">
        <v>0.15</v>
      </c>
    </row>
    <row r="348" spans="1:7">
      <c r="A348" s="321" t="s">
        <v>292</v>
      </c>
      <c r="B348" s="310" t="s">
        <v>2529</v>
      </c>
      <c r="C348" s="311">
        <v>0.15</v>
      </c>
      <c r="D348" s="311">
        <v>0.15</v>
      </c>
      <c r="E348" s="311">
        <v>0.15</v>
      </c>
      <c r="F348" s="311">
        <v>0.14399999999999999</v>
      </c>
      <c r="G348" s="312">
        <v>0.15</v>
      </c>
    </row>
    <row r="349" spans="1:7">
      <c r="A349" s="321" t="s">
        <v>292</v>
      </c>
      <c r="B349" s="310" t="s">
        <v>2537</v>
      </c>
      <c r="C349" s="311">
        <v>0.15</v>
      </c>
      <c r="D349" s="311">
        <v>0.15</v>
      </c>
      <c r="E349" s="311">
        <v>0.15</v>
      </c>
      <c r="F349" s="311">
        <v>0.15</v>
      </c>
      <c r="G349" s="312">
        <v>0.15</v>
      </c>
    </row>
    <row r="350" spans="1:7">
      <c r="A350" s="321" t="s">
        <v>292</v>
      </c>
      <c r="B350" s="310" t="s">
        <v>2545</v>
      </c>
      <c r="C350" s="311">
        <v>0.15</v>
      </c>
      <c r="D350" s="311">
        <v>0.15</v>
      </c>
      <c r="E350" s="311">
        <v>0.15</v>
      </c>
      <c r="F350" s="311">
        <v>0.14699999999999999</v>
      </c>
      <c r="G350" s="312">
        <v>0.15</v>
      </c>
    </row>
    <row r="351" spans="1:7">
      <c r="A351" s="321" t="s">
        <v>292</v>
      </c>
      <c r="B351" s="310" t="s">
        <v>2553</v>
      </c>
      <c r="C351" s="311">
        <v>0.15</v>
      </c>
      <c r="D351" s="311">
        <v>0.15</v>
      </c>
      <c r="E351" s="311">
        <v>0.15</v>
      </c>
      <c r="F351" s="311">
        <v>0.13</v>
      </c>
      <c r="G351" s="312">
        <v>0.15</v>
      </c>
    </row>
    <row r="352" spans="1:7">
      <c r="A352" s="321" t="s">
        <v>292</v>
      </c>
      <c r="B352" s="310" t="s">
        <v>2560</v>
      </c>
      <c r="C352" s="311">
        <v>0.15</v>
      </c>
      <c r="D352" s="311">
        <v>0.15</v>
      </c>
      <c r="E352" s="311">
        <v>0.15</v>
      </c>
      <c r="F352" s="311">
        <v>0.14599999999999999</v>
      </c>
      <c r="G352" s="312">
        <v>0.15</v>
      </c>
    </row>
    <row r="353" spans="1:7">
      <c r="A353" s="321" t="s">
        <v>292</v>
      </c>
      <c r="B353" s="310" t="s">
        <v>2567</v>
      </c>
      <c r="C353" s="311">
        <v>0.15</v>
      </c>
      <c r="D353" s="311">
        <v>0.15</v>
      </c>
      <c r="E353" s="311">
        <v>0.15</v>
      </c>
      <c r="F353" s="311">
        <v>0.14499999999999999</v>
      </c>
      <c r="G353" s="312">
        <v>0.15</v>
      </c>
    </row>
    <row r="354" spans="1:7">
      <c r="A354" s="321" t="s">
        <v>292</v>
      </c>
      <c r="B354" s="310" t="s">
        <v>2574</v>
      </c>
      <c r="C354" s="311">
        <v>0.15</v>
      </c>
      <c r="D354" s="311">
        <v>0.15</v>
      </c>
      <c r="E354" s="311">
        <v>0.15</v>
      </c>
      <c r="F354" s="311">
        <v>0.14099999999999999</v>
      </c>
      <c r="G354" s="312">
        <v>0.15</v>
      </c>
    </row>
    <row r="355" spans="1:7">
      <c r="A355" s="321" t="s">
        <v>292</v>
      </c>
      <c r="B355" s="310" t="s">
        <v>2581</v>
      </c>
      <c r="C355" s="311">
        <v>0.15</v>
      </c>
      <c r="D355" s="311">
        <v>0.15</v>
      </c>
      <c r="E355" s="311">
        <v>0.15</v>
      </c>
      <c r="F355" s="311">
        <v>0.15</v>
      </c>
      <c r="G355" s="312">
        <v>0.15</v>
      </c>
    </row>
    <row r="356" spans="1:7">
      <c r="A356" s="321" t="s">
        <v>292</v>
      </c>
      <c r="B356" s="310" t="s">
        <v>2588</v>
      </c>
      <c r="C356" s="311">
        <v>0.15</v>
      </c>
      <c r="D356" s="311">
        <v>0.15</v>
      </c>
      <c r="E356" s="311">
        <v>0.15</v>
      </c>
      <c r="F356" s="311">
        <v>0.15</v>
      </c>
      <c r="G356" s="312">
        <v>0.15</v>
      </c>
    </row>
    <row r="357" spans="1:7">
      <c r="A357" s="324" t="s">
        <v>292</v>
      </c>
      <c r="B357" s="314" t="s">
        <v>2595</v>
      </c>
      <c r="C357" s="315">
        <v>0.126</v>
      </c>
      <c r="D357" s="315">
        <v>0.127</v>
      </c>
      <c r="E357" s="315">
        <v>0.14299999999999999</v>
      </c>
      <c r="F357" s="315">
        <v>0.125</v>
      </c>
      <c r="G357" s="317">
        <v>0.129</v>
      </c>
    </row>
    <row r="358" spans="1:7">
      <c r="A358" s="320" t="s">
        <v>296</v>
      </c>
      <c r="B358" s="306" t="s">
        <v>2310</v>
      </c>
      <c r="C358" s="307">
        <v>0.15</v>
      </c>
      <c r="D358" s="307">
        <v>0.15</v>
      </c>
      <c r="E358" s="307">
        <v>0.15</v>
      </c>
      <c r="F358" s="307">
        <v>0.15</v>
      </c>
      <c r="G358" s="308">
        <v>0.15</v>
      </c>
    </row>
    <row r="359" spans="1:7">
      <c r="A359" s="321" t="s">
        <v>296</v>
      </c>
      <c r="B359" s="310" t="s">
        <v>2323</v>
      </c>
      <c r="C359" s="311">
        <v>0.1</v>
      </c>
      <c r="D359" s="311">
        <v>0.1</v>
      </c>
      <c r="E359" s="311">
        <v>0.1</v>
      </c>
      <c r="F359" s="311">
        <v>0.1</v>
      </c>
      <c r="G359" s="312">
        <v>0.1</v>
      </c>
    </row>
    <row r="360" spans="1:7">
      <c r="A360" s="321" t="s">
        <v>296</v>
      </c>
      <c r="B360" s="310" t="s">
        <v>2337</v>
      </c>
      <c r="C360" s="311">
        <v>0.15</v>
      </c>
      <c r="D360" s="311">
        <v>0.15</v>
      </c>
      <c r="E360" s="311">
        <v>0.15</v>
      </c>
      <c r="F360" s="311">
        <v>0.14899999999999999</v>
      </c>
      <c r="G360" s="312">
        <v>0.15</v>
      </c>
    </row>
    <row r="361" spans="1:7">
      <c r="A361" s="321" t="s">
        <v>296</v>
      </c>
      <c r="B361" s="310" t="s">
        <v>2349</v>
      </c>
      <c r="C361" s="311">
        <v>0.15</v>
      </c>
      <c r="D361" s="311">
        <v>0.15</v>
      </c>
      <c r="E361" s="311">
        <v>0.15</v>
      </c>
      <c r="F361" s="311">
        <v>0.115</v>
      </c>
      <c r="G361" s="312">
        <v>0.15</v>
      </c>
    </row>
    <row r="362" spans="1:7">
      <c r="A362" s="321" t="s">
        <v>296</v>
      </c>
      <c r="B362" s="310" t="s">
        <v>2361</v>
      </c>
      <c r="C362" s="311">
        <v>0.15</v>
      </c>
      <c r="D362" s="311">
        <v>0.15</v>
      </c>
      <c r="E362" s="311">
        <v>0.15</v>
      </c>
      <c r="F362" s="311">
        <v>0.106</v>
      </c>
      <c r="G362" s="312">
        <v>0.15</v>
      </c>
    </row>
    <row r="363" spans="1:7">
      <c r="A363" s="321" t="s">
        <v>296</v>
      </c>
      <c r="B363" s="310" t="s">
        <v>2372</v>
      </c>
      <c r="C363" s="311">
        <v>0.15</v>
      </c>
      <c r="D363" s="311">
        <v>0.15</v>
      </c>
      <c r="E363" s="311">
        <v>0.15</v>
      </c>
      <c r="F363" s="311">
        <v>0.14699999999999999</v>
      </c>
      <c r="G363" s="312">
        <v>0.15</v>
      </c>
    </row>
    <row r="364" spans="1:7">
      <c r="A364" s="321" t="s">
        <v>296</v>
      </c>
      <c r="B364" s="310" t="s">
        <v>2383</v>
      </c>
      <c r="C364" s="311">
        <v>0.15</v>
      </c>
      <c r="D364" s="311">
        <v>0.15</v>
      </c>
      <c r="E364" s="311">
        <v>0.15</v>
      </c>
      <c r="F364" s="311">
        <v>0.14799999999999999</v>
      </c>
      <c r="G364" s="312">
        <v>0.15</v>
      </c>
    </row>
    <row r="365" spans="1:7">
      <c r="A365" s="321" t="s">
        <v>296</v>
      </c>
      <c r="B365" s="310" t="s">
        <v>2394</v>
      </c>
      <c r="C365" s="311">
        <v>0.15</v>
      </c>
      <c r="D365" s="311">
        <v>0.15</v>
      </c>
      <c r="E365" s="311">
        <v>0.15</v>
      </c>
      <c r="F365" s="311">
        <v>0.15</v>
      </c>
      <c r="G365" s="312">
        <v>0.15</v>
      </c>
    </row>
    <row r="366" spans="1:7">
      <c r="A366" s="321" t="s">
        <v>296</v>
      </c>
      <c r="B366" s="310" t="s">
        <v>2404</v>
      </c>
      <c r="C366" s="311">
        <v>0.15</v>
      </c>
      <c r="D366" s="311">
        <v>0.15</v>
      </c>
      <c r="E366" s="311">
        <v>0.15</v>
      </c>
      <c r="F366" s="311">
        <v>0.15</v>
      </c>
      <c r="G366" s="312">
        <v>0.15</v>
      </c>
    </row>
    <row r="367" spans="1:7">
      <c r="A367" s="321" t="s">
        <v>296</v>
      </c>
      <c r="B367" s="310" t="s">
        <v>2414</v>
      </c>
      <c r="C367" s="311">
        <v>0.15</v>
      </c>
      <c r="D367" s="311">
        <v>0.15</v>
      </c>
      <c r="E367" s="311">
        <v>0.15</v>
      </c>
      <c r="F367" s="311">
        <v>0.14699999999999999</v>
      </c>
      <c r="G367" s="312">
        <v>0.15</v>
      </c>
    </row>
    <row r="368" spans="1:7">
      <c r="A368" s="321" t="s">
        <v>296</v>
      </c>
      <c r="B368" s="310" t="s">
        <v>2424</v>
      </c>
      <c r="C368" s="311">
        <v>0.15</v>
      </c>
      <c r="D368" s="311">
        <v>0.15</v>
      </c>
      <c r="E368" s="311">
        <v>0.15</v>
      </c>
      <c r="F368" s="311">
        <v>0.13600000000000001</v>
      </c>
      <c r="G368" s="312">
        <v>0.15</v>
      </c>
    </row>
    <row r="369" spans="1:7">
      <c r="A369" s="321" t="s">
        <v>296</v>
      </c>
      <c r="B369" s="310" t="s">
        <v>2434</v>
      </c>
      <c r="C369" s="311">
        <v>0.15</v>
      </c>
      <c r="D369" s="311">
        <v>0.15</v>
      </c>
      <c r="E369" s="311">
        <v>0.15</v>
      </c>
      <c r="F369" s="311">
        <v>0.14399999999999999</v>
      </c>
      <c r="G369" s="312">
        <v>0.15</v>
      </c>
    </row>
    <row r="370" spans="1:7">
      <c r="A370" s="321" t="s">
        <v>296</v>
      </c>
      <c r="B370" s="310" t="s">
        <v>2444</v>
      </c>
      <c r="C370" s="311">
        <v>0.15</v>
      </c>
      <c r="D370" s="311">
        <v>0.15</v>
      </c>
      <c r="E370" s="311">
        <v>0.15</v>
      </c>
      <c r="F370" s="311">
        <v>0.14599999999999999</v>
      </c>
      <c r="G370" s="312">
        <v>0.15</v>
      </c>
    </row>
    <row r="371" spans="1:7">
      <c r="A371" s="321" t="s">
        <v>296</v>
      </c>
      <c r="B371" s="310" t="s">
        <v>2454</v>
      </c>
      <c r="C371" s="311">
        <v>0.15</v>
      </c>
      <c r="D371" s="311">
        <v>0.15</v>
      </c>
      <c r="E371" s="311">
        <v>0.15</v>
      </c>
      <c r="F371" s="311">
        <v>0.12</v>
      </c>
      <c r="G371" s="312">
        <v>0.15</v>
      </c>
    </row>
    <row r="372" spans="1:7">
      <c r="A372" s="321" t="s">
        <v>296</v>
      </c>
      <c r="B372" s="310" t="s">
        <v>2464</v>
      </c>
      <c r="C372" s="311">
        <v>0.15</v>
      </c>
      <c r="D372" s="311">
        <v>0.15</v>
      </c>
      <c r="E372" s="311">
        <v>0.15</v>
      </c>
      <c r="F372" s="311">
        <v>0.14299999999999999</v>
      </c>
      <c r="G372" s="312">
        <v>0.15</v>
      </c>
    </row>
    <row r="373" spans="1:7">
      <c r="A373" s="321" t="s">
        <v>296</v>
      </c>
      <c r="B373" s="310" t="s">
        <v>2474</v>
      </c>
      <c r="C373" s="311">
        <v>0.15</v>
      </c>
      <c r="D373" s="311">
        <v>0.15</v>
      </c>
      <c r="E373" s="311">
        <v>0.15</v>
      </c>
      <c r="F373" s="311">
        <v>0.14599999999999999</v>
      </c>
      <c r="G373" s="312">
        <v>0.15</v>
      </c>
    </row>
    <row r="374" spans="1:7">
      <c r="A374" s="321" t="s">
        <v>296</v>
      </c>
      <c r="B374" s="310" t="s">
        <v>2483</v>
      </c>
      <c r="C374" s="311">
        <v>0.15</v>
      </c>
      <c r="D374" s="311">
        <v>0.15</v>
      </c>
      <c r="E374" s="311">
        <v>0.15</v>
      </c>
      <c r="F374" s="311">
        <v>0.14399999999999999</v>
      </c>
      <c r="G374" s="312">
        <v>0.15</v>
      </c>
    </row>
    <row r="375" spans="1:7">
      <c r="A375" s="321" t="s">
        <v>296</v>
      </c>
      <c r="B375" s="310" t="s">
        <v>2493</v>
      </c>
      <c r="C375" s="311">
        <v>0.15</v>
      </c>
      <c r="D375" s="311">
        <v>0.15</v>
      </c>
      <c r="E375" s="311">
        <v>0.15</v>
      </c>
      <c r="F375" s="311">
        <v>0.13</v>
      </c>
      <c r="G375" s="312">
        <v>0.15</v>
      </c>
    </row>
    <row r="376" spans="1:7">
      <c r="A376" s="321" t="s">
        <v>296</v>
      </c>
      <c r="B376" s="310" t="s">
        <v>2503</v>
      </c>
      <c r="C376" s="311">
        <v>0.15</v>
      </c>
      <c r="D376" s="311">
        <v>0.15</v>
      </c>
      <c r="E376" s="311">
        <v>0.15</v>
      </c>
      <c r="F376" s="311">
        <v>0.14199999999999999</v>
      </c>
      <c r="G376" s="312">
        <v>0.15</v>
      </c>
    </row>
    <row r="377" spans="1:7">
      <c r="A377" s="324" t="s">
        <v>296</v>
      </c>
      <c r="B377" s="314" t="s">
        <v>2513</v>
      </c>
      <c r="C377" s="315">
        <v>0.15</v>
      </c>
      <c r="D377" s="315">
        <v>0.15</v>
      </c>
      <c r="E377" s="315">
        <v>0.15</v>
      </c>
      <c r="F377" s="315">
        <v>0.14000000000000001</v>
      </c>
      <c r="G377" s="317">
        <v>0.15</v>
      </c>
    </row>
    <row r="378" spans="1:7">
      <c r="A378" s="320" t="s">
        <v>300</v>
      </c>
      <c r="B378" s="306" t="s">
        <v>2311</v>
      </c>
      <c r="C378" s="307">
        <v>0.15</v>
      </c>
      <c r="D378" s="307">
        <v>0.15</v>
      </c>
      <c r="E378" s="307">
        <v>0.15</v>
      </c>
      <c r="F378" s="307">
        <v>0.107</v>
      </c>
      <c r="G378" s="308">
        <v>0.15</v>
      </c>
    </row>
    <row r="379" spans="1:7">
      <c r="A379" s="321" t="s">
        <v>300</v>
      </c>
      <c r="B379" s="310" t="s">
        <v>2324</v>
      </c>
      <c r="C379" s="311">
        <v>0.15</v>
      </c>
      <c r="D379" s="311">
        <v>0.15</v>
      </c>
      <c r="E379" s="311">
        <v>0.15</v>
      </c>
      <c r="F379" s="311">
        <v>0.115</v>
      </c>
      <c r="G379" s="312">
        <v>0.14899999999999999</v>
      </c>
    </row>
    <row r="380" spans="1:7">
      <c r="A380" s="321" t="s">
        <v>300</v>
      </c>
      <c r="B380" s="310" t="s">
        <v>2338</v>
      </c>
      <c r="C380" s="311">
        <v>0.15</v>
      </c>
      <c r="D380" s="311">
        <v>0.15</v>
      </c>
      <c r="E380" s="311">
        <v>0.15</v>
      </c>
      <c r="F380" s="311">
        <v>0.1</v>
      </c>
      <c r="G380" s="312">
        <v>0.14799999999999999</v>
      </c>
    </row>
    <row r="381" spans="1:7">
      <c r="A381" s="321" t="s">
        <v>300</v>
      </c>
      <c r="B381" s="310" t="s">
        <v>2350</v>
      </c>
      <c r="C381" s="311">
        <v>0.15</v>
      </c>
      <c r="D381" s="311">
        <v>0.15</v>
      </c>
      <c r="E381" s="311">
        <v>0.15</v>
      </c>
      <c r="F381" s="311">
        <v>0.126</v>
      </c>
      <c r="G381" s="312">
        <v>0.15</v>
      </c>
    </row>
    <row r="382" spans="1:7">
      <c r="A382" s="321" t="s">
        <v>300</v>
      </c>
      <c r="B382" s="310" t="s">
        <v>2362</v>
      </c>
      <c r="C382" s="311">
        <v>0.15</v>
      </c>
      <c r="D382" s="311">
        <v>0.15</v>
      </c>
      <c r="E382" s="311">
        <v>0.15</v>
      </c>
      <c r="F382" s="311">
        <v>0.15</v>
      </c>
      <c r="G382" s="312">
        <v>0.15</v>
      </c>
    </row>
    <row r="383" spans="1:7">
      <c r="A383" s="321" t="s">
        <v>300</v>
      </c>
      <c r="B383" s="310" t="s">
        <v>2373</v>
      </c>
      <c r="C383" s="311">
        <v>0.15</v>
      </c>
      <c r="D383" s="311">
        <v>0.15</v>
      </c>
      <c r="E383" s="311">
        <v>0.15</v>
      </c>
      <c r="F383" s="311">
        <v>0.14699999999999999</v>
      </c>
      <c r="G383" s="312">
        <v>0.15</v>
      </c>
    </row>
    <row r="384" spans="1:7">
      <c r="A384" s="331" t="s">
        <v>300</v>
      </c>
      <c r="B384" s="332" t="s">
        <v>2384</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8" t="s">
        <v>2687</v>
      </c>
      <c r="B1" s="3778"/>
      <c r="C1" s="3778"/>
      <c r="D1" s="3778"/>
      <c r="E1" s="3778"/>
      <c r="F1" s="3779"/>
    </row>
    <row r="2" spans="1:6">
      <c r="A2" s="291" t="s">
        <v>2688</v>
      </c>
      <c r="B2" s="292"/>
      <c r="C2" s="292"/>
      <c r="D2" s="292"/>
      <c r="E2" s="292"/>
      <c r="F2" s="292"/>
    </row>
    <row r="3" spans="1:6">
      <c r="A3" s="291" t="s">
        <v>2689</v>
      </c>
      <c r="B3" s="292"/>
      <c r="C3" s="292"/>
      <c r="D3" s="292"/>
      <c r="E3" s="292"/>
      <c r="F3" s="293" t="s">
        <v>2690</v>
      </c>
    </row>
    <row r="4" spans="1:6">
      <c r="A4" s="294" t="s">
        <v>405</v>
      </c>
      <c r="B4" s="294" t="s">
        <v>1978</v>
      </c>
      <c r="C4" s="294" t="s">
        <v>606</v>
      </c>
      <c r="D4" s="294" t="s">
        <v>2691</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45026</v>
      </c>
      <c r="B1" s="217" t="s">
        <v>2692</v>
      </c>
      <c r="C1" s="218"/>
      <c r="D1" s="218"/>
      <c r="E1" s="218"/>
      <c r="F1" s="218"/>
      <c r="G1" s="218"/>
      <c r="H1" s="218"/>
      <c r="I1" s="218"/>
      <c r="J1" s="244"/>
      <c r="K1" s="218" t="s">
        <v>2693</v>
      </c>
      <c r="L1" s="218"/>
      <c r="M1" s="218"/>
      <c r="N1" s="218"/>
      <c r="O1" s="218"/>
      <c r="P1" s="218"/>
      <c r="Q1" s="244"/>
      <c r="R1" s="3780" t="s">
        <v>2694</v>
      </c>
      <c r="S1" s="3781"/>
      <c r="T1" s="3781"/>
      <c r="U1" s="3781"/>
      <c r="V1" s="3781"/>
      <c r="W1" s="3781"/>
      <c r="X1" s="244"/>
      <c r="Y1" s="3780" t="s">
        <v>2695</v>
      </c>
      <c r="Z1" s="3781"/>
      <c r="AA1" s="3781"/>
      <c r="AB1" s="3781"/>
      <c r="AC1" s="3781"/>
      <c r="AD1" s="3781"/>
    </row>
    <row r="2" spans="1:30" s="208" customFormat="1">
      <c r="B2" s="219"/>
      <c r="C2" s="220"/>
      <c r="D2" s="221" t="s">
        <v>2696</v>
      </c>
      <c r="E2" s="222" t="s">
        <v>1978</v>
      </c>
      <c r="F2" s="222" t="s">
        <v>606</v>
      </c>
      <c r="G2" s="222" t="s">
        <v>413</v>
      </c>
      <c r="H2" s="222" t="s">
        <v>409</v>
      </c>
      <c r="I2" s="222" t="s">
        <v>280</v>
      </c>
      <c r="J2" s="245"/>
      <c r="K2" s="221" t="s">
        <v>2696</v>
      </c>
      <c r="L2" s="222" t="s">
        <v>1978</v>
      </c>
      <c r="M2" s="222" t="s">
        <v>606</v>
      </c>
      <c r="N2" s="222" t="s">
        <v>413</v>
      </c>
      <c r="O2" s="222" t="s">
        <v>409</v>
      </c>
      <c r="P2" s="222" t="s">
        <v>280</v>
      </c>
      <c r="Q2" s="245"/>
      <c r="R2" s="221" t="s">
        <v>2696</v>
      </c>
      <c r="S2" s="222" t="s">
        <v>1978</v>
      </c>
      <c r="T2" s="222" t="s">
        <v>606</v>
      </c>
      <c r="U2" s="222" t="s">
        <v>413</v>
      </c>
      <c r="V2" s="222" t="s">
        <v>409</v>
      </c>
      <c r="W2" s="222" t="s">
        <v>280</v>
      </c>
      <c r="X2" s="245"/>
      <c r="Y2" s="221" t="s">
        <v>2696</v>
      </c>
      <c r="Z2" s="222" t="s">
        <v>1978</v>
      </c>
      <c r="AA2" s="222" t="s">
        <v>606</v>
      </c>
      <c r="AB2" s="222" t="s">
        <v>413</v>
      </c>
      <c r="AC2" s="222" t="s">
        <v>409</v>
      </c>
      <c r="AD2" s="222" t="s">
        <v>280</v>
      </c>
    </row>
    <row r="3" spans="1:30" s="209" customFormat="1" ht="12.75">
      <c r="A3" s="223" t="s">
        <v>2697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2700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2710</v>
      </c>
    </row>
    <row r="19" spans="1:30" s="214" customFormat="1">
      <c r="I19" s="263" t="s">
        <v>1460</v>
      </c>
    </row>
    <row r="20" spans="1:30" s="214" customFormat="1"/>
    <row r="21" spans="1:30" s="215" customFormat="1" ht="12.75">
      <c r="B21" s="217" t="s">
        <v>2711</v>
      </c>
      <c r="C21" s="218"/>
      <c r="D21" s="218"/>
      <c r="E21" s="218"/>
      <c r="F21" s="218"/>
      <c r="G21" s="218"/>
      <c r="H21" s="218"/>
      <c r="I21" s="218"/>
      <c r="J21" s="244"/>
      <c r="K21" s="218" t="s">
        <v>2693</v>
      </c>
      <c r="L21" s="218"/>
      <c r="M21" s="218"/>
      <c r="N21" s="218"/>
      <c r="O21" s="218"/>
      <c r="P21" s="218"/>
      <c r="Q21" s="244"/>
      <c r="R21" s="3780" t="s">
        <v>2694</v>
      </c>
      <c r="S21" s="3781"/>
      <c r="T21" s="3781"/>
      <c r="U21" s="3781"/>
      <c r="V21" s="3781"/>
      <c r="W21" s="3781"/>
      <c r="X21" s="244"/>
      <c r="Y21" s="3780" t="s">
        <v>2695</v>
      </c>
      <c r="Z21" s="3781"/>
      <c r="AA21" s="3781"/>
      <c r="AB21" s="3781"/>
      <c r="AC21" s="3781"/>
      <c r="AD21" s="3781"/>
    </row>
    <row r="22" spans="1:30" s="208" customFormat="1">
      <c r="B22" s="219"/>
      <c r="C22" s="220"/>
      <c r="D22" s="221" t="s">
        <v>2696</v>
      </c>
      <c r="E22" s="222" t="s">
        <v>1978</v>
      </c>
      <c r="F22" s="222" t="s">
        <v>606</v>
      </c>
      <c r="G22" s="222" t="s">
        <v>413</v>
      </c>
      <c r="H22" s="222"/>
      <c r="I22" s="222" t="s">
        <v>280</v>
      </c>
      <c r="J22" s="245"/>
      <c r="K22" s="221" t="s">
        <v>2696</v>
      </c>
      <c r="L22" s="222" t="s">
        <v>1978</v>
      </c>
      <c r="M22" s="222" t="s">
        <v>606</v>
      </c>
      <c r="N22" s="222" t="s">
        <v>413</v>
      </c>
      <c r="O22" s="222"/>
      <c r="P22" s="222" t="s">
        <v>280</v>
      </c>
      <c r="Q22" s="245"/>
      <c r="R22" s="221" t="s">
        <v>2696</v>
      </c>
      <c r="S22" s="222" t="s">
        <v>1978</v>
      </c>
      <c r="T22" s="222" t="s">
        <v>606</v>
      </c>
      <c r="U22" s="222" t="s">
        <v>413</v>
      </c>
      <c r="V22" s="222"/>
      <c r="W22" s="222" t="s">
        <v>280</v>
      </c>
      <c r="X22" s="245"/>
      <c r="Y22" s="221" t="s">
        <v>2696</v>
      </c>
      <c r="Z22" s="222" t="s">
        <v>1978</v>
      </c>
      <c r="AA22" s="222" t="s">
        <v>606</v>
      </c>
      <c r="AB22" s="222" t="s">
        <v>413</v>
      </c>
      <c r="AC22" s="222"/>
      <c r="AD22" s="222" t="s">
        <v>280</v>
      </c>
    </row>
    <row r="23" spans="1:30" s="209" customFormat="1" ht="12.75">
      <c r="A23" s="223" t="s">
        <v>2697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2700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2702</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2712</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2" t="s">
        <v>2713</v>
      </c>
      <c r="C1" s="3782"/>
      <c r="D1" s="3782"/>
      <c r="E1" s="3782"/>
      <c r="F1" s="3782"/>
      <c r="G1" s="3783" t="s">
        <v>2714</v>
      </c>
      <c r="H1" s="3783"/>
      <c r="I1" s="3783"/>
      <c r="J1" s="3783"/>
      <c r="K1" s="3783"/>
      <c r="L1" s="3783"/>
      <c r="N1" s="3783" t="s">
        <v>2693</v>
      </c>
      <c r="O1" s="3783"/>
      <c r="P1" s="3783"/>
      <c r="Q1" s="3783"/>
      <c r="S1" s="3783" t="s">
        <v>2715</v>
      </c>
      <c r="T1" s="3783"/>
      <c r="U1" s="3783"/>
      <c r="V1" s="3783"/>
      <c r="X1" s="3784" t="s">
        <v>2694</v>
      </c>
      <c r="Y1" s="3783"/>
      <c r="Z1" s="3783"/>
      <c r="AA1" s="3783"/>
      <c r="AB1" s="3783"/>
      <c r="AD1" s="3784" t="s">
        <v>2695</v>
      </c>
      <c r="AE1" s="3783"/>
      <c r="AF1" s="3783"/>
      <c r="AG1" s="3783"/>
      <c r="AH1" s="3783"/>
    </row>
    <row r="2" spans="1:34" s="75" customFormat="1" ht="13.5">
      <c r="B2" s="85" t="s">
        <v>2716</v>
      </c>
      <c r="C2" s="85" t="s">
        <v>2717</v>
      </c>
      <c r="D2" s="86" t="s">
        <v>606</v>
      </c>
      <c r="E2" s="86" t="s">
        <v>413</v>
      </c>
      <c r="F2" s="85" t="s">
        <v>2718</v>
      </c>
      <c r="G2" s="87"/>
      <c r="I2" s="85" t="s">
        <v>2716</v>
      </c>
      <c r="J2" s="86" t="s">
        <v>1987</v>
      </c>
      <c r="K2" s="86" t="s">
        <v>413</v>
      </c>
      <c r="L2" s="85" t="s">
        <v>2718</v>
      </c>
      <c r="N2" s="85" t="s">
        <v>2716</v>
      </c>
      <c r="O2" s="86" t="s">
        <v>1987</v>
      </c>
      <c r="P2" s="86" t="s">
        <v>413</v>
      </c>
      <c r="Q2" s="85" t="s">
        <v>2718</v>
      </c>
      <c r="S2" s="85" t="s">
        <v>2716</v>
      </c>
      <c r="T2" s="86" t="s">
        <v>1987</v>
      </c>
      <c r="U2" s="86" t="s">
        <v>413</v>
      </c>
      <c r="V2" s="85" t="s">
        <v>2718</v>
      </c>
      <c r="X2" s="85" t="s">
        <v>2716</v>
      </c>
      <c r="Y2" s="85" t="s">
        <v>2717</v>
      </c>
      <c r="Z2" s="86" t="s">
        <v>606</v>
      </c>
      <c r="AA2" s="86" t="s">
        <v>413</v>
      </c>
      <c r="AB2" s="85" t="s">
        <v>2718</v>
      </c>
      <c r="AD2" s="85" t="s">
        <v>2716</v>
      </c>
      <c r="AE2" s="85" t="s">
        <v>2717</v>
      </c>
      <c r="AF2" s="86" t="s">
        <v>606</v>
      </c>
      <c r="AG2" s="86" t="s">
        <v>413</v>
      </c>
      <c r="AH2" s="85" t="s">
        <v>2718</v>
      </c>
    </row>
    <row r="3" spans="1:34" s="76" customFormat="1" ht="14.25">
      <c r="A3" s="88" t="s">
        <v>2697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2732</v>
      </c>
      <c r="B25" s="108">
        <v>439</v>
      </c>
      <c r="C25" s="108">
        <v>327</v>
      </c>
      <c r="D25" s="108">
        <f t="shared" si="217"/>
        <v>327</v>
      </c>
      <c r="E25" s="108">
        <v>627</v>
      </c>
      <c r="F25" s="109">
        <v>283</v>
      </c>
      <c r="G25" s="378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2734</v>
      </c>
      <c r="B27" s="98">
        <f t="shared" si="232"/>
        <v>419.31181600000002</v>
      </c>
      <c r="C27" s="98">
        <f t="shared" si="233"/>
        <v>313.95436799999999</v>
      </c>
      <c r="D27" s="98">
        <f t="shared" si="234"/>
        <v>313.95436799999999</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2735</v>
      </c>
      <c r="B28" s="98">
        <f t="shared" si="232"/>
        <v>405.524</v>
      </c>
      <c r="C28" s="98">
        <f t="shared" si="233"/>
        <v>307.79840000000002</v>
      </c>
      <c r="D28" s="98">
        <f t="shared" si="234"/>
        <v>307.79840000000002</v>
      </c>
      <c r="E28" s="98">
        <f t="shared" si="235"/>
        <v>574.67759999999998</v>
      </c>
      <c r="F28" s="98">
        <f t="shared" si="236"/>
        <v>270.20280000000002</v>
      </c>
      <c r="G28" s="378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2736</v>
      </c>
      <c r="B29" s="108">
        <v>392</v>
      </c>
      <c r="C29" s="108">
        <v>302</v>
      </c>
      <c r="D29" s="108">
        <f t="shared" si="234"/>
        <v>302</v>
      </c>
      <c r="E29" s="108">
        <v>553</v>
      </c>
      <c r="F29" s="109">
        <v>266</v>
      </c>
      <c r="G29" s="378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2738</v>
      </c>
      <c r="B31" s="98">
        <f t="shared" si="245"/>
        <v>360.06949782209398</v>
      </c>
      <c r="C31" s="98">
        <f t="shared" si="245"/>
        <v>289.84672674747799</v>
      </c>
      <c r="D31" s="98">
        <f t="shared" si="246"/>
        <v>289.84672674747799</v>
      </c>
      <c r="E31" s="98">
        <f t="shared" si="247"/>
        <v>501.06543001181501</v>
      </c>
      <c r="F31" s="98">
        <f t="shared" si="247"/>
        <v>256.82882500745001</v>
      </c>
      <c r="G31" s="378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2739</v>
      </c>
      <c r="B32" s="98">
        <f t="shared" si="245"/>
        <v>346.720748986128</v>
      </c>
      <c r="C32" s="98">
        <f t="shared" si="245"/>
        <v>284.30282172386302</v>
      </c>
      <c r="D32" s="98">
        <f t="shared" si="246"/>
        <v>284.30282172386302</v>
      </c>
      <c r="E32" s="98">
        <f t="shared" si="247"/>
        <v>479.58023546306902</v>
      </c>
      <c r="F32" s="98">
        <f t="shared" si="247"/>
        <v>253.25788877571199</v>
      </c>
      <c r="G32" s="378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2740</v>
      </c>
      <c r="B33" s="108">
        <v>333</v>
      </c>
      <c r="C33" s="108">
        <v>277</v>
      </c>
      <c r="D33" s="108">
        <f t="shared" si="246"/>
        <v>277</v>
      </c>
      <c r="E33" s="108">
        <v>459</v>
      </c>
      <c r="F33" s="109">
        <v>249</v>
      </c>
      <c r="G33" s="378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2742</v>
      </c>
      <c r="B35" s="98">
        <f t="shared" si="249"/>
        <v>322.34053690220799</v>
      </c>
      <c r="C35" s="98">
        <f t="shared" si="249"/>
        <v>271.461607704225</v>
      </c>
      <c r="D35" s="98">
        <f t="shared" si="246"/>
        <v>271.461607704225</v>
      </c>
      <c r="E35" s="98">
        <f t="shared" si="250"/>
        <v>442.69434542172502</v>
      </c>
      <c r="F35" s="98">
        <f t="shared" si="250"/>
        <v>241.34030753190899</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2743</v>
      </c>
      <c r="B36" s="98">
        <f t="shared" si="249"/>
        <v>319.87748030386803</v>
      </c>
      <c r="C36" s="98">
        <f t="shared" si="249"/>
        <v>269.60135833173598</v>
      </c>
      <c r="D36" s="98">
        <f t="shared" si="246"/>
        <v>269.60135833173598</v>
      </c>
      <c r="E36" s="98">
        <f t="shared" si="250"/>
        <v>439.18089823583801</v>
      </c>
      <c r="F36" s="98">
        <f t="shared" si="250"/>
        <v>239.23503918706299</v>
      </c>
      <c r="G36" s="378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2744</v>
      </c>
      <c r="B37" s="112">
        <v>318</v>
      </c>
      <c r="C37" s="112">
        <v>268</v>
      </c>
      <c r="D37" s="112">
        <f t="shared" si="246"/>
        <v>268</v>
      </c>
      <c r="E37" s="112">
        <v>437</v>
      </c>
      <c r="F37" s="113">
        <v>237</v>
      </c>
      <c r="G37" s="378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2746</v>
      </c>
      <c r="B39" s="98">
        <f t="shared" si="251"/>
        <v>314.721411723865</v>
      </c>
      <c r="C39" s="98">
        <f t="shared" si="251"/>
        <v>263.03901319069001</v>
      </c>
      <c r="D39" s="98">
        <f t="shared" si="246"/>
        <v>263.03901319069001</v>
      </c>
      <c r="E39" s="98">
        <f t="shared" si="252"/>
        <v>433.65745506782798</v>
      </c>
      <c r="F39" s="98">
        <f t="shared" si="252"/>
        <v>233.23005080045701</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2747</v>
      </c>
      <c r="B40" s="116">
        <f t="shared" si="251"/>
        <v>307.34512863658699</v>
      </c>
      <c r="C40" s="116">
        <f t="shared" si="251"/>
        <v>257.80556031626998</v>
      </c>
      <c r="D40" s="116">
        <f t="shared" si="246"/>
        <v>257.80556031626998</v>
      </c>
      <c r="E40" s="116">
        <f t="shared" si="252"/>
        <v>422.70928459677202</v>
      </c>
      <c r="F40" s="116">
        <f t="shared" si="252"/>
        <v>229.738032703366</v>
      </c>
      <c r="G40" s="378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2749</v>
      </c>
      <c r="B41" s="108">
        <v>299</v>
      </c>
      <c r="C41" s="108">
        <v>252</v>
      </c>
      <c r="D41" s="108">
        <f t="shared" si="246"/>
        <v>252</v>
      </c>
      <c r="E41" s="108">
        <v>409</v>
      </c>
      <c r="F41" s="109">
        <v>227</v>
      </c>
      <c r="G41" s="379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2751</v>
      </c>
      <c r="B43" s="98">
        <f t="shared" si="255"/>
        <v>288.264905382878</v>
      </c>
      <c r="C43" s="98">
        <f t="shared" si="255"/>
        <v>243.64564425013299</v>
      </c>
      <c r="D43" s="98">
        <f t="shared" si="246"/>
        <v>243.64564425013299</v>
      </c>
      <c r="E43" s="98">
        <f t="shared" si="256"/>
        <v>393.31080825986498</v>
      </c>
      <c r="F43" s="98">
        <f t="shared" si="256"/>
        <v>223.079037905512</v>
      </c>
      <c r="G43" s="379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2752</v>
      </c>
      <c r="B44" s="98">
        <f t="shared" si="255"/>
        <v>282.50186729015797</v>
      </c>
      <c r="C44" s="98">
        <f t="shared" si="255"/>
        <v>238.097961741555</v>
      </c>
      <c r="D44" s="98">
        <f t="shared" si="246"/>
        <v>238.097961741555</v>
      </c>
      <c r="E44" s="98">
        <f t="shared" si="256"/>
        <v>385.33438646014099</v>
      </c>
      <c r="F44" s="98">
        <f t="shared" si="256"/>
        <v>221.550340555677</v>
      </c>
      <c r="G44" s="379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2753</v>
      </c>
      <c r="B45" s="119">
        <v>278</v>
      </c>
      <c r="C45" s="119">
        <v>234</v>
      </c>
      <c r="D45" s="119">
        <f t="shared" si="246"/>
        <v>234</v>
      </c>
      <c r="E45" s="119">
        <v>379</v>
      </c>
      <c r="F45" s="120">
        <v>220</v>
      </c>
      <c r="G45" s="378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2754</v>
      </c>
      <c r="B46" s="98">
        <f>B45/(1+N45)</f>
        <v>275.49301357645402</v>
      </c>
      <c r="C46" s="98">
        <f>C45/(1+O45)</f>
        <v>232.41954707985701</v>
      </c>
      <c r="D46" s="98">
        <f t="shared" si="246"/>
        <v>232.41954707985701</v>
      </c>
      <c r="E46" s="98">
        <f t="shared" ref="E46:F48" si="257">E45/(1+P45)</f>
        <v>375.32184591008098</v>
      </c>
      <c r="F46" s="98">
        <f t="shared" si="257"/>
        <v>218.03766105054501</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2755</v>
      </c>
      <c r="B47" s="98">
        <f>B46/(1+N46)</f>
        <v>275.24529281292303</v>
      </c>
      <c r="C47" s="98">
        <f>C46/(1+O46)</f>
        <v>231.74747938962699</v>
      </c>
      <c r="D47" s="98">
        <f t="shared" si="246"/>
        <v>231.74747938962699</v>
      </c>
      <c r="E47" s="98">
        <f t="shared" si="257"/>
        <v>375.35938184826603</v>
      </c>
      <c r="F47" s="98">
        <f t="shared" si="257"/>
        <v>216.78033510692501</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2756</v>
      </c>
      <c r="B48" s="98">
        <f>B47/(1+N47)</f>
        <v>275.19025476196998</v>
      </c>
      <c r="C48" s="121">
        <v>232</v>
      </c>
      <c r="D48" s="121">
        <f t="shared" si="246"/>
        <v>232</v>
      </c>
      <c r="E48" s="98">
        <f t="shared" si="257"/>
        <v>375.65990977608698</v>
      </c>
      <c r="F48" s="98">
        <f t="shared" si="257"/>
        <v>214.12518283971301</v>
      </c>
      <c r="G48" s="378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2757</v>
      </c>
      <c r="B49" s="108">
        <v>275</v>
      </c>
      <c r="C49" s="108">
        <v>232</v>
      </c>
      <c r="D49" s="108">
        <f t="shared" si="246"/>
        <v>232</v>
      </c>
      <c r="E49" s="108">
        <v>376</v>
      </c>
      <c r="F49" s="109">
        <v>213</v>
      </c>
      <c r="G49" s="378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2759</v>
      </c>
      <c r="B51" s="98">
        <f t="shared" si="258"/>
        <v>275.19335084830601</v>
      </c>
      <c r="C51" s="98">
        <f t="shared" si="258"/>
        <v>230.18088050139701</v>
      </c>
      <c r="D51" s="98">
        <f t="shared" si="246"/>
        <v>230.18088050139701</v>
      </c>
      <c r="E51" s="98">
        <f t="shared" si="259"/>
        <v>377.58482925212297</v>
      </c>
      <c r="F51" s="98">
        <f t="shared" si="259"/>
        <v>210.906879978479</v>
      </c>
      <c r="G51" s="378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2760</v>
      </c>
      <c r="B52" s="98">
        <f t="shared" si="258"/>
        <v>276.29854502841999</v>
      </c>
      <c r="C52" s="98">
        <f t="shared" si="258"/>
        <v>229.79023709833001</v>
      </c>
      <c r="D52" s="98">
        <f t="shared" si="246"/>
        <v>229.79023709833001</v>
      </c>
      <c r="E52" s="98">
        <f t="shared" si="259"/>
        <v>379.78759731655902</v>
      </c>
      <c r="F52" s="98">
        <f t="shared" si="259"/>
        <v>211.32953905659201</v>
      </c>
      <c r="G52" s="378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2761</v>
      </c>
      <c r="B53" s="108">
        <v>269</v>
      </c>
      <c r="C53" s="108">
        <v>221</v>
      </c>
      <c r="D53" s="108">
        <f t="shared" si="246"/>
        <v>221</v>
      </c>
      <c r="E53" s="108">
        <v>373</v>
      </c>
      <c r="F53" s="109">
        <v>196</v>
      </c>
      <c r="G53" s="378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2763</v>
      </c>
      <c r="B55" s="98">
        <f t="shared" si="260"/>
        <v>242.95398227588399</v>
      </c>
      <c r="C55" s="98">
        <f t="shared" si="260"/>
        <v>199.591370536141</v>
      </c>
      <c r="D55" s="98">
        <f t="shared" si="246"/>
        <v>199.591370536141</v>
      </c>
      <c r="E55" s="98">
        <f t="shared" si="261"/>
        <v>335.92189522342102</v>
      </c>
      <c r="F55" s="98">
        <f t="shared" si="261"/>
        <v>183.101399911095</v>
      </c>
      <c r="G55" s="378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2764</v>
      </c>
      <c r="B56" s="98">
        <f t="shared" si="260"/>
        <v>232.06990378821601</v>
      </c>
      <c r="C56" s="98">
        <f t="shared" si="260"/>
        <v>192.74878854286899</v>
      </c>
      <c r="D56" s="98">
        <f t="shared" si="246"/>
        <v>192.74878854286899</v>
      </c>
      <c r="E56" s="98">
        <f t="shared" si="261"/>
        <v>319.71247284993001</v>
      </c>
      <c r="F56" s="98">
        <f t="shared" si="261"/>
        <v>175.670536228624</v>
      </c>
      <c r="G56" s="378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2765</v>
      </c>
      <c r="B57" s="108">
        <v>220</v>
      </c>
      <c r="C57" s="108">
        <v>187</v>
      </c>
      <c r="D57" s="108">
        <f t="shared" si="246"/>
        <v>187</v>
      </c>
      <c r="E57" s="108">
        <v>301</v>
      </c>
      <c r="F57" s="109">
        <v>168</v>
      </c>
      <c r="G57" s="378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2767</v>
      </c>
      <c r="B59" s="98">
        <f t="shared" si="262"/>
        <v>210.630522469011</v>
      </c>
      <c r="C59" s="98">
        <f t="shared" si="262"/>
        <v>181.695678122472</v>
      </c>
      <c r="D59" s="98">
        <f t="shared" si="246"/>
        <v>181.695678122472</v>
      </c>
      <c r="E59" s="98">
        <f t="shared" si="263"/>
        <v>286.13517466736698</v>
      </c>
      <c r="F59" s="98">
        <f t="shared" si="263"/>
        <v>165.47535084591101</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2768</v>
      </c>
      <c r="B60" s="98">
        <f t="shared" si="262"/>
        <v>208.834545378754</v>
      </c>
      <c r="C60" s="98">
        <f t="shared" si="262"/>
        <v>183.77230517090399</v>
      </c>
      <c r="D60" s="98">
        <f t="shared" si="246"/>
        <v>183.77230517090399</v>
      </c>
      <c r="E60" s="98">
        <f t="shared" si="263"/>
        <v>281.10342338870902</v>
      </c>
      <c r="F60" s="98">
        <f t="shared" si="263"/>
        <v>168.97309388942301</v>
      </c>
      <c r="G60" s="378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2769</v>
      </c>
      <c r="B61" s="119">
        <v>214</v>
      </c>
      <c r="C61" s="119">
        <v>188</v>
      </c>
      <c r="D61" s="119">
        <f t="shared" si="246"/>
        <v>188</v>
      </c>
      <c r="E61" s="119">
        <v>289</v>
      </c>
      <c r="F61" s="120">
        <v>166</v>
      </c>
      <c r="G61" s="378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2771</v>
      </c>
      <c r="B63" s="98">
        <f t="shared" si="264"/>
        <v>206.31694671589099</v>
      </c>
      <c r="C63" s="98">
        <f t="shared" si="264"/>
        <v>183.61041121036101</v>
      </c>
      <c r="D63" s="98">
        <f t="shared" si="246"/>
        <v>183.61041121036101</v>
      </c>
      <c r="E63" s="98">
        <f t="shared" si="265"/>
        <v>276.66850301795603</v>
      </c>
      <c r="F63" s="98">
        <f t="shared" si="265"/>
        <v>165.136093827861</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2772</v>
      </c>
      <c r="B64" s="122">
        <f t="shared" si="264"/>
        <v>196.62341248059801</v>
      </c>
      <c r="C64" s="122">
        <f t="shared" si="264"/>
        <v>170.99125648199001</v>
      </c>
      <c r="D64" s="122">
        <f t="shared" si="246"/>
        <v>170.99125648199001</v>
      </c>
      <c r="E64" s="122">
        <f t="shared" si="265"/>
        <v>266.07857570490103</v>
      </c>
      <c r="F64" s="122">
        <f t="shared" si="265"/>
        <v>154.53499328828499</v>
      </c>
      <c r="G64" s="378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2773</v>
      </c>
      <c r="B65" s="108">
        <v>188</v>
      </c>
      <c r="C65" s="108">
        <v>165</v>
      </c>
      <c r="D65" s="108">
        <f t="shared" si="246"/>
        <v>165</v>
      </c>
      <c r="E65" s="108">
        <v>254</v>
      </c>
      <c r="F65" s="109">
        <v>148</v>
      </c>
      <c r="G65" s="378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2775</v>
      </c>
      <c r="B67" s="98">
        <f t="shared" si="268"/>
        <v>168.820177487156</v>
      </c>
      <c r="C67" s="98">
        <f t="shared" si="268"/>
        <v>148.06267029972801</v>
      </c>
      <c r="D67" s="98">
        <f t="shared" si="246"/>
        <v>148.06267029972801</v>
      </c>
      <c r="E67" s="98">
        <f t="shared" si="269"/>
        <v>216.46288379323701</v>
      </c>
      <c r="F67" s="98">
        <f t="shared" si="269"/>
        <v>134.23529411764699</v>
      </c>
      <c r="G67" s="378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2776</v>
      </c>
      <c r="B68" s="98">
        <f t="shared" si="268"/>
        <v>163.849135917795</v>
      </c>
      <c r="C68" s="98">
        <f t="shared" si="268"/>
        <v>145.028337874659</v>
      </c>
      <c r="D68" s="98">
        <f t="shared" si="246"/>
        <v>145.028337874659</v>
      </c>
      <c r="E68" s="98">
        <f t="shared" si="269"/>
        <v>204.95180722891601</v>
      </c>
      <c r="F68" s="98">
        <f t="shared" si="269"/>
        <v>125.959203036053</v>
      </c>
      <c r="G68" s="378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2777</v>
      </c>
      <c r="B69" s="112">
        <v>159</v>
      </c>
      <c r="C69" s="112">
        <v>141</v>
      </c>
      <c r="D69" s="112">
        <f t="shared" si="246"/>
        <v>141</v>
      </c>
      <c r="E69" s="112">
        <v>195</v>
      </c>
      <c r="F69" s="113">
        <v>122</v>
      </c>
      <c r="G69" s="378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2779</v>
      </c>
      <c r="B71" s="98">
        <f t="shared" si="272"/>
        <v>146.57412060301499</v>
      </c>
      <c r="C71" s="98">
        <f t="shared" si="272"/>
        <v>136.468319559229</v>
      </c>
      <c r="D71" s="98">
        <f t="shared" si="246"/>
        <v>136.468319559229</v>
      </c>
      <c r="E71" s="98">
        <f t="shared" si="273"/>
        <v>166.73864894795099</v>
      </c>
      <c r="F71" s="98">
        <f t="shared" si="273"/>
        <v>115.058823529412</v>
      </c>
      <c r="G71" s="378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2780</v>
      </c>
      <c r="B72" s="98">
        <f t="shared" si="272"/>
        <v>144.04145728643201</v>
      </c>
      <c r="C72" s="98">
        <f t="shared" si="272"/>
        <v>136.123966942149</v>
      </c>
      <c r="D72" s="98">
        <f t="shared" si="246"/>
        <v>136.123966942149</v>
      </c>
      <c r="E72" s="98">
        <f t="shared" si="273"/>
        <v>158.32225913621301</v>
      </c>
      <c r="F72" s="98">
        <f t="shared" si="273"/>
        <v>114.04278074866301</v>
      </c>
      <c r="G72" s="378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2781</v>
      </c>
      <c r="B73" s="112">
        <v>138</v>
      </c>
      <c r="C73" s="112">
        <v>131</v>
      </c>
      <c r="D73" s="112">
        <f t="shared" si="246"/>
        <v>131</v>
      </c>
      <c r="E73" s="112">
        <v>155</v>
      </c>
      <c r="F73" s="113">
        <v>114</v>
      </c>
      <c r="G73" s="378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2783</v>
      </c>
      <c r="B75" s="98">
        <f t="shared" si="276"/>
        <v>124.290322580645</v>
      </c>
      <c r="C75" s="98">
        <f t="shared" si="276"/>
        <v>123.896860986547</v>
      </c>
      <c r="D75" s="98">
        <f t="shared" si="246"/>
        <v>123.896860986547</v>
      </c>
      <c r="E75" s="98">
        <f t="shared" si="277"/>
        <v>138.005076142132</v>
      </c>
      <c r="F75" s="98">
        <f t="shared" si="277"/>
        <v>107.96106557377</v>
      </c>
      <c r="G75" s="378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2784</v>
      </c>
      <c r="B76" s="98">
        <f t="shared" si="276"/>
        <v>122.57204301075301</v>
      </c>
      <c r="C76" s="98">
        <f t="shared" si="276"/>
        <v>123.493273542601</v>
      </c>
      <c r="D76" s="98">
        <f t="shared" si="246"/>
        <v>123.493273542601</v>
      </c>
      <c r="E76" s="98">
        <f t="shared" si="277"/>
        <v>129.82233502538099</v>
      </c>
      <c r="F76" s="98">
        <f t="shared" si="277"/>
        <v>107.39446721311501</v>
      </c>
      <c r="G76" s="378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2785</v>
      </c>
      <c r="B77" s="119">
        <v>121</v>
      </c>
      <c r="C77" s="119">
        <v>122</v>
      </c>
      <c r="D77" s="119">
        <f t="shared" si="246"/>
        <v>122</v>
      </c>
      <c r="E77" s="119">
        <v>124</v>
      </c>
      <c r="F77" s="120">
        <v>107</v>
      </c>
      <c r="G77" s="378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2787</v>
      </c>
      <c r="B79" s="98">
        <f t="shared" si="280"/>
        <v>116.99099099099099</v>
      </c>
      <c r="C79" s="98">
        <f t="shared" si="280"/>
        <v>118.848484848485</v>
      </c>
      <c r="D79" s="98">
        <f t="shared" si="246"/>
        <v>118.848484848485</v>
      </c>
      <c r="E79" s="98">
        <f t="shared" si="281"/>
        <v>117.60960960961</v>
      </c>
      <c r="F79" s="98">
        <f t="shared" si="281"/>
        <v>104</v>
      </c>
      <c r="G79" s="378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2788</v>
      </c>
      <c r="B80" s="122">
        <f t="shared" si="280"/>
        <v>112.486486486486</v>
      </c>
      <c r="C80" s="122">
        <f t="shared" si="280"/>
        <v>115.212121212121</v>
      </c>
      <c r="D80" s="122">
        <f t="shared" si="246"/>
        <v>115.212121212121</v>
      </c>
      <c r="E80" s="122">
        <f t="shared" si="281"/>
        <v>110.402402402402</v>
      </c>
      <c r="F80" s="122">
        <f t="shared" si="281"/>
        <v>104</v>
      </c>
      <c r="G80" s="378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2789</v>
      </c>
      <c r="B81" s="172">
        <v>111</v>
      </c>
      <c r="C81" s="172">
        <v>114</v>
      </c>
      <c r="D81" s="172">
        <f t="shared" si="246"/>
        <v>114</v>
      </c>
      <c r="E81" s="172">
        <v>108</v>
      </c>
      <c r="F81" s="173">
        <v>104</v>
      </c>
      <c r="G81" s="3789">
        <v>2003</v>
      </c>
      <c r="H81" s="171">
        <v>4</v>
      </c>
      <c r="I81" s="191"/>
      <c r="J81" s="191"/>
      <c r="K81" s="191"/>
      <c r="L81" s="191"/>
      <c r="N81" s="192"/>
      <c r="O81" s="191"/>
      <c r="P81" s="191"/>
      <c r="Q81" s="191"/>
      <c r="S81" s="192"/>
      <c r="T81" s="191"/>
      <c r="U81" s="191"/>
      <c r="V81" s="191"/>
      <c r="X81" s="197"/>
      <c r="Y81" s="197"/>
      <c r="Z81" s="197"/>
    </row>
    <row r="82" spans="1:26">
      <c r="A82" s="97" t="s">
        <v>2790</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2791</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2792</v>
      </c>
      <c r="B84" s="174">
        <f t="shared" si="282"/>
        <v>107.25</v>
      </c>
      <c r="C84" s="174">
        <f t="shared" si="282"/>
        <v>108.75</v>
      </c>
      <c r="D84" s="174">
        <f t="shared" si="246"/>
        <v>108.75</v>
      </c>
      <c r="E84" s="174">
        <f t="shared" si="283"/>
        <v>105.75</v>
      </c>
      <c r="F84" s="174">
        <f t="shared" si="283"/>
        <v>102.5</v>
      </c>
      <c r="G84" s="3788">
        <v>2003</v>
      </c>
      <c r="H84" s="175">
        <v>1</v>
      </c>
      <c r="I84" s="191"/>
      <c r="J84" s="191"/>
      <c r="K84" s="191"/>
      <c r="L84" s="191"/>
      <c r="S84" s="128"/>
      <c r="T84" s="129"/>
      <c r="U84" s="129"/>
      <c r="X84" s="197"/>
      <c r="Y84" s="197"/>
      <c r="Z84" s="197"/>
    </row>
    <row r="85" spans="1:26">
      <c r="A85" s="97" t="s">
        <v>2793</v>
      </c>
      <c r="B85" s="176">
        <v>106</v>
      </c>
      <c r="C85" s="176">
        <v>107</v>
      </c>
      <c r="D85" s="176">
        <f t="shared" si="246"/>
        <v>107</v>
      </c>
      <c r="E85" s="176">
        <v>105</v>
      </c>
      <c r="F85" s="177">
        <v>102</v>
      </c>
      <c r="G85" s="3789">
        <v>2002</v>
      </c>
      <c r="H85" s="110">
        <v>4</v>
      </c>
      <c r="I85" s="191"/>
      <c r="J85" s="191"/>
      <c r="K85" s="191"/>
      <c r="L85" s="191"/>
      <c r="N85" s="192"/>
      <c r="O85" s="191"/>
      <c r="P85" s="191"/>
      <c r="Q85" s="191"/>
      <c r="S85" s="192"/>
      <c r="T85" s="191"/>
      <c r="U85" s="191"/>
      <c r="V85" s="191"/>
      <c r="X85" s="197"/>
      <c r="Y85" s="197"/>
      <c r="Z85" s="197"/>
    </row>
    <row r="86" spans="1:26">
      <c r="A86" s="97" t="s">
        <v>2794</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2795</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2796</v>
      </c>
      <c r="B88" s="159">
        <f t="shared" si="284"/>
        <v>103</v>
      </c>
      <c r="C88" s="159">
        <f t="shared" si="284"/>
        <v>104</v>
      </c>
      <c r="D88" s="159">
        <f t="shared" si="246"/>
        <v>104</v>
      </c>
      <c r="E88" s="159">
        <f t="shared" si="285"/>
        <v>103.5</v>
      </c>
      <c r="F88" s="159">
        <f t="shared" si="285"/>
        <v>100.5</v>
      </c>
      <c r="G88" s="378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2797</v>
      </c>
      <c r="G91" s="183"/>
      <c r="N91" s="183"/>
      <c r="S91" s="183"/>
    </row>
    <row r="92" spans="1:26" s="82" customFormat="1">
      <c r="A92" s="82" t="s">
        <v>2798</v>
      </c>
      <c r="G92" s="183"/>
      <c r="N92" s="183"/>
      <c r="S92" s="183"/>
    </row>
    <row r="93" spans="1:26" s="82" customFormat="1">
      <c r="A93" s="82" t="s">
        <v>2799</v>
      </c>
      <c r="G93" s="183"/>
      <c r="I93" s="195"/>
      <c r="J93" s="195"/>
      <c r="K93" s="195"/>
      <c r="L93" s="195"/>
      <c r="N93" s="196"/>
      <c r="O93" s="195"/>
      <c r="P93" s="195"/>
      <c r="Q93" s="195"/>
      <c r="S93" s="196"/>
      <c r="T93" s="195"/>
      <c r="U93" s="195"/>
      <c r="V93" s="195"/>
    </row>
    <row r="94" spans="1:26" s="82" customFormat="1">
      <c r="A94" s="82" t="s">
        <v>2800</v>
      </c>
      <c r="G94" s="183"/>
      <c r="N94" s="183"/>
      <c r="S94" s="183"/>
    </row>
    <row r="102" spans="7:22">
      <c r="G102" s="83"/>
      <c r="S102" s="200" t="s">
        <v>2801</v>
      </c>
      <c r="T102" s="201" t="s">
        <v>2802</v>
      </c>
      <c r="U102" s="201" t="s">
        <v>2803</v>
      </c>
      <c r="V102" s="201" t="s">
        <v>2804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45026</v>
      </c>
      <c r="D1" s="7" t="s">
        <v>2805</v>
      </c>
      <c r="E1" s="9">
        <f>'数据-取费表'!B22</f>
        <v>3</v>
      </c>
      <c r="F1" s="7" t="s">
        <v>2806</v>
      </c>
      <c r="G1" s="10">
        <f ca="1">INDIRECT("d"&amp;$K$1)/100</f>
        <v>3.6499999999999998E-2</v>
      </c>
      <c r="H1" s="7" t="s">
        <v>2807</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2806</v>
      </c>
      <c r="E2" s="11"/>
      <c r="F2" s="11" t="s">
        <v>2808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2810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2815</v>
      </c>
      <c r="C10" s="35"/>
      <c r="D10" s="35"/>
      <c r="E10" s="35"/>
      <c r="F10" s="35"/>
      <c r="G10" s="35"/>
      <c r="H10" s="35"/>
      <c r="I10" s="3"/>
      <c r="J10" s="3"/>
      <c r="K10" s="35"/>
      <c r="L10" s="36" t="s">
        <v>2816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2817</v>
      </c>
      <c r="C11" s="39" t="s">
        <v>2818</v>
      </c>
      <c r="D11" s="40" t="s">
        <v>2819</v>
      </c>
      <c r="E11" s="41"/>
      <c r="F11" s="40" t="s">
        <v>2820</v>
      </c>
      <c r="G11" s="42"/>
      <c r="H11" s="41"/>
      <c r="I11" s="40" t="s">
        <v>2821</v>
      </c>
      <c r="J11" s="41"/>
      <c r="K11" s="37"/>
      <c r="L11" s="38" t="s">
        <v>2817</v>
      </c>
      <c r="M11" s="39" t="s">
        <v>2818</v>
      </c>
      <c r="N11" s="38" t="s">
        <v>2822</v>
      </c>
      <c r="O11" s="40" t="s">
        <v>2823</v>
      </c>
      <c r="P11" s="42"/>
      <c r="Q11" s="42"/>
      <c r="R11" s="42"/>
      <c r="S11" s="42"/>
      <c r="T11" s="41"/>
      <c r="U11" s="40" t="s">
        <v>2824</v>
      </c>
      <c r="V11" s="42"/>
      <c r="W11" s="41"/>
      <c r="X11" s="38" t="s">
        <v>2825</v>
      </c>
      <c r="Y11" s="38" t="s">
        <v>2826</v>
      </c>
      <c r="Z11" s="38" t="s">
        <v>2827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2828</v>
      </c>
      <c r="E12" s="46" t="s">
        <v>2810</v>
      </c>
      <c r="F12" s="46" t="s">
        <v>2811</v>
      </c>
      <c r="G12" s="46" t="s">
        <v>2812</v>
      </c>
      <c r="H12" s="46" t="s">
        <v>2813</v>
      </c>
      <c r="I12" s="60" t="s">
        <v>2829</v>
      </c>
      <c r="J12" s="60" t="s">
        <v>2829</v>
      </c>
      <c r="K12" s="43"/>
      <c r="L12" s="44"/>
      <c r="M12" s="45"/>
      <c r="N12" s="44"/>
      <c r="O12" s="60" t="s">
        <v>2830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2831</v>
      </c>
      <c r="C13" s="49">
        <v>44795</v>
      </c>
      <c r="D13" s="50">
        <v>3.65</v>
      </c>
      <c r="E13" s="50">
        <f>D13</f>
        <v>3.65</v>
      </c>
      <c r="F13" s="50">
        <f>D13</f>
        <v>3.65</v>
      </c>
      <c r="G13" s="50">
        <f>D13</f>
        <v>3.65</v>
      </c>
      <c r="H13" s="50">
        <v>4.3</v>
      </c>
      <c r="I13" s="50"/>
      <c r="J13" s="50"/>
      <c r="K13" s="47"/>
      <c r="L13" s="48" t="s">
        <v>2831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2833</v>
      </c>
      <c r="Y42" s="52" t="s">
        <v>2833</v>
      </c>
      <c r="Z42" s="52" t="s">
        <v>2833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2833</v>
      </c>
      <c r="Y43" s="52" t="s">
        <v>2833</v>
      </c>
      <c r="Z43" s="52" t="s">
        <v>2833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2833</v>
      </c>
      <c r="Y44" s="52" t="s">
        <v>2833</v>
      </c>
      <c r="Z44" s="52" t="s">
        <v>2833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2833</v>
      </c>
      <c r="Y45" s="52" t="s">
        <v>2833</v>
      </c>
      <c r="Z45" s="52" t="s">
        <v>2833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2833</v>
      </c>
      <c r="Y46" s="52" t="s">
        <v>2833</v>
      </c>
      <c r="Z46" s="52" t="s">
        <v>2833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2833</v>
      </c>
      <c r="Y47" s="52" t="s">
        <v>2833</v>
      </c>
      <c r="Z47" s="52" t="s">
        <v>2833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2833</v>
      </c>
      <c r="Y48" s="52" t="s">
        <v>2833</v>
      </c>
      <c r="Z48" s="52" t="s">
        <v>2833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2833</v>
      </c>
      <c r="Y49" s="52" t="s">
        <v>2833</v>
      </c>
      <c r="Z49" s="52" t="s">
        <v>2833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2833</v>
      </c>
      <c r="Y50" s="52" t="s">
        <v>2833</v>
      </c>
      <c r="Z50" s="52" t="s">
        <v>2833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2833</v>
      </c>
      <c r="V51" s="52" t="s">
        <v>2833</v>
      </c>
      <c r="W51" s="52" t="s">
        <v>2833</v>
      </c>
      <c r="X51" s="52" t="s">
        <v>2833</v>
      </c>
      <c r="Y51" s="52" t="s">
        <v>2833</v>
      </c>
      <c r="Z51" s="52" t="s">
        <v>2833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2833</v>
      </c>
      <c r="J64" s="52" t="s">
        <v>2833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216721</v>
      </c>
      <c r="E4" s="3395">
        <f ca="1">结果表!E118</f>
        <v>18028</v>
      </c>
      <c r="F4" s="3395">
        <f ca="1">结果表!F118</f>
        <v>151852</v>
      </c>
      <c r="G4" s="3395">
        <f ca="1">结果表!G118</f>
        <v>12631</v>
      </c>
      <c r="H4" s="3395">
        <f ca="1">结果表!H118</f>
        <v>368573</v>
      </c>
      <c r="I4" s="3395">
        <f ca="1">结果表!I118</f>
        <v>30659</v>
      </c>
    </row>
    <row r="5" spans="1:9" ht="30" customHeight="1">
      <c r="A5" s="3465" t="s">
        <v>112</v>
      </c>
      <c r="B5" s="3465"/>
      <c r="C5" s="3465"/>
      <c r="D5" s="3465" t="str">
        <f ca="1">结果表!D119</f>
        <v>贰拾壹亿陆仟柒佰贰拾壹万元整</v>
      </c>
      <c r="E5" s="3465"/>
      <c r="F5" s="3465" t="str">
        <f ca="1">结果表!F119</f>
        <v>壹拾伍亿壹仟捌佰伍拾贰万元整</v>
      </c>
      <c r="G5" s="3465"/>
      <c r="H5" s="3465" t="str">
        <f ca="1">结果表!H119</f>
        <v>叁拾陆亿捌仟伍佰柒拾叁万元整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112</v>
      </c>
      <c r="B7" s="3465"/>
      <c r="C7" s="3465"/>
      <c r="D7" s="3467" t="str">
        <f>结果表!D121</f>
        <v>零元整</v>
      </c>
      <c r="E7" s="3468"/>
      <c r="F7" s="3468"/>
      <c r="G7" s="3468"/>
      <c r="H7" s="3468"/>
      <c r="I7" s="3469"/>
    </row>
    <row r="8" spans="1:9" ht="15.75">
      <c r="A8" s="3466" t="str">
        <f>结果表!A122</f>
        <v>房地产抵押价值</v>
      </c>
      <c r="B8" s="3466"/>
      <c r="C8" s="3466"/>
      <c r="D8" s="3466">
        <f ca="1">结果表!D122</f>
        <v>368573</v>
      </c>
      <c r="E8" s="3466"/>
      <c r="F8" s="3466"/>
      <c r="G8" s="3466"/>
      <c r="H8" s="3466"/>
      <c r="I8" s="3466"/>
    </row>
    <row r="9" spans="1:9" ht="15">
      <c r="A9" s="3465" t="s">
        <v>112</v>
      </c>
      <c r="B9" s="3465"/>
      <c r="C9" s="3465"/>
      <c r="D9" s="3465" t="str">
        <f ca="1">结果表!D123</f>
        <v>叁拾陆亿捌仟伍佰柒拾叁万元整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112</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2" t="s">
        <v>114</v>
      </c>
      <c r="B1" s="3472"/>
      <c r="C1" s="3472"/>
      <c r="D1" s="3472"/>
    </row>
    <row r="2" spans="1:4" ht="18">
      <c r="A2" s="3473" t="s">
        <v>115</v>
      </c>
      <c r="B2" s="3473"/>
      <c r="C2" s="3473"/>
      <c r="D2" s="3473"/>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4" t="s">
        <v>146</v>
      </c>
      <c r="B15" s="3481" t="s">
        <v>147</v>
      </c>
      <c r="C15" s="3482"/>
    </row>
    <row r="16" spans="1:7" ht="13.5">
      <c r="A16" s="3485"/>
      <c r="B16" s="3481" t="s">
        <v>148</v>
      </c>
      <c r="C16" s="3482"/>
    </row>
    <row r="17" spans="1:3" ht="13.5">
      <c r="A17" s="3485"/>
      <c r="B17" s="3488" t="s">
        <v>149</v>
      </c>
      <c r="C17" s="3372" t="s">
        <v>146</v>
      </c>
    </row>
    <row r="18" spans="1:3" ht="13.5">
      <c r="A18" s="3485"/>
      <c r="B18" s="3488"/>
      <c r="C18" s="3372" t="s">
        <v>150</v>
      </c>
    </row>
    <row r="19" spans="1:3" ht="13.5">
      <c r="A19" s="3485"/>
      <c r="B19" s="3488"/>
      <c r="C19" s="3372" t="s">
        <v>151</v>
      </c>
    </row>
    <row r="20" spans="1:3" ht="13.5">
      <c r="A20" s="3486"/>
      <c r="B20" s="3483" t="s">
        <v>152</v>
      </c>
      <c r="C20" s="3482"/>
    </row>
    <row r="21" spans="1:3" ht="13.5">
      <c r="A21" s="3373" t="s">
        <v>153</v>
      </c>
      <c r="B21" s="3374"/>
      <c r="C21" s="3375"/>
    </row>
    <row r="22" spans="1:3" ht="13.5">
      <c r="A22" s="3487" t="s">
        <v>154</v>
      </c>
      <c r="B22" s="3483" t="s">
        <v>155</v>
      </c>
      <c r="C22" s="3482"/>
    </row>
    <row r="23" spans="1:3" ht="13.5">
      <c r="A23" s="3487"/>
      <c r="B23" s="3483" t="s">
        <v>156</v>
      </c>
      <c r="C23" s="3482"/>
    </row>
    <row r="24" spans="1:3" ht="13.5">
      <c r="A24" s="3487"/>
      <c r="B24" s="3483" t="s">
        <v>157</v>
      </c>
      <c r="C24" s="3482"/>
    </row>
    <row r="25" spans="1:3" ht="13.5">
      <c r="A25" s="3487"/>
      <c r="B25" s="3488" t="s">
        <v>158</v>
      </c>
      <c r="C25" s="3372" t="s">
        <v>159</v>
      </c>
    </row>
    <row r="26" spans="1:3" ht="13.5">
      <c r="A26" s="3487"/>
      <c r="B26" s="3488"/>
      <c r="C26" s="3372" t="s">
        <v>160</v>
      </c>
    </row>
    <row r="27" spans="1:3" ht="13.5">
      <c r="A27" s="3487"/>
      <c r="B27" s="3488"/>
      <c r="C27" s="3372" t="s">
        <v>161</v>
      </c>
    </row>
    <row r="28" spans="1:3" ht="13.5">
      <c r="A28" s="3487"/>
      <c r="B28" s="3488"/>
      <c r="C28" s="3372" t="s">
        <v>162</v>
      </c>
    </row>
    <row r="29" spans="1:3" ht="13.5">
      <c r="A29" s="3487"/>
      <c r="B29" s="3488"/>
      <c r="C29" s="3372" t="s">
        <v>163</v>
      </c>
    </row>
    <row r="30" spans="1:3" ht="13.5">
      <c r="A30" s="3487"/>
      <c r="B30" s="3488"/>
      <c r="C30" s="3372" t="s">
        <v>164</v>
      </c>
    </row>
    <row r="31" spans="1:3" ht="13.5">
      <c r="A31" s="3487"/>
      <c r="B31" s="3488"/>
      <c r="C31" s="3372" t="s">
        <v>165</v>
      </c>
    </row>
    <row r="32" spans="1:3" ht="13.5">
      <c r="A32" s="3487"/>
      <c r="B32" s="3488"/>
      <c r="C32" s="3372" t="s">
        <v>166</v>
      </c>
    </row>
    <row r="33" spans="1:3" ht="13.5">
      <c r="A33" s="3487"/>
      <c r="B33" s="348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45028</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2023-04-12T01:51:55Z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