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7"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 name="面积拆分" sheetId="77"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39" l="1"/>
  <c r="J27" i="77" l="1"/>
  <c r="J28" i="77"/>
  <c r="I24" i="77"/>
  <c r="J25" i="77"/>
  <c r="J24" i="77"/>
  <c r="J23" i="77"/>
  <c r="I22" i="77"/>
  <c r="C94" i="9"/>
  <c r="J89" i="9"/>
  <c r="E42" i="6"/>
  <c r="F19" i="6"/>
  <c r="N6" i="1"/>
  <c r="I26" i="77" l="1"/>
  <c r="I27" i="77" s="1"/>
  <c r="I25" i="77"/>
  <c r="H23" i="77"/>
  <c r="G22" i="77"/>
  <c r="G27" i="77"/>
  <c r="H27" i="77" s="1"/>
  <c r="G26" i="77"/>
  <c r="H26" i="77" s="1"/>
  <c r="G25" i="77"/>
  <c r="H25" i="77" s="1"/>
  <c r="G24" i="77"/>
  <c r="H24" i="77" s="1"/>
  <c r="I91" i="9"/>
  <c r="C88" i="9"/>
  <c r="I46" i="39"/>
  <c r="G46" i="39"/>
  <c r="E46" i="39"/>
  <c r="I38" i="39"/>
  <c r="G38" i="39"/>
  <c r="E38" i="39"/>
  <c r="I7" i="39"/>
  <c r="G7" i="39"/>
  <c r="E7" i="39"/>
  <c r="I5" i="39"/>
  <c r="G5" i="39"/>
  <c r="E5" i="39"/>
  <c r="Y6" i="1"/>
  <c r="I28" i="77" l="1"/>
  <c r="J26" i="77"/>
  <c r="G28" i="77"/>
  <c r="H28" i="77" s="1"/>
  <c r="C29" i="77"/>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Q33" i="71"/>
  <c r="P33" i="71"/>
  <c r="O33" i="71"/>
  <c r="N33" i="71"/>
  <c r="Q32" i="71"/>
  <c r="AB32" i="71" s="1"/>
  <c r="P32" i="71"/>
  <c r="AA32" i="71"/>
  <c r="O32" i="71"/>
  <c r="Y32" i="71"/>
  <c r="Z32" i="71" s="1"/>
  <c r="N32" i="71"/>
  <c r="X32" i="71" s="1"/>
  <c r="Q31" i="71"/>
  <c r="AB31" i="71" s="1"/>
  <c r="P31" i="71"/>
  <c r="O31" i="71"/>
  <c r="Y31" i="71"/>
  <c r="Z31" i="71" s="1"/>
  <c r="N31" i="71"/>
  <c r="Q30" i="71"/>
  <c r="F31" i="71" s="1"/>
  <c r="F32" i="71" s="1"/>
  <c r="F33" i="71" s="1"/>
  <c r="V33" i="71" s="1"/>
  <c r="P30" i="71"/>
  <c r="O30" i="71"/>
  <c r="N30" i="71"/>
  <c r="B31" i="71" s="1"/>
  <c r="B32" i="71" s="1"/>
  <c r="B33" i="71" s="1"/>
  <c r="S33" i="71" s="1"/>
  <c r="D30" i="71"/>
  <c r="Q29" i="71"/>
  <c r="AB29" i="71" s="1"/>
  <c r="P29" i="71"/>
  <c r="AA28" i="71" s="1"/>
  <c r="O29" i="71"/>
  <c r="Y29" i="71"/>
  <c r="Z29" i="71" s="1"/>
  <c r="N29" i="71"/>
  <c r="Q28" i="71"/>
  <c r="AB28" i="71"/>
  <c r="P28" i="71"/>
  <c r="O28" i="71"/>
  <c r="Y28" i="71" s="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X24" i="71" s="1"/>
  <c r="Q24" i="71"/>
  <c r="AB24" i="71"/>
  <c r="P24" i="71"/>
  <c r="O24" i="71"/>
  <c r="Y24" i="71" s="1"/>
  <c r="Z24" i="71" s="1"/>
  <c r="N24" i="71"/>
  <c r="Q23" i="71"/>
  <c r="AB23" i="71" s="1"/>
  <c r="P23" i="71"/>
  <c r="O23" i="71"/>
  <c r="Y23" i="71"/>
  <c r="Z23" i="71" s="1"/>
  <c r="N23" i="71"/>
  <c r="X23" i="71" s="1"/>
  <c r="Q22" i="71"/>
  <c r="F23" i="71" s="1"/>
  <c r="F24" i="71" s="1"/>
  <c r="F25" i="71" s="1"/>
  <c r="V25" i="71" s="1"/>
  <c r="P22" i="71"/>
  <c r="E23" i="71" s="1"/>
  <c r="E24" i="71" s="1"/>
  <c r="E25" i="71" s="1"/>
  <c r="U25" i="71" s="1"/>
  <c r="O22" i="71"/>
  <c r="N22" i="71"/>
  <c r="X18" i="71" s="1"/>
  <c r="D22" i="71"/>
  <c r="O21" i="71"/>
  <c r="Y17" i="71" s="1"/>
  <c r="Z17" i="71" s="1"/>
  <c r="N21" i="71"/>
  <c r="B23" i="71"/>
  <c r="B24" i="71" s="1"/>
  <c r="B25" i="71" s="1"/>
  <c r="S25" i="71" s="1"/>
  <c r="X22" i="71"/>
  <c r="B27" i="71"/>
  <c r="B28" i="71" s="1"/>
  <c r="B29" i="71" s="1"/>
  <c r="S29" i="71" s="1"/>
  <c r="X26" i="71"/>
  <c r="E31" i="71"/>
  <c r="E32" i="71" s="1"/>
  <c r="E33" i="71" s="1"/>
  <c r="U33" i="71" s="1"/>
  <c r="AA30" i="71"/>
  <c r="N61" i="71"/>
  <c r="E27" i="71"/>
  <c r="E28" i="71" s="1"/>
  <c r="E29" i="71" s="1"/>
  <c r="U29" i="71" s="1"/>
  <c r="AA26" i="71"/>
  <c r="C23" i="71"/>
  <c r="Y22" i="71"/>
  <c r="Z22" i="71" s="1"/>
  <c r="AB22" i="71"/>
  <c r="AA23" i="71"/>
  <c r="AA24" i="71"/>
  <c r="AA25" i="71"/>
  <c r="C27" i="71"/>
  <c r="C28" i="71"/>
  <c r="C29" i="71" s="1"/>
  <c r="X27" i="71"/>
  <c r="X28" i="71"/>
  <c r="X29" i="71"/>
  <c r="C31" i="71"/>
  <c r="D31" i="71" s="1"/>
  <c r="Y30" i="71"/>
  <c r="Z30" i="71"/>
  <c r="AB30" i="71"/>
  <c r="X31" i="71"/>
  <c r="AA31" i="71"/>
  <c r="Y18" i="71"/>
  <c r="Z18" i="71" s="1"/>
  <c r="Y19" i="71"/>
  <c r="Z19" i="71" s="1"/>
  <c r="Y20" i="71"/>
  <c r="Z20" i="71" s="1"/>
  <c r="Y21" i="71"/>
  <c r="Z21" i="71" s="1"/>
  <c r="B21" i="71"/>
  <c r="B20" i="71" s="1"/>
  <c r="B19" i="71" s="1"/>
  <c r="X19" i="71"/>
  <c r="X21" i="71"/>
  <c r="C24" i="71"/>
  <c r="D23" i="71"/>
  <c r="D27" i="71"/>
  <c r="C32" i="71"/>
  <c r="C33" i="71" s="1"/>
  <c r="C36" i="71"/>
  <c r="C37" i="71" s="1"/>
  <c r="D35" i="71"/>
  <c r="C40" i="71"/>
  <c r="D40" i="71" s="1"/>
  <c r="D39" i="71"/>
  <c r="C44" i="71"/>
  <c r="D43" i="71"/>
  <c r="P21" i="71"/>
  <c r="E48" i="71"/>
  <c r="E49" i="71" s="1"/>
  <c r="U49" i="71" s="1"/>
  <c r="E52" i="71"/>
  <c r="E53" i="71"/>
  <c r="U53" i="71" s="1"/>
  <c r="E56" i="71"/>
  <c r="E57" i="71" s="1"/>
  <c r="U57" i="71" s="1"/>
  <c r="U61" i="71"/>
  <c r="E60" i="71"/>
  <c r="Q21" i="71"/>
  <c r="AB18" i="71" s="1"/>
  <c r="C52" i="71"/>
  <c r="D51" i="71"/>
  <c r="C56" i="71"/>
  <c r="D55" i="71"/>
  <c r="N60" i="71"/>
  <c r="B59" i="71"/>
  <c r="N59" i="71" s="1"/>
  <c r="T61" i="71"/>
  <c r="O61" i="71"/>
  <c r="D61" i="71"/>
  <c r="C60" i="71"/>
  <c r="Q61" i="71"/>
  <c r="C64" i="71"/>
  <c r="E64" i="71"/>
  <c r="E63" i="71" s="1"/>
  <c r="D65" i="71"/>
  <c r="C68" i="71"/>
  <c r="E68" i="71"/>
  <c r="E67" i="71" s="1"/>
  <c r="D69" i="71"/>
  <c r="C72" i="71"/>
  <c r="E72" i="71"/>
  <c r="E71" i="71" s="1"/>
  <c r="D73" i="71"/>
  <c r="C76" i="71"/>
  <c r="C80" i="71"/>
  <c r="C79" i="71" s="1"/>
  <c r="D79" i="71" s="1"/>
  <c r="F21" i="71"/>
  <c r="F20" i="71" s="1"/>
  <c r="F19" i="71" s="1"/>
  <c r="AB19" i="71"/>
  <c r="AB21" i="71"/>
  <c r="E21" i="71"/>
  <c r="E20" i="71"/>
  <c r="E19" i="71" s="1"/>
  <c r="AA3" i="71"/>
  <c r="AA18" i="71"/>
  <c r="AA19" i="71"/>
  <c r="AA20" i="71"/>
  <c r="AA21" i="71"/>
  <c r="C59" i="71"/>
  <c r="O60" i="71"/>
  <c r="D60" i="71"/>
  <c r="C57" i="71"/>
  <c r="D57" i="71" s="1"/>
  <c r="D56" i="71"/>
  <c r="D76" i="71"/>
  <c r="C75" i="71"/>
  <c r="D75" i="71"/>
  <c r="D68" i="71"/>
  <c r="C67" i="71"/>
  <c r="D67" i="71" s="1"/>
  <c r="N58" i="71"/>
  <c r="D80" i="71"/>
  <c r="D72" i="71"/>
  <c r="C71" i="71"/>
  <c r="D71" i="71" s="1"/>
  <c r="D64" i="71"/>
  <c r="C63" i="71"/>
  <c r="D63" i="71"/>
  <c r="C53" i="71"/>
  <c r="D52" i="71"/>
  <c r="P60" i="71"/>
  <c r="E59" i="71"/>
  <c r="P58" i="71" s="1"/>
  <c r="C45" i="71"/>
  <c r="D44" i="71"/>
  <c r="D36" i="71"/>
  <c r="D32" i="71"/>
  <c r="D28" i="71"/>
  <c r="C25" i="71"/>
  <c r="D24" i="71"/>
  <c r="V21" i="71"/>
  <c r="P59" i="71"/>
  <c r="O59" i="71"/>
  <c r="D59" i="71"/>
  <c r="O58" i="71"/>
  <c r="T25" i="71"/>
  <c r="D25" i="71"/>
  <c r="T45" i="71"/>
  <c r="D45"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S21" i="21"/>
  <c r="H1" i="69"/>
  <c r="AC25" i="40"/>
  <c r="W25" i="40"/>
  <c r="AB25" i="40"/>
  <c r="U25" i="40"/>
  <c r="AB29" i="39"/>
  <c r="U29" i="39"/>
  <c r="W29" i="39"/>
  <c r="W18" i="36"/>
  <c r="AB21" i="37"/>
  <c r="U21" i="37"/>
  <c r="S21" i="37"/>
  <c r="U21" i="34"/>
  <c r="AB21" i="33"/>
  <c r="AA21" i="33"/>
  <c r="S21" i="33"/>
  <c r="U18" i="35"/>
  <c r="AC18" i="35"/>
  <c r="W18" i="35"/>
  <c r="J21" i="37"/>
  <c r="J21" i="34"/>
  <c r="G83" i="33"/>
  <c r="J21" i="33"/>
  <c r="W21" i="33" s="1"/>
  <c r="F83" i="21"/>
  <c r="H21" i="21"/>
  <c r="U21" i="21" s="1"/>
  <c r="F38" i="69"/>
  <c r="E37" i="69"/>
  <c r="F36" i="69"/>
  <c r="F35" i="69"/>
  <c r="F21" i="69"/>
  <c r="F40" i="69" s="1"/>
  <c r="F20" i="69"/>
  <c r="F39" i="69" s="1"/>
  <c r="E10" i="69"/>
  <c r="E9" i="69"/>
  <c r="C7" i="69"/>
  <c r="AC21" i="37"/>
  <c r="W21" i="37"/>
  <c r="AC21" i="34"/>
  <c r="W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c r="G44" i="35"/>
  <c r="H44" i="35"/>
  <c r="E44" i="35"/>
  <c r="F44" i="35"/>
  <c r="I54" i="33"/>
  <c r="J54" i="33"/>
  <c r="G54" i="33"/>
  <c r="E54" i="33"/>
  <c r="H493" i="3"/>
  <c r="AC493" i="3"/>
  <c r="G493" i="3" s="1"/>
  <c r="BB493" i="3"/>
  <c r="BC493" i="3"/>
  <c r="BC5" i="3" s="1"/>
  <c r="BD493" i="3"/>
  <c r="BE493" i="3"/>
  <c r="BF493" i="3"/>
  <c r="BG493" i="3"/>
  <c r="BG5" i="3" s="1"/>
  <c r="BH493" i="3"/>
  <c r="BI493" i="3"/>
  <c r="BJ493" i="3"/>
  <c r="BK493" i="3"/>
  <c r="BK5" i="3" s="1"/>
  <c r="BM493" i="3"/>
  <c r="BN493" i="3"/>
  <c r="BN5" i="3" s="1"/>
  <c r="G29" i="6" s="1"/>
  <c r="BO493" i="3"/>
  <c r="BP493" i="3"/>
  <c r="BR493" i="3"/>
  <c r="BS493" i="3"/>
  <c r="BS5" i="3" s="1"/>
  <c r="F28" i="6" s="1"/>
  <c r="BT493" i="3"/>
  <c r="H494" i="3"/>
  <c r="G494" i="3" s="1"/>
  <c r="AC494" i="3"/>
  <c r="BB494" i="3"/>
  <c r="BA494" i="3" s="1"/>
  <c r="BC494" i="3"/>
  <c r="BD494" i="3"/>
  <c r="BE494" i="3"/>
  <c r="BF494" i="3"/>
  <c r="BF5" i="3" s="1"/>
  <c r="BG494" i="3"/>
  <c r="BH494" i="3"/>
  <c r="BI494" i="3"/>
  <c r="BJ494" i="3"/>
  <c r="BJ5" i="3" s="1"/>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AZ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AZ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G526" i="3" s="1"/>
  <c r="AC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G530" i="3" s="1"/>
  <c r="BB530" i="3"/>
  <c r="BC530" i="3"/>
  <c r="BD530" i="3"/>
  <c r="BE530" i="3"/>
  <c r="BF530" i="3"/>
  <c r="BG530" i="3"/>
  <c r="BH530" i="3"/>
  <c r="BI530" i="3"/>
  <c r="BJ530" i="3"/>
  <c r="BK530" i="3"/>
  <c r="BM530" i="3"/>
  <c r="BN530" i="3"/>
  <c r="BL530" i="3" s="1"/>
  <c r="AZ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AZ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G562" i="3" s="1"/>
  <c r="AC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W31" i="35" s="1"/>
  <c r="H31" i="35"/>
  <c r="AB31" i="35" s="1"/>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J23" i="39"/>
  <c r="AC23" i="39" s="1"/>
  <c r="D95" i="39"/>
  <c r="E95" i="39" s="1"/>
  <c r="D93" i="39"/>
  <c r="E93" i="39" s="1"/>
  <c r="F93" i="39" s="1"/>
  <c r="G93" i="39" s="1"/>
  <c r="D91" i="39"/>
  <c r="E91" i="39" s="1"/>
  <c r="D89" i="39"/>
  <c r="E89" i="39" s="1"/>
  <c r="F89" i="39" s="1"/>
  <c r="G89" i="39" s="1"/>
  <c r="B86" i="39"/>
  <c r="F14" i="39" s="1"/>
  <c r="S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U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U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L101"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J36" i="39"/>
  <c r="AC36" i="39" s="1"/>
  <c r="W40" i="39"/>
  <c r="W25" i="37"/>
  <c r="U30" i="37"/>
  <c r="W31" i="37"/>
  <c r="E103" i="37"/>
  <c r="F103" i="37" s="1"/>
  <c r="G103" i="37" s="1"/>
  <c r="H103" i="37" s="1"/>
  <c r="I103" i="37" s="1"/>
  <c r="J103" i="37" s="1"/>
  <c r="K103" i="37" s="1"/>
  <c r="L103" i="37" s="1"/>
  <c r="M103" i="37" s="1"/>
  <c r="F29" i="36"/>
  <c r="AA29" i="36" s="1"/>
  <c r="W8" i="36"/>
  <c r="F16" i="36"/>
  <c r="AA16" i="36"/>
  <c r="U9" i="36"/>
  <c r="W28" i="36"/>
  <c r="AA31" i="36"/>
  <c r="AC31" i="36"/>
  <c r="W31" i="36"/>
  <c r="J33" i="36"/>
  <c r="W33" i="36" s="1"/>
  <c r="H22" i="35"/>
  <c r="AB22" i="35" s="1"/>
  <c r="AC27" i="35"/>
  <c r="W28" i="35"/>
  <c r="W34" i="35"/>
  <c r="W22" i="35"/>
  <c r="S31" i="35"/>
  <c r="U34" i="35"/>
  <c r="F36" i="34"/>
  <c r="J35" i="34"/>
  <c r="S34" i="34"/>
  <c r="H39" i="33"/>
  <c r="AB39" i="33" s="1"/>
  <c r="F26" i="33"/>
  <c r="AA26" i="33" s="1"/>
  <c r="U35"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19" i="39"/>
  <c r="AB19" i="39" s="1"/>
  <c r="F19" i="39"/>
  <c r="AA19" i="39" s="1"/>
  <c r="J23" i="40"/>
  <c r="AC23" i="40"/>
  <c r="F21" i="40"/>
  <c r="AA21" i="40"/>
  <c r="J21" i="40"/>
  <c r="W21" i="40"/>
  <c r="H42" i="39"/>
  <c r="AB42" i="39"/>
  <c r="J34" i="39"/>
  <c r="AC34" i="39" s="1"/>
  <c r="J19" i="39"/>
  <c r="AC19" i="39" s="1"/>
  <c r="F11" i="21"/>
  <c r="S11" i="21" s="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F28" i="34"/>
  <c r="F27" i="34"/>
  <c r="AA27" i="34" s="1"/>
  <c r="F25" i="34"/>
  <c r="S25" i="34" s="1"/>
  <c r="H23" i="34"/>
  <c r="J23" i="34"/>
  <c r="W23" i="34" s="1"/>
  <c r="F19" i="34"/>
  <c r="H17" i="34"/>
  <c r="U17" i="34" s="1"/>
  <c r="F15" i="34"/>
  <c r="AA15" i="34" s="1"/>
  <c r="J15" i="34"/>
  <c r="H15" i="34"/>
  <c r="AB15" i="34" s="1"/>
  <c r="S9" i="34"/>
  <c r="W8" i="34"/>
  <c r="J28" i="34"/>
  <c r="W28" i="34" s="1"/>
  <c r="F41" i="33"/>
  <c r="S38"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C11" i="40"/>
  <c r="AB30" i="36"/>
  <c r="U30" i="35"/>
  <c r="F29" i="35"/>
  <c r="S29" i="35" s="1"/>
  <c r="H29" i="35"/>
  <c r="AB29" i="35" s="1"/>
  <c r="H33" i="37"/>
  <c r="AB33" i="37" s="1"/>
  <c r="F33" i="37"/>
  <c r="AA33" i="37" s="1"/>
  <c r="U34" i="37"/>
  <c r="W33" i="37"/>
  <c r="S34" i="37"/>
  <c r="J43" i="34"/>
  <c r="W43" i="34" s="1"/>
  <c r="AB42"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H37" i="33"/>
  <c r="AB37" i="33" s="1"/>
  <c r="H15" i="33"/>
  <c r="AB15" i="33" s="1"/>
  <c r="H11" i="33"/>
  <c r="AB11" i="33" s="1"/>
  <c r="F28" i="40"/>
  <c r="AA28" i="40" s="1"/>
  <c r="AA29" i="35"/>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AB11" i="21"/>
  <c r="J41" i="39"/>
  <c r="W41" i="39" s="1"/>
  <c r="AC45" i="39"/>
  <c r="W44" i="39"/>
  <c r="W36" i="39"/>
  <c r="U36"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0" i="3"/>
  <c r="AZ520" i="3" s="1"/>
  <c r="BA512" i="3"/>
  <c r="AZ512" i="3" s="1"/>
  <c r="BA510" i="3"/>
  <c r="AZ510" i="3" s="1"/>
  <c r="BA508" i="3"/>
  <c r="AZ508" i="3" s="1"/>
  <c r="BA504" i="3"/>
  <c r="AZ504" i="3" s="1"/>
  <c r="BA502" i="3"/>
  <c r="AZ502" i="3" s="1"/>
  <c r="BA498" i="3"/>
  <c r="AZ498" i="3" s="1"/>
  <c r="BA496" i="3"/>
  <c r="BA587" i="3"/>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Z509" i="3" s="1"/>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AC32" i="36"/>
  <c r="AC33" i="36"/>
  <c r="AA12" i="35"/>
  <c r="AB28" i="37"/>
  <c r="U33" i="37"/>
  <c r="U39" i="37"/>
  <c r="W26" i="37"/>
  <c r="AC8" i="37"/>
  <c r="U26" i="37"/>
  <c r="W47" i="34"/>
  <c r="W37" i="34"/>
  <c r="AB37" i="34"/>
  <c r="AC36" i="34"/>
  <c r="AA13" i="33"/>
  <c r="AC31" i="33"/>
  <c r="AC45" i="33"/>
  <c r="U11" i="33"/>
  <c r="U19" i="21"/>
  <c r="W44" i="21"/>
  <c r="U26" i="21"/>
  <c r="AB38" i="21"/>
  <c r="F43" i="33"/>
  <c r="AA43" i="33" s="1"/>
  <c r="W15" i="34"/>
  <c r="AC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15" i="37"/>
  <c r="AA15" i="37"/>
  <c r="E94" i="37"/>
  <c r="F31" i="37"/>
  <c r="S31" i="37" s="1"/>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W23" i="39"/>
  <c r="AC43" i="39"/>
  <c r="W43" i="39"/>
  <c r="U45" i="39"/>
  <c r="AB45" i="39"/>
  <c r="AB44" i="39"/>
  <c r="U44" i="39"/>
  <c r="H37" i="39"/>
  <c r="AB37" i="39" s="1"/>
  <c r="H25" i="39"/>
  <c r="AB25" i="39" s="1"/>
  <c r="F25" i="39"/>
  <c r="AA25" i="39" s="1"/>
  <c r="F15" i="39"/>
  <c r="AA15" i="39" s="1"/>
  <c r="H15" i="39"/>
  <c r="U15" i="39" s="1"/>
  <c r="J15" i="39"/>
  <c r="W15" i="39" s="1"/>
  <c r="H41" i="39"/>
  <c r="U41" i="39" s="1"/>
  <c r="AB34" i="39"/>
  <c r="U40" i="39"/>
  <c r="S42" i="39"/>
  <c r="W9" i="39"/>
  <c r="W8" i="39"/>
  <c r="J19" i="40"/>
  <c r="AC19" i="40" s="1"/>
  <c r="J50" i="40"/>
  <c r="H103" i="9"/>
  <c r="D8" i="53" s="1"/>
  <c r="B16" i="53"/>
  <c r="B33" i="72" s="1"/>
  <c r="C7" i="37"/>
  <c r="C7" i="34"/>
  <c r="C7" i="36"/>
  <c r="W35" i="40"/>
  <c r="A118" i="9"/>
  <c r="A4" i="52"/>
  <c r="B41" i="72" s="1"/>
  <c r="J11" i="39"/>
  <c r="W11" i="39" s="1"/>
  <c r="F11" i="39"/>
  <c r="AA11" i="39" s="1"/>
  <c r="G4" i="4"/>
  <c r="I4" i="4"/>
  <c r="K5" i="4" s="1"/>
  <c r="B47" i="48" s="1"/>
  <c r="A2" i="9"/>
  <c r="F59" i="43"/>
  <c r="H62" i="43" s="1"/>
  <c r="AZ20" i="3"/>
  <c r="AZ24" i="3"/>
  <c r="AZ28" i="3"/>
  <c r="AZ32"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496" i="3"/>
  <c r="G548" i="3"/>
  <c r="G538" i="3"/>
  <c r="G502" i="3"/>
  <c r="BP5" i="3"/>
  <c r="AZ343" i="3"/>
  <c r="BI5" i="3"/>
  <c r="BE5" i="3"/>
  <c r="G17" i="3"/>
  <c r="BA17" i="3"/>
  <c r="BT5" i="3"/>
  <c r="AZ350" i="3"/>
  <c r="AZ352" i="3"/>
  <c r="AZ360" i="3"/>
  <c r="AZ368" i="3"/>
  <c r="BA15" i="3"/>
  <c r="AZ15" i="3"/>
  <c r="BR5" i="3"/>
  <c r="G28" i="6" s="1"/>
  <c r="G30" i="6" s="1"/>
  <c r="G31" i="6" s="1"/>
  <c r="AZ380" i="3"/>
  <c r="AZ388" i="3"/>
  <c r="AZ396" i="3"/>
  <c r="G509" i="3"/>
  <c r="AZ491" i="3"/>
  <c r="AZ390" i="3"/>
  <c r="U36" i="40"/>
  <c r="F36" i="43"/>
  <c r="F81" i="43"/>
  <c r="H83" i="43"/>
  <c r="H113" i="43"/>
  <c r="F48" i="43"/>
  <c r="H52" i="43" s="1"/>
  <c r="F70" i="43"/>
  <c r="H73" i="43" s="1"/>
  <c r="M11" i="43"/>
  <c r="D17" i="43"/>
  <c r="F39" i="43"/>
  <c r="I17" i="43"/>
  <c r="F35" i="43"/>
  <c r="J17" i="43"/>
  <c r="F6" i="1"/>
  <c r="G6" i="1" s="1"/>
  <c r="S14" i="35"/>
  <c r="U43" i="21"/>
  <c r="U35" i="21"/>
  <c r="AC35" i="21"/>
  <c r="U10" i="21"/>
  <c r="G8" i="1"/>
  <c r="G9" i="1"/>
  <c r="G10" i="1"/>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F20" i="36"/>
  <c r="AA20" i="36" s="1"/>
  <c r="J33" i="34"/>
  <c r="AC33" i="34" s="1"/>
  <c r="H23" i="39"/>
  <c r="U23" i="39" s="1"/>
  <c r="H86" i="43"/>
  <c r="H82" i="43"/>
  <c r="H87" i="43"/>
  <c r="K9" i="1"/>
  <c r="M9" i="1" s="1"/>
  <c r="AE9" i="1"/>
  <c r="W27" i="34"/>
  <c r="AC27" i="34"/>
  <c r="AB34" i="36"/>
  <c r="AB33" i="36"/>
  <c r="AC12" i="39"/>
  <c r="AZ401" i="3"/>
  <c r="AZ412" i="3"/>
  <c r="AZ417" i="3"/>
  <c r="AZ428" i="3"/>
  <c r="AZ433" i="3"/>
  <c r="AZ465" i="3"/>
  <c r="AC12" i="33"/>
  <c r="S32" i="36"/>
  <c r="AZ408" i="3"/>
  <c r="AZ437" i="3"/>
  <c r="AZ441" i="3"/>
  <c r="AZ457" i="3"/>
  <c r="AZ473" i="3"/>
  <c r="AZ490" i="3"/>
  <c r="AA39" i="34"/>
  <c r="BL14" i="3"/>
  <c r="AZ266" i="3"/>
  <c r="W28" i="37"/>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13" i="12" s="1"/>
  <c r="H100" i="43"/>
  <c r="C30" i="66"/>
  <c r="AC34" i="33"/>
  <c r="AA34" i="33"/>
  <c r="B41" i="1"/>
  <c r="F53" i="9" s="1"/>
  <c r="J100" i="43"/>
  <c r="AB37" i="40"/>
  <c r="S35" i="40"/>
  <c r="AC36" i="40"/>
  <c r="S17" i="40"/>
  <c r="S23" i="40"/>
  <c r="AC17" i="40"/>
  <c r="AC15" i="40"/>
  <c r="AB27" i="40"/>
  <c r="S30" i="40"/>
  <c r="AA19" i="40"/>
  <c r="S28" i="40"/>
  <c r="AA27" i="40"/>
  <c r="U21" i="40"/>
  <c r="AB19" i="40"/>
  <c r="W42" i="39"/>
  <c r="S43" i="39"/>
  <c r="F32" i="39"/>
  <c r="F107" i="39"/>
  <c r="G107" i="39" s="1"/>
  <c r="H107" i="39" s="1"/>
  <c r="I107" i="39" s="1"/>
  <c r="J107" i="39" s="1"/>
  <c r="K107" i="39" s="1"/>
  <c r="L107" i="39" s="1"/>
  <c r="M107" i="39" s="1"/>
  <c r="F21" i="39"/>
  <c r="AA21" i="39" s="1"/>
  <c r="H21" i="39"/>
  <c r="AB21" i="39" s="1"/>
  <c r="W19" i="39"/>
  <c r="U19" i="39"/>
  <c r="S15" i="39"/>
  <c r="U12" i="39"/>
  <c r="S23" i="36"/>
  <c r="U13" i="36"/>
  <c r="AB27" i="36"/>
  <c r="U26" i="36"/>
  <c r="S33" i="36"/>
  <c r="S27" i="36"/>
  <c r="AA26" i="36"/>
  <c r="AA34" i="36"/>
  <c r="S29" i="36"/>
  <c r="AC26" i="36"/>
  <c r="AA22" i="36"/>
  <c r="W14" i="36"/>
  <c r="AB14" i="36"/>
  <c r="U22" i="36"/>
  <c r="S16" i="36"/>
  <c r="AA25" i="36"/>
  <c r="U23" i="36"/>
  <c r="AB20" i="36"/>
  <c r="U16" i="36"/>
  <c r="S14"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S25" i="37"/>
  <c r="W27" i="37"/>
  <c r="S26" i="37"/>
  <c r="AC9" i="37"/>
  <c r="AC29" i="37"/>
  <c r="U29" i="37"/>
  <c r="S32" i="37"/>
  <c r="AB31" i="37"/>
  <c r="W30" i="37"/>
  <c r="S36" i="37"/>
  <c r="AA38" i="37"/>
  <c r="U32" i="37"/>
  <c r="AC35" i="37"/>
  <c r="S30" i="37"/>
  <c r="S37" i="37"/>
  <c r="AC15" i="37"/>
  <c r="J17" i="37"/>
  <c r="W17" i="37"/>
  <c r="F17" i="37"/>
  <c r="AA17" i="37" s="1"/>
  <c r="AB17" i="37"/>
  <c r="F75" i="37"/>
  <c r="F19" i="37"/>
  <c r="S19" i="37" s="1"/>
  <c r="F23" i="37"/>
  <c r="S23" i="37" s="1"/>
  <c r="U23" i="37"/>
  <c r="U15" i="37"/>
  <c r="AC13" i="37"/>
  <c r="AA13" i="37"/>
  <c r="AA9" i="37"/>
  <c r="H10" i="37"/>
  <c r="H60" i="37"/>
  <c r="I60" i="37" s="1"/>
  <c r="F63" i="37"/>
  <c r="F11" i="37"/>
  <c r="S11" i="37" s="1"/>
  <c r="S27" i="34"/>
  <c r="W25" i="34"/>
  <c r="AB8" i="34"/>
  <c r="AA33" i="34"/>
  <c r="U44" i="34"/>
  <c r="AC39" i="34"/>
  <c r="W41" i="34"/>
  <c r="AC42" i="34"/>
  <c r="AB35" i="34"/>
  <c r="U39" i="34"/>
  <c r="S43" i="34"/>
  <c r="AB41" i="34"/>
  <c r="W34" i="34"/>
  <c r="U28" i="34"/>
  <c r="S17" i="34"/>
  <c r="AA29" i="34"/>
  <c r="U27" i="34"/>
  <c r="S23" i="34"/>
  <c r="U15" i="34"/>
  <c r="S10" i="34"/>
  <c r="H67" i="34"/>
  <c r="I67" i="34" s="1"/>
  <c r="H10" i="34"/>
  <c r="F11" i="34"/>
  <c r="S11" i="34" s="1"/>
  <c r="F70" i="34"/>
  <c r="W42" i="33"/>
  <c r="AA35" i="33"/>
  <c r="S32" i="33"/>
  <c r="AA29" i="33"/>
  <c r="AB29" i="33"/>
  <c r="H41" i="33"/>
  <c r="U41" i="33" s="1"/>
  <c r="S42" i="33"/>
  <c r="F36" i="33"/>
  <c r="J35" i="33"/>
  <c r="AC35" i="33" s="1"/>
  <c r="S37" i="33"/>
  <c r="AA37" i="33"/>
  <c r="F101" i="33"/>
  <c r="G101" i="33" s="1"/>
  <c r="H101" i="33" s="1"/>
  <c r="I101" i="33" s="1"/>
  <c r="J101" i="33" s="1"/>
  <c r="K101" i="33" s="1"/>
  <c r="L101" i="33" s="1"/>
  <c r="M101" i="33" s="1"/>
  <c r="J32" i="33"/>
  <c r="W32" i="33" s="1"/>
  <c r="W43" i="33"/>
  <c r="F91" i="33"/>
  <c r="F87" i="33"/>
  <c r="H25" i="33"/>
  <c r="F25" i="33"/>
  <c r="AA25" i="33" s="1"/>
  <c r="J23" i="33"/>
  <c r="F85" i="33"/>
  <c r="G85" i="33" s="1"/>
  <c r="H23" i="33"/>
  <c r="F81" i="33"/>
  <c r="F19" i="33"/>
  <c r="S19" i="33"/>
  <c r="J17" i="33"/>
  <c r="AC17" i="33" s="1"/>
  <c r="S15" i="33"/>
  <c r="W15" i="33"/>
  <c r="I66"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D9" i="11" s="1"/>
  <c r="C9" i="11" s="1"/>
  <c r="D101" i="43"/>
  <c r="D106" i="43" s="1"/>
  <c r="I101" i="43"/>
  <c r="I104" i="43" s="1"/>
  <c r="E32" i="6"/>
  <c r="L19" i="6"/>
  <c r="G1" i="68"/>
  <c r="K1" i="12"/>
  <c r="S2" i="43"/>
  <c r="T12" i="1"/>
  <c r="E19" i="69"/>
  <c r="E19" i="68"/>
  <c r="E19" i="11"/>
  <c r="E1" i="73"/>
  <c r="G22" i="69"/>
  <c r="G22" i="68"/>
  <c r="G26" i="12"/>
  <c r="G22" i="11"/>
  <c r="C100" i="43"/>
  <c r="E11" i="43"/>
  <c r="E10" i="43"/>
  <c r="E9" i="43"/>
  <c r="C7" i="43" s="1"/>
  <c r="E8" i="43"/>
  <c r="E81" i="43"/>
  <c r="B79" i="43"/>
  <c r="AH11" i="43"/>
  <c r="Z11" i="43"/>
  <c r="AG11" i="43"/>
  <c r="Y11" i="43"/>
  <c r="Y13" i="43" s="1"/>
  <c r="E48" i="43"/>
  <c r="B46" i="43"/>
  <c r="E70" i="43"/>
  <c r="B68" i="43"/>
  <c r="F100" i="43"/>
  <c r="H17" i="43"/>
  <c r="G17" i="43" s="1"/>
  <c r="C16" i="43" s="1"/>
  <c r="C5" i="43" s="1"/>
  <c r="H85" i="43"/>
  <c r="H81" i="43"/>
  <c r="H84" i="43"/>
  <c r="H88" i="43"/>
  <c r="H53" i="43"/>
  <c r="H71" i="43"/>
  <c r="C17" i="43"/>
  <c r="F33" i="43"/>
  <c r="K17" i="43"/>
  <c r="F34" i="43"/>
  <c r="N6" i="43"/>
  <c r="C6" i="43"/>
  <c r="D5" i="43" s="1"/>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4" i="43"/>
  <c r="H55" i="43"/>
  <c r="H72" i="43"/>
  <c r="L20" i="6"/>
  <c r="B6" i="1"/>
  <c r="E6" i="1" s="1"/>
  <c r="S8" i="1"/>
  <c r="AR8" i="1" s="1"/>
  <c r="K11" i="1"/>
  <c r="M11" i="1" s="1"/>
  <c r="O11" i="1" s="1"/>
  <c r="P11" i="1" s="1"/>
  <c r="AP6" i="1"/>
  <c r="B9" i="1"/>
  <c r="E9" i="1"/>
  <c r="K7" i="1"/>
  <c r="G1" i="15"/>
  <c r="G1" i="69"/>
  <c r="G1" i="67"/>
  <c r="W23" i="40"/>
  <c r="AB31" i="40"/>
  <c r="S37" i="40"/>
  <c r="AB28" i="40"/>
  <c r="W28" i="40"/>
  <c r="W34" i="40"/>
  <c r="W19" i="40"/>
  <c r="W27" i="40"/>
  <c r="S36" i="40"/>
  <c r="S13" i="40"/>
  <c r="S33" i="40"/>
  <c r="AA15" i="40"/>
  <c r="U11" i="40"/>
  <c r="S31" i="40"/>
  <c r="AB13" i="40"/>
  <c r="U15" i="40"/>
  <c r="AB17" i="40"/>
  <c r="U8" i="40"/>
  <c r="S8" i="40"/>
  <c r="AC41" i="39"/>
  <c r="U42" i="39"/>
  <c r="AB23" i="39"/>
  <c r="AB41" i="39"/>
  <c r="AB13" i="39"/>
  <c r="S13" i="39"/>
  <c r="AA14" i="39"/>
  <c r="U43" i="39"/>
  <c r="AB43" i="39"/>
  <c r="S23" i="39"/>
  <c r="AA45" i="39"/>
  <c r="AB39" i="39"/>
  <c r="W34" i="39"/>
  <c r="S8" i="39"/>
  <c r="S20" i="36"/>
  <c r="S28" i="36"/>
  <c r="U32" i="36"/>
  <c r="W29" i="36"/>
  <c r="AC20" i="36"/>
  <c r="U25" i="36"/>
  <c r="AB28" i="36"/>
  <c r="AA13" i="36"/>
  <c r="W9" i="36"/>
  <c r="W22" i="36"/>
  <c r="W23" i="36"/>
  <c r="S9" i="36"/>
  <c r="AB20" i="35"/>
  <c r="AC25" i="35"/>
  <c r="S24" i="35"/>
  <c r="W33" i="35"/>
  <c r="AA30" i="35"/>
  <c r="U24" i="35"/>
  <c r="S35" i="35"/>
  <c r="AA16" i="35"/>
  <c r="AA35" i="37"/>
  <c r="W36" i="37"/>
  <c r="S28" i="37"/>
  <c r="W32" i="37"/>
  <c r="U36" i="37"/>
  <c r="U38" i="37"/>
  <c r="AB37" i="37"/>
  <c r="S33" i="37"/>
  <c r="AB35" i="37"/>
  <c r="AA31" i="37"/>
  <c r="AA29" i="37"/>
  <c r="AA8" i="37"/>
  <c r="U8" i="37"/>
  <c r="AA40" i="34"/>
  <c r="AB40" i="34"/>
  <c r="W19" i="34"/>
  <c r="AB33" i="34"/>
  <c r="AC45" i="34"/>
  <c r="AA30" i="34"/>
  <c r="AB47" i="34"/>
  <c r="U25" i="34"/>
  <c r="AB36" i="34"/>
  <c r="AC14" i="34"/>
  <c r="AC32" i="34"/>
  <c r="AC29" i="34"/>
  <c r="W46" i="34"/>
  <c r="S32" i="34"/>
  <c r="U30" i="34"/>
  <c r="S37" i="34"/>
  <c r="U38" i="34"/>
  <c r="AC40" i="34"/>
  <c r="AA19" i="34"/>
  <c r="S19" i="34"/>
  <c r="AA36" i="34"/>
  <c r="S36" i="34"/>
  <c r="AA8" i="34"/>
  <c r="S8" i="34"/>
  <c r="AB9" i="34"/>
  <c r="S46" i="34"/>
  <c r="AA46" i="34"/>
  <c r="U32" i="34"/>
  <c r="AB32" i="34"/>
  <c r="U14" i="34"/>
  <c r="AB14" i="34"/>
  <c r="AC43" i="34"/>
  <c r="AA11" i="34"/>
  <c r="AC23" i="34"/>
  <c r="AC35" i="34"/>
  <c r="W35" i="34"/>
  <c r="U12" i="34"/>
  <c r="AB12" i="34"/>
  <c r="AB28" i="33"/>
  <c r="AC37" i="33"/>
  <c r="U39" i="33"/>
  <c r="U38" i="33"/>
  <c r="S33" i="33"/>
  <c r="AB34" i="33"/>
  <c r="S30" i="33"/>
  <c r="AC30" i="33"/>
  <c r="S31" i="33"/>
  <c r="W13" i="33"/>
  <c r="U15" i="33"/>
  <c r="U37" i="33"/>
  <c r="AC28" i="33"/>
  <c r="S28" i="33"/>
  <c r="W8" i="33"/>
  <c r="S44" i="21"/>
  <c r="AB42" i="21"/>
  <c r="U28" i="21"/>
  <c r="AA11" i="21"/>
  <c r="F33" i="21"/>
  <c r="J33" i="21"/>
  <c r="W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U9" i="21" s="1"/>
  <c r="J9" i="21"/>
  <c r="J32" i="21"/>
  <c r="AC32" i="21" s="1"/>
  <c r="F32" i="21"/>
  <c r="AA31" i="21"/>
  <c r="U17" i="21"/>
  <c r="W29" i="21"/>
  <c r="S19" i="21"/>
  <c r="S9" i="21"/>
  <c r="K141" i="21"/>
  <c r="K144" i="21"/>
  <c r="K143" i="21"/>
  <c r="AB25" i="21"/>
  <c r="AA30" i="21"/>
  <c r="W42" i="21"/>
  <c r="F10" i="21"/>
  <c r="S10" i="21" s="1"/>
  <c r="K145" i="21"/>
  <c r="W17" i="21"/>
  <c r="W25" i="21"/>
  <c r="AA29" i="21"/>
  <c r="S27" i="21"/>
  <c r="S17" i="21"/>
  <c r="AA15" i="21"/>
  <c r="AC26" i="21"/>
  <c r="AB29" i="21"/>
  <c r="S28" i="21"/>
  <c r="AC34" i="21"/>
  <c r="W10" i="21"/>
  <c r="AB36" i="21"/>
  <c r="W30" i="40"/>
  <c r="C19" i="39"/>
  <c r="C15" i="40"/>
  <c r="C17" i="40"/>
  <c r="C23" i="40"/>
  <c r="C21" i="40"/>
  <c r="B54" i="43"/>
  <c r="B65" i="43"/>
  <c r="B49" i="43"/>
  <c r="B52" i="43"/>
  <c r="B56" i="43"/>
  <c r="B60" i="43"/>
  <c r="B63" i="43"/>
  <c r="B67" i="43"/>
  <c r="D23" i="15"/>
  <c r="D22" i="15"/>
  <c r="E4" i="4"/>
  <c r="B5" i="62" s="1"/>
  <c r="B73" i="72" s="1"/>
  <c r="C4" i="4"/>
  <c r="T11" i="1"/>
  <c r="AR11" i="1"/>
  <c r="S7" i="1"/>
  <c r="AQ7" i="1" s="1"/>
  <c r="E7" i="70"/>
  <c r="AA39" i="40"/>
  <c r="S39" i="40"/>
  <c r="J32" i="39"/>
  <c r="AC32" i="39" s="1"/>
  <c r="H32" i="39"/>
  <c r="AA32" i="39"/>
  <c r="S32" i="39"/>
  <c r="S26" i="35"/>
  <c r="U9" i="35"/>
  <c r="AB9" i="35"/>
  <c r="S9" i="35"/>
  <c r="W26" i="35"/>
  <c r="AC17" i="37"/>
  <c r="S17" i="37"/>
  <c r="J19" i="37"/>
  <c r="G75" i="37"/>
  <c r="AA19" i="37"/>
  <c r="J23" i="37"/>
  <c r="W23" i="37" s="1"/>
  <c r="J10" i="37"/>
  <c r="AC10" i="37" s="1"/>
  <c r="G63" i="37"/>
  <c r="H63" i="37" s="1"/>
  <c r="I63" i="37" s="1"/>
  <c r="J63" i="37" s="1"/>
  <c r="K63" i="37" s="1"/>
  <c r="L63" i="37" s="1"/>
  <c r="M63" i="37" s="1"/>
  <c r="H11" i="37"/>
  <c r="AB10" i="37"/>
  <c r="U10" i="37"/>
  <c r="G70" i="34"/>
  <c r="H11" i="34"/>
  <c r="AB10" i="34"/>
  <c r="U10" i="34"/>
  <c r="J10" i="34"/>
  <c r="W10" i="34" s="1"/>
  <c r="AB41" i="33"/>
  <c r="W35" i="33"/>
  <c r="J36" i="33"/>
  <c r="AC36" i="33" s="1"/>
  <c r="H36" i="33"/>
  <c r="S36" i="33"/>
  <c r="AA36" i="33"/>
  <c r="AC32" i="33"/>
  <c r="G91" i="33"/>
  <c r="H91" i="33" s="1"/>
  <c r="I91" i="33" s="1"/>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C23" i="43"/>
  <c r="C21" i="43" s="1"/>
  <c r="S3" i="43"/>
  <c r="J22" i="43"/>
  <c r="I107" i="43"/>
  <c r="D105" i="43"/>
  <c r="AP7" i="1"/>
  <c r="AC33" i="21"/>
  <c r="S33" i="21"/>
  <c r="AA33" i="21"/>
  <c r="W32" i="21"/>
  <c r="AB9" i="21"/>
  <c r="AA32" i="21"/>
  <c r="S32" i="21"/>
  <c r="W9" i="21"/>
  <c r="AC9" i="21"/>
  <c r="AB32" i="21"/>
  <c r="U32" i="21"/>
  <c r="AA10" i="2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5" i="33"/>
  <c r="AC25" i="33"/>
  <c r="S23" i="33"/>
  <c r="AB19" i="33"/>
  <c r="U19" i="33"/>
  <c r="AA17" i="33"/>
  <c r="S17" i="33"/>
  <c r="AB17" i="33"/>
  <c r="AB23" i="21"/>
  <c r="AC23" i="21"/>
  <c r="W23" i="21"/>
  <c r="AC11" i="37"/>
  <c r="W11" i="37"/>
  <c r="AC11" i="34"/>
  <c r="R7" i="1"/>
  <c r="F34" i="11"/>
  <c r="F11" i="12"/>
  <c r="C23" i="12" s="1"/>
  <c r="F34" i="68"/>
  <c r="R8" i="1"/>
  <c r="AE7" i="1"/>
  <c r="AE8" i="1"/>
  <c r="AG6" i="1"/>
  <c r="H109" i="9"/>
  <c r="H110" i="9"/>
  <c r="D18" i="53" s="1"/>
  <c r="B35" i="72" s="1"/>
  <c r="D124" i="9"/>
  <c r="H14" i="74" s="1"/>
  <c r="B7" i="74" s="1"/>
  <c r="D16" i="53"/>
  <c r="B34" i="72" s="1"/>
  <c r="D10" i="52"/>
  <c r="D125" i="9"/>
  <c r="D11" i="52" s="1"/>
  <c r="AD3" i="71"/>
  <c r="J1" i="73"/>
  <c r="C77" i="9"/>
  <c r="C74" i="9" s="1"/>
  <c r="H76" i="43"/>
  <c r="H67" i="43"/>
  <c r="H60"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AB15" i="71"/>
  <c r="X13" i="71"/>
  <c r="X12" i="71"/>
  <c r="AA13" i="71"/>
  <c r="AA12" i="71"/>
  <c r="X16" i="71"/>
  <c r="Y12" i="71"/>
  <c r="Z12" i="71" s="1"/>
  <c r="AB13" i="71"/>
  <c r="AB12" i="71"/>
  <c r="F14" i="71"/>
  <c r="F13" i="71"/>
  <c r="F12" i="71" s="1"/>
  <c r="F11" i="71" s="1"/>
  <c r="F10" i="71" s="1"/>
  <c r="Y13" i="71"/>
  <c r="Z13" i="71" s="1"/>
  <c r="X3" i="71"/>
  <c r="E14" i="71"/>
  <c r="E13" i="71" s="1"/>
  <c r="G20" i="43"/>
  <c r="E41" i="43" s="1"/>
  <c r="C41" i="43" s="1"/>
  <c r="M27" i="67"/>
  <c r="F26" i="15"/>
  <c r="F26" i="67"/>
  <c r="M24" i="15"/>
  <c r="D5" i="73"/>
  <c r="D2" i="35"/>
  <c r="B12" i="76"/>
  <c r="E10" i="76"/>
  <c r="F40" i="67"/>
  <c r="L48" i="67"/>
  <c r="AO13" i="1"/>
  <c r="B7" i="76"/>
  <c r="E13" i="76"/>
  <c r="AO11" i="1"/>
  <c r="F9" i="15"/>
  <c r="L47" i="67"/>
  <c r="B10" i="76"/>
  <c r="F9" i="67"/>
  <c r="D3" i="73"/>
  <c r="D4" i="73"/>
  <c r="AO7" i="1"/>
  <c r="AO12" i="1"/>
  <c r="C76" i="15"/>
  <c r="L48" i="15"/>
  <c r="M24" i="67"/>
  <c r="F37" i="15"/>
  <c r="D2" i="34"/>
  <c r="F3" i="73"/>
  <c r="M22" i="15"/>
  <c r="L47" i="15"/>
  <c r="F6" i="73"/>
  <c r="M26" i="67"/>
  <c r="F20" i="31"/>
  <c r="E2" i="69"/>
  <c r="F5" i="73"/>
  <c r="AO10" i="1"/>
  <c r="F7" i="73"/>
  <c r="B9" i="76"/>
  <c r="M27" i="15"/>
  <c r="E7" i="76"/>
  <c r="D2" i="33"/>
  <c r="M23" i="67"/>
  <c r="M21" i="67"/>
  <c r="D6" i="73"/>
  <c r="M8" i="67"/>
  <c r="B11" i="76"/>
  <c r="E9" i="76"/>
  <c r="D2" i="37"/>
  <c r="F8" i="15"/>
  <c r="B13" i="76"/>
  <c r="AO8" i="1"/>
  <c r="F4" i="73"/>
  <c r="B8" i="76"/>
  <c r="F6" i="15"/>
  <c r="D2" i="36"/>
  <c r="E11" i="76"/>
  <c r="F16" i="15"/>
  <c r="E12" i="76"/>
  <c r="D2" i="21"/>
  <c r="F36" i="67"/>
  <c r="E2" i="68"/>
  <c r="AO9" i="1"/>
  <c r="E8" i="76"/>
  <c r="F13" i="67"/>
  <c r="AC13" i="39" l="1"/>
  <c r="W14" i="39"/>
  <c r="F12" i="39"/>
  <c r="H14" i="39"/>
  <c r="F17" i="39"/>
  <c r="AA17" i="39" s="1"/>
  <c r="D102" i="43"/>
  <c r="T9" i="1"/>
  <c r="AQ9" i="1"/>
  <c r="AQ13" i="1"/>
  <c r="T10" i="1"/>
  <c r="AR12" i="1"/>
  <c r="L27" i="6"/>
  <c r="E12" i="71"/>
  <c r="E11" i="71" s="1"/>
  <c r="E10" i="71" s="1"/>
  <c r="E9" i="71" s="1"/>
  <c r="V13" i="71"/>
  <c r="D70" i="39"/>
  <c r="E68" i="39"/>
  <c r="F68" i="39" s="1"/>
  <c r="S25" i="35"/>
  <c r="AA25" i="35"/>
  <c r="AC35" i="35"/>
  <c r="W35" i="35"/>
  <c r="AA12" i="36"/>
  <c r="S12" i="36"/>
  <c r="AB14" i="40"/>
  <c r="U14" i="40"/>
  <c r="AZ576" i="3"/>
  <c r="AZ575" i="3"/>
  <c r="AZ563" i="3"/>
  <c r="AZ562" i="3"/>
  <c r="W46" i="21"/>
  <c r="AC46" i="21"/>
  <c r="AB9" i="33"/>
  <c r="U9" i="33"/>
  <c r="AA27" i="33"/>
  <c r="S27" i="33"/>
  <c r="AB31" i="34"/>
  <c r="U31" i="34"/>
  <c r="U45" i="34"/>
  <c r="AB45" i="34"/>
  <c r="S47" i="34"/>
  <c r="AA47" i="34"/>
  <c r="S13" i="35"/>
  <c r="AA13" i="35"/>
  <c r="AZ581" i="3"/>
  <c r="AZ579" i="3"/>
  <c r="AZ578" i="3"/>
  <c r="AZ560" i="3"/>
  <c r="AZ551" i="3"/>
  <c r="AZ522" i="3"/>
  <c r="AZ518" i="3"/>
  <c r="AZ517" i="3"/>
  <c r="AZ513" i="3"/>
  <c r="AZ500" i="3"/>
  <c r="AZ499" i="3"/>
  <c r="AZ495" i="3"/>
  <c r="AZ494" i="3"/>
  <c r="BA5" i="3"/>
  <c r="E28" i="6"/>
  <c r="K14" i="1" s="1"/>
  <c r="M14" i="1" s="1"/>
  <c r="O14" i="1" s="1"/>
  <c r="P14" i="1" s="1"/>
  <c r="AA28" i="34"/>
  <c r="S28" i="34"/>
  <c r="W34" i="36"/>
  <c r="AC34" i="36"/>
  <c r="AB33" i="33"/>
  <c r="U33" i="33"/>
  <c r="AC39" i="33"/>
  <c r="W39" i="33"/>
  <c r="J26" i="33"/>
  <c r="H26" i="33"/>
  <c r="AB34" i="34"/>
  <c r="U34" i="34"/>
  <c r="AA35" i="34"/>
  <c r="S35" i="34"/>
  <c r="AA34" i="35"/>
  <c r="S34" i="35"/>
  <c r="J44" i="33"/>
  <c r="F44" i="33"/>
  <c r="J46" i="33"/>
  <c r="F46" i="33"/>
  <c r="H46" i="33"/>
  <c r="H13" i="34"/>
  <c r="J13" i="34"/>
  <c r="F13" i="34"/>
  <c r="AB31" i="36"/>
  <c r="U31" i="36"/>
  <c r="H31" i="39"/>
  <c r="F31" i="39"/>
  <c r="J31" i="39"/>
  <c r="J37" i="39"/>
  <c r="F37" i="39"/>
  <c r="AA40" i="33"/>
  <c r="S40" i="33"/>
  <c r="C20" i="43"/>
  <c r="H74" i="43"/>
  <c r="H70" i="43"/>
  <c r="H61" i="43"/>
  <c r="H59" i="43"/>
  <c r="H51" i="43"/>
  <c r="H77" i="43"/>
  <c r="AB45" i="21"/>
  <c r="AQ8" i="1"/>
  <c r="S13" i="21"/>
  <c r="AA23" i="21"/>
  <c r="J27" i="33"/>
  <c r="AA23" i="37"/>
  <c r="D9" i="69"/>
  <c r="C9" i="69" s="1"/>
  <c r="F30" i="11"/>
  <c r="C48" i="11" s="1"/>
  <c r="U30" i="40"/>
  <c r="W12" i="21"/>
  <c r="AC27" i="21"/>
  <c r="W31" i="21"/>
  <c r="AC45" i="21"/>
  <c r="W13" i="21"/>
  <c r="AB44" i="21"/>
  <c r="S46" i="21"/>
  <c r="AC14" i="21"/>
  <c r="AC15" i="21"/>
  <c r="AB46" i="21"/>
  <c r="S45" i="21"/>
  <c r="W9" i="33"/>
  <c r="S11" i="33"/>
  <c r="W33" i="34"/>
  <c r="AA31" i="34"/>
  <c r="U19" i="34"/>
  <c r="U19" i="37"/>
  <c r="AA11" i="37"/>
  <c r="AC34" i="37"/>
  <c r="S27" i="37"/>
  <c r="U25" i="35"/>
  <c r="AC25" i="36"/>
  <c r="AB11" i="39"/>
  <c r="AA39" i="39"/>
  <c r="W37" i="40"/>
  <c r="H56" i="43"/>
  <c r="H63" i="43"/>
  <c r="H65" i="43"/>
  <c r="H78" i="43"/>
  <c r="W19" i="33"/>
  <c r="H27" i="33"/>
  <c r="S43" i="33"/>
  <c r="S39" i="33"/>
  <c r="U42" i="33"/>
  <c r="W38" i="33"/>
  <c r="AA25" i="34"/>
  <c r="U43" i="34"/>
  <c r="AA12" i="37"/>
  <c r="U9" i="37"/>
  <c r="W38" i="37"/>
  <c r="H26" i="35"/>
  <c r="W13" i="35"/>
  <c r="S32" i="35"/>
  <c r="AC27" i="36"/>
  <c r="S9" i="39"/>
  <c r="AB15" i="39"/>
  <c r="W39" i="39"/>
  <c r="U35" i="40"/>
  <c r="F12" i="33"/>
  <c r="H50" i="43"/>
  <c r="AA12" i="40"/>
  <c r="BL493" i="3"/>
  <c r="AZ493" i="3" s="1"/>
  <c r="BB5" i="3"/>
  <c r="AC5" i="3"/>
  <c r="BM5" i="3"/>
  <c r="F29" i="6" s="1"/>
  <c r="E29" i="6" s="1"/>
  <c r="AA41" i="39"/>
  <c r="AB33" i="40"/>
  <c r="AC12" i="37"/>
  <c r="S42" i="21"/>
  <c r="H32" i="40"/>
  <c r="F32" i="40"/>
  <c r="AA36" i="39"/>
  <c r="W35" i="39"/>
  <c r="AA14" i="37"/>
  <c r="J14" i="37"/>
  <c r="F14" i="40"/>
  <c r="J14" i="40"/>
  <c r="H12" i="40"/>
  <c r="H35" i="35"/>
  <c r="H13" i="35"/>
  <c r="F45" i="34"/>
  <c r="H29" i="34"/>
  <c r="H44" i="33"/>
  <c r="H30" i="33"/>
  <c r="H27" i="21"/>
  <c r="AB17" i="34"/>
  <c r="S26" i="33"/>
  <c r="AA41" i="33"/>
  <c r="S41" i="33"/>
  <c r="U23" i="34"/>
  <c r="AB23" i="34"/>
  <c r="AB33" i="35"/>
  <c r="U33" i="35"/>
  <c r="S9" i="33"/>
  <c r="U31" i="35"/>
  <c r="H12" i="21"/>
  <c r="BL587" i="3"/>
  <c r="AZ587" i="3" s="1"/>
  <c r="BL585" i="3"/>
  <c r="AZ585" i="3" s="1"/>
  <c r="F22" i="77"/>
  <c r="E57" i="39"/>
  <c r="AC9" i="34"/>
  <c r="W9" i="34"/>
  <c r="AC36" i="35"/>
  <c r="W36" i="35"/>
  <c r="H23" i="35"/>
  <c r="J23" i="35"/>
  <c r="F23" i="35"/>
  <c r="J11" i="36"/>
  <c r="H11" i="36"/>
  <c r="F11" i="36"/>
  <c r="AB14" i="37"/>
  <c r="H40" i="37"/>
  <c r="J40" i="37"/>
  <c r="F40" i="37"/>
  <c r="AB9" i="39"/>
  <c r="U9" i="39"/>
  <c r="E101" i="39"/>
  <c r="H27" i="39"/>
  <c r="F27" i="39"/>
  <c r="AC32" i="40"/>
  <c r="J39" i="40"/>
  <c r="H39" i="40"/>
  <c r="AA30" i="36"/>
  <c r="S30" i="36"/>
  <c r="H35" i="39"/>
  <c r="F35" i="39"/>
  <c r="G551" i="3"/>
  <c r="G5" i="3" s="1"/>
  <c r="B3" i="3" s="1"/>
  <c r="BL548" i="3"/>
  <c r="AZ548" i="3" s="1"/>
  <c r="AZ13" i="3"/>
  <c r="AB8" i="33"/>
  <c r="U8" i="33"/>
  <c r="H14" i="33"/>
  <c r="F14" i="33"/>
  <c r="J14" i="33"/>
  <c r="J12" i="36"/>
  <c r="H12" i="36"/>
  <c r="J24" i="36"/>
  <c r="H24" i="36"/>
  <c r="F24" i="36"/>
  <c r="J39" i="37"/>
  <c r="F39" i="37"/>
  <c r="F38" i="40"/>
  <c r="J38" i="40"/>
  <c r="H38" i="40"/>
  <c r="AZ399" i="3"/>
  <c r="AZ404" i="3"/>
  <c r="AZ411" i="3"/>
  <c r="AZ414" i="3"/>
  <c r="AZ421" i="3"/>
  <c r="AZ423" i="3"/>
  <c r="AZ427" i="3"/>
  <c r="AZ430" i="3"/>
  <c r="AZ440" i="3"/>
  <c r="AZ449" i="3"/>
  <c r="AZ453" i="3"/>
  <c r="AZ455" i="3"/>
  <c r="AZ460" i="3"/>
  <c r="AZ471" i="3"/>
  <c r="AZ476" i="3"/>
  <c r="AZ478" i="3"/>
  <c r="AZ484" i="3"/>
  <c r="AZ492" i="3"/>
  <c r="AZ395" i="3"/>
  <c r="AZ208" i="3"/>
  <c r="AZ211" i="3"/>
  <c r="AZ219" i="3"/>
  <c r="AZ225" i="3"/>
  <c r="AZ239" i="3"/>
  <c r="AZ255" i="3"/>
  <c r="AZ270" i="3"/>
  <c r="AZ274" i="3"/>
  <c r="AZ277" i="3"/>
  <c r="A15" i="62"/>
  <c r="B61" i="72" s="1"/>
  <c r="E19" i="6"/>
  <c r="AZ300" i="3"/>
  <c r="AZ118" i="3"/>
  <c r="AZ121" i="3"/>
  <c r="AZ134" i="3"/>
  <c r="AZ137" i="3"/>
  <c r="AZ153" i="3"/>
  <c r="AZ169" i="3"/>
  <c r="AZ185" i="3"/>
  <c r="AZ201" i="3"/>
  <c r="AZ207" i="3"/>
  <c r="AZ25" i="3"/>
  <c r="AZ30" i="3"/>
  <c r="AZ36" i="3"/>
  <c r="AZ40" i="3"/>
  <c r="AZ46" i="3"/>
  <c r="AZ49" i="3"/>
  <c r="AZ57" i="3"/>
  <c r="AZ62" i="3"/>
  <c r="AZ81" i="3"/>
  <c r="AZ99" i="3"/>
  <c r="AZ103" i="3"/>
  <c r="AZ106" i="3"/>
  <c r="J51" i="15"/>
  <c r="D33" i="71"/>
  <c r="T33" i="71"/>
  <c r="D29" i="71"/>
  <c r="T29" i="71"/>
  <c r="C48" i="71"/>
  <c r="D47" i="71"/>
  <c r="M100" i="43"/>
  <c r="I100" i="43"/>
  <c r="E100" i="43"/>
  <c r="D100" i="43"/>
  <c r="C32" i="66"/>
  <c r="E26" i="66" s="1"/>
  <c r="D37" i="71"/>
  <c r="T37" i="71"/>
  <c r="V61" i="71"/>
  <c r="F60" i="71"/>
  <c r="AF10" i="43"/>
  <c r="AC12" i="43"/>
  <c r="AC10" i="43"/>
  <c r="AG12" i="43"/>
  <c r="AG13" i="43" s="1"/>
  <c r="AG10" i="43"/>
  <c r="AA16" i="71"/>
  <c r="X15" i="71"/>
  <c r="Y11" i="71"/>
  <c r="Z11" i="71" s="1"/>
  <c r="Y7" i="71"/>
  <c r="Z7" i="71" s="1"/>
  <c r="AB7" i="71"/>
  <c r="AA10" i="71"/>
  <c r="AB20" i="71"/>
  <c r="S21" i="71"/>
  <c r="X20" i="71"/>
  <c r="C21" i="71"/>
  <c r="AA29" i="71"/>
  <c r="AB26" i="71"/>
  <c r="Y26" i="71"/>
  <c r="Z26" i="71" s="1"/>
  <c r="X25" i="71"/>
  <c r="X30" i="71"/>
  <c r="AA22" i="71"/>
  <c r="Z12" i="43"/>
  <c r="Z13" i="43" s="1"/>
  <c r="Z10" i="43"/>
  <c r="AD12" i="43"/>
  <c r="AD10" i="43"/>
  <c r="AH12" i="43"/>
  <c r="AH13" i="43" s="1"/>
  <c r="AH10" i="43"/>
  <c r="X17" i="71"/>
  <c r="Y15" i="71"/>
  <c r="Z15" i="71" s="1"/>
  <c r="AB16" i="71"/>
  <c r="AA14" i="71"/>
  <c r="X11" i="71"/>
  <c r="AA11" i="71"/>
  <c r="X10" i="71"/>
  <c r="AB11" i="71"/>
  <c r="Y10" i="71"/>
  <c r="Z10" i="71" s="1"/>
  <c r="AB10" i="71"/>
  <c r="Y14" i="71"/>
  <c r="Z14" i="71" s="1"/>
  <c r="AA15" i="71"/>
  <c r="AB14" i="71"/>
  <c r="X14" i="71"/>
  <c r="X8" i="71"/>
  <c r="AA8" i="71"/>
  <c r="AB5" i="71"/>
  <c r="Y6" i="71"/>
  <c r="Z6" i="71" s="1"/>
  <c r="AA5" i="71"/>
  <c r="AA7" i="71"/>
  <c r="X6" i="71"/>
  <c r="AA17" i="71"/>
  <c r="AB17" i="71"/>
  <c r="B17" i="71"/>
  <c r="C17" i="71"/>
  <c r="Y16" i="71"/>
  <c r="Z16" i="71" s="1"/>
  <c r="AB8" i="71"/>
  <c r="AB6" i="71"/>
  <c r="Y5" i="71"/>
  <c r="Z5" i="71" s="1"/>
  <c r="AA6" i="71"/>
  <c r="X5" i="71"/>
  <c r="X7" i="71"/>
  <c r="D17" i="53"/>
  <c r="B36" i="72" s="1"/>
  <c r="U37" i="39"/>
  <c r="J25" i="39"/>
  <c r="F99" i="39"/>
  <c r="G99" i="39" s="1"/>
  <c r="S25" i="39"/>
  <c r="U25" i="39"/>
  <c r="J21" i="39"/>
  <c r="F95" i="39"/>
  <c r="G95" i="39" s="1"/>
  <c r="S21" i="39"/>
  <c r="U21" i="39"/>
  <c r="S19" i="39"/>
  <c r="AC15" i="39"/>
  <c r="F91" i="39"/>
  <c r="G91" i="39" s="1"/>
  <c r="H17" i="39"/>
  <c r="AB17" i="39" s="1"/>
  <c r="J17" i="39"/>
  <c r="S17" i="39"/>
  <c r="AC11" i="39"/>
  <c r="S11" i="39"/>
  <c r="P61" i="15"/>
  <c r="C21" i="68"/>
  <c r="C40" i="69"/>
  <c r="C21" i="69"/>
  <c r="F30" i="69"/>
  <c r="F48" i="69" s="1"/>
  <c r="M18" i="15"/>
  <c r="F52" i="9"/>
  <c r="F54" i="9"/>
  <c r="F32" i="15"/>
  <c r="F60" i="15" s="1"/>
  <c r="F32" i="67"/>
  <c r="F60" i="67" s="1"/>
  <c r="F28" i="67"/>
  <c r="C28" i="67" s="1"/>
  <c r="D93" i="9"/>
  <c r="F48" i="9"/>
  <c r="O52" i="9" s="1"/>
  <c r="C24" i="12"/>
  <c r="C30" i="69"/>
  <c r="C30" i="11"/>
  <c r="D68" i="9"/>
  <c r="F28" i="15"/>
  <c r="C28" i="15" s="1"/>
  <c r="C48" i="69"/>
  <c r="M18" i="67"/>
  <c r="F31" i="12"/>
  <c r="C31" i="12" s="1"/>
  <c r="F30" i="68"/>
  <c r="D22" i="67"/>
  <c r="C36" i="69"/>
  <c r="T8" i="1"/>
  <c r="L106" i="43"/>
  <c r="L103" i="43"/>
  <c r="L107" i="43"/>
  <c r="I105" i="43"/>
  <c r="AC11" i="43"/>
  <c r="AC13" i="43" s="1"/>
  <c r="S5" i="43"/>
  <c r="AD11" i="43"/>
  <c r="AD13" i="43" s="1"/>
  <c r="E101" i="43"/>
  <c r="M101" i="43"/>
  <c r="M109" i="43" s="1"/>
  <c r="E12" i="6"/>
  <c r="E57" i="40" s="1"/>
  <c r="D9" i="68"/>
  <c r="C9" i="68" s="1"/>
  <c r="D19" i="12"/>
  <c r="C19" i="12" s="1"/>
  <c r="M18" i="9"/>
  <c r="B118" i="9" s="1"/>
  <c r="B14" i="74" s="1"/>
  <c r="B1" i="74" s="1"/>
  <c r="C7" i="74" s="1"/>
  <c r="M7" i="1"/>
  <c r="I109" i="43"/>
  <c r="I102" i="43"/>
  <c r="I106" i="43"/>
  <c r="I103" i="43"/>
  <c r="D109" i="43"/>
  <c r="D103" i="43"/>
  <c r="D104" i="43"/>
  <c r="D107" i="43"/>
  <c r="B113" i="43"/>
  <c r="F101" i="43"/>
  <c r="E22" i="43"/>
  <c r="C101" i="43"/>
  <c r="N104" i="46"/>
  <c r="H22" i="43"/>
  <c r="H101" i="43"/>
  <c r="G22" i="43"/>
  <c r="AJ11" i="43"/>
  <c r="AJ13" i="43" s="1"/>
  <c r="AF11" i="43"/>
  <c r="AF13" i="43" s="1"/>
  <c r="AB11" i="43"/>
  <c r="AB13" i="43" s="1"/>
  <c r="Z7" i="43"/>
  <c r="AI11" i="43"/>
  <c r="AI13" i="43" s="1"/>
  <c r="AE11" i="43"/>
  <c r="AE13" i="43" s="1"/>
  <c r="AA11" i="43"/>
  <c r="AA13" i="43" s="1"/>
  <c r="S6" i="43"/>
  <c r="S4" i="43"/>
  <c r="T4" i="43" s="1"/>
  <c r="V4" i="43" s="1"/>
  <c r="S7" i="43"/>
  <c r="F22" i="43"/>
  <c r="K101" i="43"/>
  <c r="N101" i="43"/>
  <c r="G101" i="43"/>
  <c r="J101" i="43"/>
  <c r="C36" i="11"/>
  <c r="E104" i="43"/>
  <c r="E107" i="43"/>
  <c r="E105" i="43"/>
  <c r="E109" i="43"/>
  <c r="M104" i="43"/>
  <c r="M105" i="43"/>
  <c r="L109" i="43"/>
  <c r="L102" i="43"/>
  <c r="L105" i="43"/>
  <c r="L104" i="43"/>
  <c r="T13" i="1"/>
  <c r="AR10" i="1"/>
  <c r="E13" i="6"/>
  <c r="E15" i="6"/>
  <c r="AR7" i="1"/>
  <c r="O7" i="1"/>
  <c r="P7" i="1" s="1"/>
  <c r="T7" i="1"/>
  <c r="O9" i="1"/>
  <c r="P9" i="1" s="1"/>
  <c r="O8" i="1"/>
  <c r="E70" i="39"/>
  <c r="T14" i="43"/>
  <c r="V14" i="43" s="1"/>
  <c r="F70" i="39"/>
  <c r="G68" i="39"/>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X9" i="71"/>
  <c r="AB9" i="71"/>
  <c r="T15" i="43"/>
  <c r="V15" i="43" s="1"/>
  <c r="T6" i="43"/>
  <c r="V6" i="43" s="1"/>
  <c r="Y3" i="71"/>
  <c r="Z3" i="71" s="1"/>
  <c r="F9" i="71"/>
  <c r="F8" i="71" s="1"/>
  <c r="F7" i="71" s="1"/>
  <c r="F6" i="71" s="1"/>
  <c r="F5" i="71" s="1"/>
  <c r="AF3" i="71"/>
  <c r="P22" i="43" s="1"/>
  <c r="C29" i="43"/>
  <c r="C34" i="43"/>
  <c r="T10" i="43"/>
  <c r="V10" i="43" s="1"/>
  <c r="C33" i="43"/>
  <c r="T16" i="43"/>
  <c r="V16" i="43" s="1"/>
  <c r="T13" i="43"/>
  <c r="V13" i="43" s="1"/>
  <c r="T8" i="43"/>
  <c r="V8" i="43" s="1"/>
  <c r="T2" i="43"/>
  <c r="V2" i="43" s="1"/>
  <c r="C38" i="43"/>
  <c r="T3" i="43"/>
  <c r="V3" i="43" s="1"/>
  <c r="T5" i="43"/>
  <c r="V5" i="43" s="1"/>
  <c r="C36" i="68"/>
  <c r="B10" i="70"/>
  <c r="Q71" i="15"/>
  <c r="J53" i="15"/>
  <c r="L56" i="15" s="1"/>
  <c r="J57" i="15"/>
  <c r="J55" i="15" s="1"/>
  <c r="J58" i="15" s="1"/>
  <c r="Q50" i="15" s="1"/>
  <c r="I54" i="15"/>
  <c r="K1" i="73"/>
  <c r="B20" i="31"/>
  <c r="B21" i="31" s="1"/>
  <c r="I1" i="73"/>
  <c r="B39" i="1" s="1"/>
  <c r="J20" i="67"/>
  <c r="B12" i="70"/>
  <c r="J53" i="67"/>
  <c r="J57" i="67"/>
  <c r="J55" i="67" s="1"/>
  <c r="J58" i="67" s="1"/>
  <c r="Q50" i="67" s="1"/>
  <c r="L56" i="67"/>
  <c r="I54" i="67"/>
  <c r="F51" i="15"/>
  <c r="B7" i="70"/>
  <c r="E20" i="43"/>
  <c r="B11" i="70"/>
  <c r="L59" i="15"/>
  <c r="N59" i="15"/>
  <c r="L58" i="15"/>
  <c r="M59" i="15"/>
  <c r="B8" i="70"/>
  <c r="C27" i="67"/>
  <c r="C27" i="15"/>
  <c r="F65" i="15"/>
  <c r="B9" i="70"/>
  <c r="N59" i="67"/>
  <c r="L59" i="67"/>
  <c r="L58" i="67"/>
  <c r="M59" i="67"/>
  <c r="B13" i="70"/>
  <c r="F68" i="67"/>
  <c r="F64" i="67"/>
  <c r="M9" i="15"/>
  <c r="F42" i="67"/>
  <c r="F42" i="15"/>
  <c r="F36" i="15"/>
  <c r="F13" i="15"/>
  <c r="F37" i="67"/>
  <c r="M28" i="15"/>
  <c r="F40" i="15"/>
  <c r="J15" i="67"/>
  <c r="M26" i="15"/>
  <c r="D7" i="73"/>
  <c r="C76" i="67"/>
  <c r="F38" i="15"/>
  <c r="F6" i="67"/>
  <c r="M8" i="15"/>
  <c r="M9" i="67"/>
  <c r="F41" i="67"/>
  <c r="F35" i="67"/>
  <c r="M23" i="15"/>
  <c r="M6" i="15"/>
  <c r="F16" i="67"/>
  <c r="F8" i="67"/>
  <c r="F43" i="67"/>
  <c r="M28" i="67"/>
  <c r="F7" i="67"/>
  <c r="G1" i="73"/>
  <c r="J15" i="15"/>
  <c r="M22" i="67"/>
  <c r="F38" i="67"/>
  <c r="M6" i="67"/>
  <c r="M29" i="67"/>
  <c r="K6" i="1" l="1"/>
  <c r="C34" i="69" s="1"/>
  <c r="C35" i="69" s="1"/>
  <c r="J91" i="9"/>
  <c r="J22" i="77"/>
  <c r="J29" i="77" s="1"/>
  <c r="F29" i="77"/>
  <c r="T7" i="43"/>
  <c r="V7" i="43" s="1"/>
  <c r="AB14" i="39"/>
  <c r="U14" i="39"/>
  <c r="S12" i="39"/>
  <c r="AA12" i="39"/>
  <c r="M107" i="43"/>
  <c r="F51" i="67"/>
  <c r="F50" i="67"/>
  <c r="F59" i="67" s="1"/>
  <c r="M7" i="67"/>
  <c r="J6" i="67" s="1"/>
  <c r="J18" i="67" s="1"/>
  <c r="F69" i="67"/>
  <c r="Q71" i="67"/>
  <c r="F64" i="15"/>
  <c r="F70" i="67"/>
  <c r="C6" i="67"/>
  <c r="C32" i="67" s="1"/>
  <c r="C34" i="67"/>
  <c r="F63" i="67"/>
  <c r="C62" i="67" s="1"/>
  <c r="F66" i="67"/>
  <c r="F68" i="15"/>
  <c r="F65" i="67"/>
  <c r="F66" i="15"/>
  <c r="F71" i="67"/>
  <c r="E388" i="3"/>
  <c r="E239" i="3"/>
  <c r="E569" i="3"/>
  <c r="E229" i="3"/>
  <c r="E397" i="3"/>
  <c r="E314" i="3"/>
  <c r="E568" i="3"/>
  <c r="E511" i="3"/>
  <c r="I6" i="3"/>
  <c r="E16" i="3"/>
  <c r="E536" i="3"/>
  <c r="AK6" i="3"/>
  <c r="E434" i="3"/>
  <c r="E453" i="3"/>
  <c r="E306" i="3"/>
  <c r="E368" i="3"/>
  <c r="E296" i="3"/>
  <c r="E244" i="3"/>
  <c r="E298" i="3"/>
  <c r="E230" i="3"/>
  <c r="E189" i="3"/>
  <c r="E169" i="3"/>
  <c r="E130" i="3"/>
  <c r="E185" i="3"/>
  <c r="E61" i="3"/>
  <c r="E254" i="3"/>
  <c r="E91" i="3"/>
  <c r="E221" i="3"/>
  <c r="E180" i="3"/>
  <c r="E149" i="3"/>
  <c r="E77" i="3"/>
  <c r="E212" i="3"/>
  <c r="E253" i="3"/>
  <c r="E167" i="3"/>
  <c r="E199" i="3"/>
  <c r="E141" i="3"/>
  <c r="E313" i="3"/>
  <c r="E330" i="3"/>
  <c r="E534" i="3"/>
  <c r="T6" i="3"/>
  <c r="E543" i="3"/>
  <c r="E405" i="3"/>
  <c r="E427" i="3"/>
  <c r="E456" i="3"/>
  <c r="E486" i="3"/>
  <c r="E469" i="3"/>
  <c r="E507" i="3"/>
  <c r="E512" i="3"/>
  <c r="E422" i="3"/>
  <c r="E408" i="3"/>
  <c r="E440" i="3"/>
  <c r="E451" i="3"/>
  <c r="E490" i="3"/>
  <c r="E360" i="3"/>
  <c r="E376" i="3"/>
  <c r="E556" i="3"/>
  <c r="AH6" i="3"/>
  <c r="E571" i="3"/>
  <c r="E419" i="3"/>
  <c r="E452" i="3"/>
  <c r="E483" i="3"/>
  <c r="E470" i="3"/>
  <c r="E401" i="3"/>
  <c r="E420" i="3"/>
  <c r="E463" i="3"/>
  <c r="E26" i="3"/>
  <c r="E40" i="3"/>
  <c r="E104" i="3"/>
  <c r="E25" i="3"/>
  <c r="E73" i="3"/>
  <c r="E111" i="3"/>
  <c r="E146" i="3"/>
  <c r="E168" i="3"/>
  <c r="E203" i="3"/>
  <c r="E150" i="3"/>
  <c r="E171" i="3"/>
  <c r="E208" i="3"/>
  <c r="E256" i="3"/>
  <c r="E279" i="3"/>
  <c r="E214" i="3"/>
  <c r="E257" i="3"/>
  <c r="E274" i="3"/>
  <c r="E351" i="3"/>
  <c r="E315" i="3"/>
  <c r="E357" i="3"/>
  <c r="E394" i="3"/>
  <c r="E318" i="3"/>
  <c r="E372" i="3"/>
  <c r="AL6" i="3"/>
  <c r="E31" i="3"/>
  <c r="E74" i="3"/>
  <c r="E93" i="3"/>
  <c r="E32" i="3"/>
  <c r="E75" i="3"/>
  <c r="E409" i="3"/>
  <c r="E473" i="3"/>
  <c r="E15" i="3"/>
  <c r="E18" i="3"/>
  <c r="E96" i="3"/>
  <c r="E78" i="3"/>
  <c r="E129" i="3"/>
  <c r="E190" i="3"/>
  <c r="E194" i="3"/>
  <c r="E234" i="3"/>
  <c r="E219" i="3"/>
  <c r="E299" i="3"/>
  <c r="E339" i="3"/>
  <c r="E325" i="3"/>
  <c r="E392" i="3"/>
  <c r="AQ6" i="3"/>
  <c r="E52" i="3"/>
  <c r="E36" i="3"/>
  <c r="E112" i="3"/>
  <c r="E123" i="3"/>
  <c r="E147" i="3"/>
  <c r="E289" i="3"/>
  <c r="E370" i="3"/>
  <c r="AF6" i="3"/>
  <c r="E50" i="3"/>
  <c r="E20" i="3"/>
  <c r="E62" i="3"/>
  <c r="E176" i="3"/>
  <c r="E218" i="3"/>
  <c r="E265" i="3"/>
  <c r="E326" i="3"/>
  <c r="E22" i="3"/>
  <c r="E83" i="3"/>
  <c r="E396" i="3"/>
  <c r="E151" i="3"/>
  <c r="E353" i="3"/>
  <c r="E385" i="3"/>
  <c r="AN6" i="3"/>
  <c r="AI6" i="3"/>
  <c r="E586" i="3"/>
  <c r="E402" i="3"/>
  <c r="E423" i="3"/>
  <c r="E382" i="3"/>
  <c r="E263"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585" i="3"/>
  <c r="Z6" i="3"/>
  <c r="U6" i="3"/>
  <c r="R6" i="3"/>
  <c r="AG6"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AP6" i="3"/>
  <c r="E554" i="3"/>
  <c r="AS6"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216" i="3"/>
  <c r="E134" i="3"/>
  <c r="E135" i="3"/>
  <c r="E290" i="3"/>
  <c r="E161" i="3"/>
  <c r="E117" i="3"/>
  <c r="E207" i="3"/>
  <c r="E252" i="3"/>
  <c r="E271" i="3"/>
  <c r="E204" i="3"/>
  <c r="E145" i="3"/>
  <c r="E164" i="3"/>
  <c r="E107" i="3"/>
  <c r="E369" i="3"/>
  <c r="E393" i="3"/>
  <c r="E519" i="3"/>
  <c r="K6" i="3"/>
  <c r="E532" i="3"/>
  <c r="Q6" i="3"/>
  <c r="E573" i="3"/>
  <c r="E560" i="3"/>
  <c r="E437" i="3"/>
  <c r="E458" i="3"/>
  <c r="E472" i="3"/>
  <c r="E474" i="3"/>
  <c r="E481" i="3"/>
  <c r="E406" i="3"/>
  <c r="E438" i="3"/>
  <c r="E424" i="3"/>
  <c r="E457" i="3"/>
  <c r="E465" i="3"/>
  <c r="E288" i="3"/>
  <c r="E344" i="3"/>
  <c r="E587" i="3"/>
  <c r="W6" i="3"/>
  <c r="AE6" i="3"/>
  <c r="J6" i="3"/>
  <c r="E13" i="3"/>
  <c r="E498" i="3"/>
  <c r="E429" i="3"/>
  <c r="E450" i="3"/>
  <c r="E468" i="3"/>
  <c r="E471" i="3"/>
  <c r="E433" i="3"/>
  <c r="E454" i="3"/>
  <c r="E475" i="3"/>
  <c r="E55" i="3"/>
  <c r="E72" i="3"/>
  <c r="E106" i="3"/>
  <c r="E54" i="3"/>
  <c r="E41" i="3"/>
  <c r="E108" i="3"/>
  <c r="E115" i="3"/>
  <c r="E178" i="3"/>
  <c r="E198" i="3"/>
  <c r="E119" i="3"/>
  <c r="E139" i="3"/>
  <c r="E202" i="3"/>
  <c r="E225" i="3"/>
  <c r="E242" i="3"/>
  <c r="E281" i="3"/>
  <c r="E226" i="3"/>
  <c r="E243" i="3"/>
  <c r="E276" i="3"/>
  <c r="E332" i="3"/>
  <c r="E346" i="3"/>
  <c r="E391" i="3"/>
  <c r="E333" i="3"/>
  <c r="E356" i="3"/>
  <c r="E362" i="3"/>
  <c r="E14" i="3"/>
  <c r="L6" i="3"/>
  <c r="E42" i="3"/>
  <c r="E60" i="3"/>
  <c r="E94" i="3"/>
  <c r="E43" i="3"/>
  <c r="E488" i="3"/>
  <c r="E428" i="3"/>
  <c r="E482" i="3"/>
  <c r="E412" i="3"/>
  <c r="E455" i="3"/>
  <c r="E79" i="3"/>
  <c r="E38" i="3"/>
  <c r="E100" i="3"/>
  <c r="E170" i="3"/>
  <c r="E137" i="3"/>
  <c r="E174" i="3"/>
  <c r="E220" i="3"/>
  <c r="E275" i="3"/>
  <c r="E235" i="3"/>
  <c r="E324" i="3"/>
  <c r="E383" i="3"/>
  <c r="E342" i="3"/>
  <c r="E522" i="3"/>
  <c r="E35" i="3"/>
  <c r="E86" i="3"/>
  <c r="E34" i="3"/>
  <c r="E49" i="3"/>
  <c r="E206" i="3"/>
  <c r="E232" i="3"/>
  <c r="E251" i="3"/>
  <c r="E340" i="3"/>
  <c r="E364" i="3"/>
  <c r="E102" i="3"/>
  <c r="E80" i="3"/>
  <c r="E113" i="3"/>
  <c r="E158" i="3"/>
  <c r="E287" i="3"/>
  <c r="E308" i="3"/>
  <c r="E365" i="3"/>
  <c r="E101" i="3"/>
  <c r="E348" i="3"/>
  <c r="E317" i="3"/>
  <c r="E157" i="3"/>
  <c r="E377" i="3"/>
  <c r="E546" i="3"/>
  <c r="E363" i="3"/>
  <c r="E386" i="3"/>
  <c r="E309" i="3"/>
  <c r="E173" i="3"/>
  <c r="E499" i="3"/>
  <c r="E547" i="3"/>
  <c r="E584" i="3"/>
  <c r="E578" i="3"/>
  <c r="E566" i="3"/>
  <c r="E542" i="3"/>
  <c r="E540" i="3"/>
  <c r="E531" i="3"/>
  <c r="E527" i="3"/>
  <c r="E495" i="3"/>
  <c r="E576" i="3"/>
  <c r="E580" i="3"/>
  <c r="E525" i="3"/>
  <c r="E520" i="3"/>
  <c r="E518" i="3"/>
  <c r="E517" i="3"/>
  <c r="E505" i="3"/>
  <c r="E497" i="3"/>
  <c r="E247" i="3"/>
  <c r="E579" i="3"/>
  <c r="E143" i="3"/>
  <c r="E337" i="3"/>
  <c r="E410" i="3"/>
  <c r="E55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69" i="3"/>
  <c r="E114" i="3"/>
  <c r="E278" i="3"/>
  <c r="E415" i="3"/>
  <c r="E563" i="3"/>
  <c r="E395" i="3"/>
  <c r="E172" i="3"/>
  <c r="E260" i="3"/>
  <c r="E445" i="3"/>
  <c r="E550" i="3"/>
  <c r="E535" i="3"/>
  <c r="E502" i="3"/>
  <c r="E350" i="3"/>
  <c r="E193" i="3"/>
  <c r="E379" i="3"/>
  <c r="E310" i="3"/>
  <c r="E312" i="3"/>
  <c r="E341" i="3"/>
  <c r="E177" i="3"/>
  <c r="E303" i="3"/>
  <c r="E515" i="3"/>
  <c r="E575" i="3"/>
  <c r="E544" i="3"/>
  <c r="E577" i="3"/>
  <c r="E564" i="3"/>
  <c r="E541" i="3"/>
  <c r="E537" i="3"/>
  <c r="E529" i="3"/>
  <c r="E375" i="3"/>
  <c r="E557" i="3"/>
  <c r="E500" i="3"/>
  <c r="E582" i="3"/>
  <c r="E581" i="3"/>
  <c r="E562" i="3"/>
  <c r="E552" i="3"/>
  <c r="E549" i="3"/>
  <c r="E524" i="3"/>
  <c r="E521" i="3"/>
  <c r="E516" i="3"/>
  <c r="E513" i="3"/>
  <c r="E504" i="3"/>
  <c r="E496" i="3"/>
  <c r="E494" i="3"/>
  <c r="E493" i="3"/>
  <c r="E201" i="3"/>
  <c r="E431" i="3"/>
  <c r="E509" i="3"/>
  <c r="E97" i="3"/>
  <c r="E285" i="3"/>
  <c r="E359" i="3"/>
  <c r="E574" i="3"/>
  <c r="O6"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7" i="3"/>
  <c r="E261" i="3"/>
  <c r="E304" i="3"/>
  <c r="E528" i="3"/>
  <c r="E565" i="3"/>
  <c r="E183" i="3"/>
  <c r="E213" i="3"/>
  <c r="E361" i="3"/>
  <c r="E17" i="3"/>
  <c r="E503" i="3"/>
  <c r="E302" i="3"/>
  <c r="K15" i="1"/>
  <c r="K16" i="1" s="1"/>
  <c r="E30" i="6"/>
  <c r="C16" i="71"/>
  <c r="D17" i="71"/>
  <c r="U17" i="71" s="1"/>
  <c r="T17" i="71"/>
  <c r="F59" i="71"/>
  <c r="Q60" i="71"/>
  <c r="C49" i="71"/>
  <c r="D48" i="71"/>
  <c r="U38" i="40"/>
  <c r="AB38" i="40"/>
  <c r="AA38" i="40"/>
  <c r="S38" i="40"/>
  <c r="AC39" i="37"/>
  <c r="W39" i="37"/>
  <c r="AB24" i="36"/>
  <c r="U24" i="36"/>
  <c r="AB12" i="36"/>
  <c r="U12" i="36"/>
  <c r="AC14" i="33"/>
  <c r="W14" i="33"/>
  <c r="U14" i="33"/>
  <c r="AB14" i="33"/>
  <c r="AB35" i="39"/>
  <c r="U35" i="39"/>
  <c r="AC39" i="40"/>
  <c r="W39" i="40"/>
  <c r="AA27" i="39"/>
  <c r="S27" i="39"/>
  <c r="F101" i="39"/>
  <c r="G101" i="39" s="1"/>
  <c r="J27" i="39"/>
  <c r="AC40" i="37"/>
  <c r="W40" i="37"/>
  <c r="U11" i="36"/>
  <c r="AB11" i="36"/>
  <c r="AA23" i="35"/>
  <c r="S23" i="35"/>
  <c r="U23" i="35"/>
  <c r="AB23" i="35"/>
  <c r="H22" i="77"/>
  <c r="H29" i="77" s="1"/>
  <c r="G29" i="77" s="1"/>
  <c r="AB27" i="21"/>
  <c r="U27" i="21"/>
  <c r="U44" i="33"/>
  <c r="AB44" i="33"/>
  <c r="S45" i="34"/>
  <c r="AA45" i="34"/>
  <c r="AB35" i="35"/>
  <c r="U35" i="35"/>
  <c r="W14" i="40"/>
  <c r="AC14" i="40"/>
  <c r="AC14" i="37"/>
  <c r="W14" i="37"/>
  <c r="S32" i="40"/>
  <c r="AA32" i="40"/>
  <c r="E8" i="6"/>
  <c r="E10" i="6"/>
  <c r="E11" i="6"/>
  <c r="E14" i="6"/>
  <c r="AA12" i="33"/>
  <c r="S12" i="33"/>
  <c r="U26" i="35"/>
  <c r="AB26" i="35"/>
  <c r="AB27" i="33"/>
  <c r="U27" i="33"/>
  <c r="W27" i="33"/>
  <c r="AC27" i="33"/>
  <c r="W37" i="39"/>
  <c r="AC37" i="39"/>
  <c r="S31" i="39"/>
  <c r="AA31" i="39"/>
  <c r="AA13" i="34"/>
  <c r="S13" i="34"/>
  <c r="U13" i="34"/>
  <c r="AB13" i="34"/>
  <c r="AA46" i="33"/>
  <c r="S46" i="33"/>
  <c r="S44" i="33"/>
  <c r="AA44" i="33"/>
  <c r="U26" i="33"/>
  <c r="AB26" i="33"/>
  <c r="F30" i="6"/>
  <c r="BL5" i="3"/>
  <c r="E8" i="71"/>
  <c r="E7" i="71" s="1"/>
  <c r="E6" i="71" s="1"/>
  <c r="E5" i="71" s="1"/>
  <c r="V9" i="71"/>
  <c r="J7" i="34"/>
  <c r="B16" i="71"/>
  <c r="B15" i="71" s="1"/>
  <c r="B14" i="71" s="1"/>
  <c r="B13" i="71" s="1"/>
  <c r="S17" i="71"/>
  <c r="T21" i="71"/>
  <c r="D21" i="71"/>
  <c r="U21" i="71" s="1"/>
  <c r="C20" i="71"/>
  <c r="AC38" i="40"/>
  <c r="W38" i="40"/>
  <c r="AA39" i="37"/>
  <c r="S39" i="37"/>
  <c r="AA24" i="36"/>
  <c r="S24" i="36"/>
  <c r="AC24" i="36"/>
  <c r="W24" i="36"/>
  <c r="AC12" i="36"/>
  <c r="W12" i="36"/>
  <c r="S14" i="33"/>
  <c r="AA14" i="33"/>
  <c r="AZ5" i="3"/>
  <c r="AA35" i="39"/>
  <c r="S35" i="39"/>
  <c r="AB39" i="40"/>
  <c r="U39" i="40"/>
  <c r="U27" i="39"/>
  <c r="AB27" i="39"/>
  <c r="AA40" i="37"/>
  <c r="S40" i="37"/>
  <c r="AB40" i="37"/>
  <c r="U40" i="37"/>
  <c r="AA11" i="36"/>
  <c r="S11" i="36"/>
  <c r="W11" i="36"/>
  <c r="AC11" i="36"/>
  <c r="W23" i="35"/>
  <c r="AC23" i="35"/>
  <c r="AB12" i="21"/>
  <c r="U12" i="21"/>
  <c r="AB30" i="33"/>
  <c r="U30" i="33"/>
  <c r="AB29" i="34"/>
  <c r="U29" i="34"/>
  <c r="U13" i="35"/>
  <c r="AB13" i="35"/>
  <c r="AB12" i="40"/>
  <c r="U12" i="40"/>
  <c r="AA14" i="40"/>
  <c r="S14" i="40"/>
  <c r="AB32" i="40"/>
  <c r="U32" i="40"/>
  <c r="AA37" i="39"/>
  <c r="S37" i="39"/>
  <c r="W31" i="39"/>
  <c r="AC31" i="39"/>
  <c r="AB31" i="39"/>
  <c r="U31" i="39"/>
  <c r="W13" i="34"/>
  <c r="AC13" i="34"/>
  <c r="AB46" i="33"/>
  <c r="U46" i="33"/>
  <c r="AC46" i="33"/>
  <c r="W46" i="33"/>
  <c r="AC44" i="33"/>
  <c r="W44" i="33"/>
  <c r="AC26" i="33"/>
  <c r="W26" i="33"/>
  <c r="U17" i="39"/>
  <c r="AC25" i="39"/>
  <c r="W25" i="39"/>
  <c r="AC21" i="39"/>
  <c r="W21" i="39"/>
  <c r="W17" i="39"/>
  <c r="AC17" i="39"/>
  <c r="F48" i="68"/>
  <c r="C30" i="68"/>
  <c r="C48" i="68"/>
  <c r="E27" i="6"/>
  <c r="K19" i="6" s="1"/>
  <c r="E106" i="43"/>
  <c r="E102" i="43"/>
  <c r="E103" i="43"/>
  <c r="M102" i="43"/>
  <c r="M103" i="43"/>
  <c r="M106" i="43"/>
  <c r="E62" i="39"/>
  <c r="K21" i="6"/>
  <c r="M21" i="6" s="1"/>
  <c r="I21" i="6" s="1"/>
  <c r="K25" i="6"/>
  <c r="M25" i="6" s="1"/>
  <c r="I25" i="6" s="1"/>
  <c r="S25" i="6" s="1"/>
  <c r="E60" i="40"/>
  <c r="E65" i="39"/>
  <c r="J104" i="43"/>
  <c r="J107" i="43"/>
  <c r="J102" i="43"/>
  <c r="J106" i="43"/>
  <c r="J105" i="43"/>
  <c r="J109" i="43"/>
  <c r="J103" i="43"/>
  <c r="N102" i="43"/>
  <c r="N105" i="43"/>
  <c r="N107" i="43"/>
  <c r="N106" i="43"/>
  <c r="N104" i="43"/>
  <c r="N109" i="43"/>
  <c r="N103" i="43"/>
  <c r="H107" i="43"/>
  <c r="H106" i="43"/>
  <c r="H105" i="43"/>
  <c r="H102" i="43"/>
  <c r="H104" i="43"/>
  <c r="H109" i="43"/>
  <c r="H103"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G118" i="43"/>
  <c r="H118" i="43" s="1"/>
  <c r="D116" i="43"/>
  <c r="E116" i="43" s="1"/>
  <c r="F116" i="43" s="1"/>
  <c r="G116" i="43" s="1"/>
  <c r="H116" i="43" s="1"/>
  <c r="B118" i="43"/>
  <c r="C118" i="43" s="1"/>
  <c r="I116" i="43"/>
  <c r="J116" i="43" s="1"/>
  <c r="K116" i="43" s="1"/>
  <c r="L116" i="43" s="1"/>
  <c r="M116" i="43" s="1"/>
  <c r="K26" i="6"/>
  <c r="M26" i="6" s="1"/>
  <c r="I26" i="6" s="1"/>
  <c r="H6" i="3"/>
  <c r="AC6" i="3"/>
  <c r="E58" i="40"/>
  <c r="E63" i="39"/>
  <c r="E16" i="6"/>
  <c r="G105" i="43"/>
  <c r="G107" i="43"/>
  <c r="G104" i="43"/>
  <c r="G109" i="43"/>
  <c r="G106" i="43"/>
  <c r="G102" i="43"/>
  <c r="G103" i="43"/>
  <c r="K103" i="43"/>
  <c r="K102" i="43"/>
  <c r="K106" i="43"/>
  <c r="K104" i="43"/>
  <c r="K109" i="43"/>
  <c r="K107" i="43"/>
  <c r="K105" i="43"/>
  <c r="D22" i="43"/>
  <c r="C104" i="43"/>
  <c r="C106" i="43"/>
  <c r="C107" i="43"/>
  <c r="C103" i="43"/>
  <c r="C102" i="43"/>
  <c r="C109" i="43"/>
  <c r="C105" i="43"/>
  <c r="F104" i="43"/>
  <c r="F102" i="43"/>
  <c r="F103" i="43"/>
  <c r="F107" i="43"/>
  <c r="F109" i="43"/>
  <c r="F106" i="43"/>
  <c r="F105" i="43"/>
  <c r="P8" i="1"/>
  <c r="S21" i="6"/>
  <c r="G36" i="43"/>
  <c r="I36" i="43" s="1"/>
  <c r="G35" i="43"/>
  <c r="I35" i="43" s="1"/>
  <c r="J7" i="37"/>
  <c r="H7" i="36"/>
  <c r="F7" i="34"/>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E29" i="43"/>
  <c r="E38" i="43"/>
  <c r="G38" i="43"/>
  <c r="I38" i="43" s="1"/>
  <c r="G34" i="43"/>
  <c r="I34" i="43" s="1"/>
  <c r="E34" i="43"/>
  <c r="G33" i="43"/>
  <c r="I33" i="43" s="1"/>
  <c r="E33" i="43"/>
  <c r="C26" i="43" s="1"/>
  <c r="Q60" i="67"/>
  <c r="Q73" i="67"/>
  <c r="M28" i="43"/>
  <c r="N28" i="43"/>
  <c r="O28" i="43"/>
  <c r="P28" i="43"/>
  <c r="M11" i="67"/>
  <c r="J10" i="67" s="1"/>
  <c r="F11" i="15"/>
  <c r="M11" i="15"/>
  <c r="F11" i="67"/>
  <c r="F1" i="15"/>
  <c r="Q52" i="15"/>
  <c r="F1" i="67"/>
  <c r="Q52" i="67"/>
  <c r="Q60" i="15"/>
  <c r="Q73" i="15"/>
  <c r="Q61" i="67"/>
  <c r="Q74" i="67"/>
  <c r="Q74" i="15"/>
  <c r="Q61" i="15"/>
  <c r="M29" i="15"/>
  <c r="C17" i="67"/>
  <c r="C16" i="67"/>
  <c r="F7" i="15"/>
  <c r="F43" i="15"/>
  <c r="AE6" i="1"/>
  <c r="C14" i="67"/>
  <c r="I29" i="77" l="1"/>
  <c r="F71" i="15"/>
  <c r="M7" i="15"/>
  <c r="J6" i="15" s="1"/>
  <c r="J18" i="15" s="1"/>
  <c r="C6" i="15"/>
  <c r="C32" i="15" s="1"/>
  <c r="F50" i="15"/>
  <c r="C49" i="15" s="1"/>
  <c r="K22" i="6"/>
  <c r="M22" i="6" s="1"/>
  <c r="I22" i="6" s="1"/>
  <c r="S22" i="6" s="1"/>
  <c r="M6" i="1"/>
  <c r="Q16" i="1"/>
  <c r="G16" i="1"/>
  <c r="H16" i="1"/>
  <c r="C38" i="69"/>
  <c r="C49" i="67"/>
  <c r="J5" i="67"/>
  <c r="J26" i="67" s="1"/>
  <c r="J29" i="67" s="1"/>
  <c r="C18" i="67"/>
  <c r="C15" i="67"/>
  <c r="E3" i="6"/>
  <c r="AY6" i="3"/>
  <c r="E61" i="39"/>
  <c r="E56" i="40"/>
  <c r="E51" i="40"/>
  <c r="E56" i="39"/>
  <c r="F27" i="6"/>
  <c r="F31" i="6" s="1"/>
  <c r="AC27" i="39"/>
  <c r="W27" i="39"/>
  <c r="C15" i="71"/>
  <c r="D16" i="71"/>
  <c r="C19" i="71"/>
  <c r="D19" i="71" s="1"/>
  <c r="D20" i="71"/>
  <c r="B12" i="71"/>
  <c r="B11" i="71" s="1"/>
  <c r="B10" i="71" s="1"/>
  <c r="B9" i="71" s="1"/>
  <c r="S13" i="71"/>
  <c r="E64" i="39"/>
  <c r="E59" i="40"/>
  <c r="D49" i="71"/>
  <c r="T49" i="71"/>
  <c r="Q59" i="71"/>
  <c r="Q58" i="71"/>
  <c r="S26" i="6"/>
  <c r="S6" i="1"/>
  <c r="M19" i="6"/>
  <c r="I19" i="6" s="1"/>
  <c r="L18" i="9" s="1"/>
  <c r="E31" i="6"/>
  <c r="K23" i="6"/>
  <c r="M23" i="6" s="1"/>
  <c r="I23" i="6" s="1"/>
  <c r="S23" i="6" s="1"/>
  <c r="K20" i="6"/>
  <c r="M20" i="6" s="1"/>
  <c r="I20" i="6" s="1"/>
  <c r="K24" i="6"/>
  <c r="M24" i="6" s="1"/>
  <c r="I24" i="6" s="1"/>
  <c r="E6" i="3"/>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10" i="67"/>
  <c r="C5" i="67" s="1"/>
  <c r="C53" i="15"/>
  <c r="C10" i="15"/>
  <c r="C5" i="15" s="1"/>
  <c r="F25" i="12"/>
  <c r="F22" i="69"/>
  <c r="F41" i="69" s="1"/>
  <c r="F24" i="67"/>
  <c r="C24" i="67" s="1"/>
  <c r="F22" i="11"/>
  <c r="F22" i="68"/>
  <c r="F24" i="15"/>
  <c r="C24" i="15" s="1"/>
  <c r="F41" i="15"/>
  <c r="C17" i="15"/>
  <c r="C16" i="15"/>
  <c r="E6" i="76"/>
  <c r="C48" i="15" l="1"/>
  <c r="C60" i="15" s="1"/>
  <c r="C48" i="67"/>
  <c r="J10" i="15"/>
  <c r="J5" i="15" s="1"/>
  <c r="J24" i="15" s="1"/>
  <c r="J24" i="67"/>
  <c r="E66" i="39"/>
  <c r="F27" i="68"/>
  <c r="F27" i="11"/>
  <c r="F27" i="69"/>
  <c r="F28" i="12"/>
  <c r="C29" i="12" s="1"/>
  <c r="D28" i="12" s="1"/>
  <c r="F10" i="40"/>
  <c r="J10" i="39"/>
  <c r="J10" i="40"/>
  <c r="F10" i="39"/>
  <c r="H10" i="40"/>
  <c r="H10" i="39"/>
  <c r="O6" i="1"/>
  <c r="M16" i="1"/>
  <c r="C19" i="67"/>
  <c r="C20" i="67" s="1"/>
  <c r="C26" i="67" s="1"/>
  <c r="J26" i="15"/>
  <c r="E6" i="70"/>
  <c r="E2" i="70" s="1"/>
  <c r="B8" i="71"/>
  <c r="B7" i="71" s="1"/>
  <c r="B6" i="71" s="1"/>
  <c r="B5" i="71" s="1"/>
  <c r="S9" i="71"/>
  <c r="D15" i="71"/>
  <c r="C14" i="71"/>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AY303" i="3"/>
  <c r="AY103"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96" i="3"/>
  <c r="AY74" i="3"/>
  <c r="AY204" i="3"/>
  <c r="AY363" i="3"/>
  <c r="AY470" i="3"/>
  <c r="AY409" i="3"/>
  <c r="AY180" i="3"/>
  <c r="AY228" i="3"/>
  <c r="AY358" i="3"/>
  <c r="AY465" i="3"/>
  <c r="AY433" i="3"/>
  <c r="BK6" i="3"/>
  <c r="AY541" i="3"/>
  <c r="AY108" i="3"/>
  <c r="AY45" i="3"/>
  <c r="AY28" i="3"/>
  <c r="AY201" i="3"/>
  <c r="AY138"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07" i="3"/>
  <c r="AY341" i="3"/>
  <c r="AY449" i="3"/>
  <c r="AY580" i="3"/>
  <c r="AY552" i="3"/>
  <c r="AY81" i="3"/>
  <c r="AY153" i="3"/>
  <c r="AY361" i="3"/>
  <c r="AY479" i="3"/>
  <c r="AY415" i="3"/>
  <c r="AY551" i="3"/>
  <c r="AY493" i="3"/>
  <c r="AY62" i="3"/>
  <c r="AY140" i="3"/>
  <c r="AY296" i="3"/>
  <c r="AY394" i="3"/>
  <c r="AY330" i="3"/>
  <c r="AY440" i="3"/>
  <c r="AY528" i="3"/>
  <c r="AY102" i="3"/>
  <c r="AY22" i="3"/>
  <c r="AY175" i="3"/>
  <c r="AY257" i="3"/>
  <c r="AY386" i="3"/>
  <c r="AY322" i="3"/>
  <c r="AY400" i="3"/>
  <c r="AY583" i="3"/>
  <c r="AY50" i="3"/>
  <c r="AY261" i="3"/>
  <c r="AY473" i="3"/>
  <c r="AY26" i="3"/>
  <c r="AY372" i="3"/>
  <c r="AY420" i="3"/>
  <c r="AY533" i="3"/>
  <c r="AY61" i="3"/>
  <c r="AY190" i="3"/>
  <c r="AY133"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83" i="3"/>
  <c r="AY319" i="3"/>
  <c r="AY529" i="3"/>
  <c r="AY217" i="3"/>
  <c r="AY401" i="3"/>
  <c r="BE6" i="3"/>
  <c r="AY76" i="3"/>
  <c r="AY185" i="3"/>
  <c r="AY134" i="3"/>
  <c r="AY286" i="3"/>
  <c r="AY270" i="3"/>
  <c r="AY227" i="3"/>
  <c r="AY373" i="3"/>
  <c r="BB6" i="3"/>
  <c r="AY72" i="3"/>
  <c r="AY181" i="3"/>
  <c r="AY121" i="3"/>
  <c r="AY215" i="3"/>
  <c r="AY309" i="3"/>
  <c r="AY480" i="3"/>
  <c r="AY406" i="3"/>
  <c r="AY572" i="3"/>
  <c r="AY543" i="3"/>
  <c r="AY523" i="3"/>
  <c r="AY174" i="3"/>
  <c r="AY267" i="3"/>
  <c r="AY337" i="3"/>
  <c r="AY476" i="3"/>
  <c r="AY402" i="3"/>
  <c r="AY538" i="3"/>
  <c r="AY545" i="3"/>
  <c r="AY110" i="3"/>
  <c r="AY30" i="3"/>
  <c r="AY172" i="3"/>
  <c r="AY301" i="3"/>
  <c r="AY233" i="3"/>
  <c r="AY383" i="3"/>
  <c r="AY315" i="3"/>
  <c r="AY451" i="3"/>
  <c r="AY421" i="3"/>
  <c r="AY547" i="3"/>
  <c r="AY107" i="3"/>
  <c r="AY54" i="3"/>
  <c r="AY164" i="3"/>
  <c r="AY136" i="3"/>
  <c r="AY272" i="3"/>
  <c r="AY375" i="3"/>
  <c r="AY307" i="3"/>
  <c r="AY474" i="3"/>
  <c r="AY413" i="3"/>
  <c r="AY566" i="3"/>
  <c r="AY98"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67" i="3"/>
  <c r="AY139" i="3"/>
  <c r="AY123" i="3"/>
  <c r="AY252" i="3"/>
  <c r="AY318" i="3"/>
  <c r="AY428" i="3"/>
  <c r="AY106" i="3"/>
  <c r="AY245" i="3"/>
  <c r="AY395" i="3"/>
  <c r="AY342" i="3"/>
  <c r="AY452" i="3"/>
  <c r="AY513" i="3"/>
  <c r="AY569" i="3"/>
  <c r="AY553" i="3"/>
  <c r="AY77" i="3"/>
  <c r="AY60" i="3"/>
  <c r="AY206" i="3"/>
  <c r="AY170" i="3"/>
  <c r="AY149"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463" i="3"/>
  <c r="AY275" i="3"/>
  <c r="AY483" i="3"/>
  <c r="AY419" i="3"/>
  <c r="AY536" i="3"/>
  <c r="AY532" i="3"/>
  <c r="AY21" i="3"/>
  <c r="AY250" i="3"/>
  <c r="AY305" i="3"/>
  <c r="AY445" i="3"/>
  <c r="AY522" i="3"/>
  <c r="BP6" i="3"/>
  <c r="AY79" i="3"/>
  <c r="AY203" i="3"/>
  <c r="AY120" i="3"/>
  <c r="AY248" i="3"/>
  <c r="AY359" i="3"/>
  <c r="AY482" i="3"/>
  <c r="AY500" i="3"/>
  <c r="AY576" i="3"/>
  <c r="AY39" i="3"/>
  <c r="AY195" i="3"/>
  <c r="AY293" i="3"/>
  <c r="AY240" i="3"/>
  <c r="AY339" i="3"/>
  <c r="AY443" i="3"/>
  <c r="AY521" i="3"/>
  <c r="AY567" i="3"/>
  <c r="AY289" i="3"/>
  <c r="AY209" i="3"/>
  <c r="AY441" i="3"/>
  <c r="AY260" i="3"/>
  <c r="AY310" i="3"/>
  <c r="AY549" i="3"/>
  <c r="AY97" i="3"/>
  <c r="AY44" i="3"/>
  <c r="AY154"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60" i="3"/>
  <c r="AY284" i="3"/>
  <c r="AY460" i="3"/>
  <c r="AY300" i="3"/>
  <c r="AY327" i="3"/>
  <c r="AY544" i="3"/>
  <c r="AY92" i="3"/>
  <c r="AY33" i="3"/>
  <c r="AY165" i="3"/>
  <c r="AY291" i="3"/>
  <c r="AY255" i="3"/>
  <c r="AY238" i="3"/>
  <c r="AY384" i="3"/>
  <c r="AY368" i="3"/>
  <c r="AY88" i="3"/>
  <c r="AY29" i="3"/>
  <c r="AY161" i="3"/>
  <c r="AY258" i="3"/>
  <c r="AY370" i="3"/>
  <c r="AY324" i="3"/>
  <c r="AY438" i="3"/>
  <c r="AY503" i="3"/>
  <c r="AY520" i="3"/>
  <c r="AY496" i="3"/>
  <c r="AY64" i="3"/>
  <c r="AY113" i="3"/>
  <c r="AY396" i="3"/>
  <c r="AY320" i="3"/>
  <c r="AY434" i="3"/>
  <c r="AY505" i="3"/>
  <c r="AY515" i="3"/>
  <c r="AY563" i="3"/>
  <c r="AY47" i="3"/>
  <c r="AY19" i="3"/>
  <c r="AY151" i="3"/>
  <c r="AY265" i="3"/>
  <c r="AY216" i="3"/>
  <c r="AY347" i="3"/>
  <c r="AY485" i="3"/>
  <c r="AY408" i="3"/>
  <c r="AY13" i="3"/>
  <c r="AY568" i="3"/>
  <c r="AY71" i="3"/>
  <c r="AY200" i="3"/>
  <c r="AY143" i="3"/>
  <c r="AY288" i="3"/>
  <c r="AY208" i="3"/>
  <c r="AY351" i="3"/>
  <c r="AY477" i="3"/>
  <c r="AY432" i="3"/>
  <c r="AY15" i="3"/>
  <c r="BT6" i="3"/>
  <c r="C17" i="4"/>
  <c r="B4" i="52" s="1"/>
  <c r="B43" i="72" s="1"/>
  <c r="D3" i="21"/>
  <c r="D3" i="37"/>
  <c r="D3" i="33"/>
  <c r="D37" i="11"/>
  <c r="C37" i="11" s="1"/>
  <c r="E6" i="6"/>
  <c r="D3" i="34"/>
  <c r="D19" i="11"/>
  <c r="C19" i="11" s="1"/>
  <c r="C24" i="11" s="1"/>
  <c r="D14" i="12"/>
  <c r="F69" i="15"/>
  <c r="J29" i="15"/>
  <c r="M27" i="6"/>
  <c r="K27" i="6"/>
  <c r="H23" i="6"/>
  <c r="S20" i="6"/>
  <c r="H20" i="6"/>
  <c r="H24" i="6"/>
  <c r="S24" i="6"/>
  <c r="AQ6" i="1"/>
  <c r="S16" i="1"/>
  <c r="AR6" i="1"/>
  <c r="T6" i="1"/>
  <c r="C19" i="68"/>
  <c r="C24" i="68" s="1"/>
  <c r="S19" i="6"/>
  <c r="I27" i="6"/>
  <c r="H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E2" i="76"/>
  <c r="B2" i="43"/>
  <c r="C26" i="69"/>
  <c r="D22" i="69" s="1"/>
  <c r="C44" i="69"/>
  <c r="D41" i="69" s="1"/>
  <c r="C44" i="68"/>
  <c r="D41" i="68" s="1"/>
  <c r="C26" i="68"/>
  <c r="D22" i="68" s="1"/>
  <c r="C26" i="12"/>
  <c r="D25" i="12" s="1"/>
  <c r="C44" i="11"/>
  <c r="D41" i="11" s="1"/>
  <c r="C23" i="11"/>
  <c r="C26" i="11"/>
  <c r="D22" i="11" s="1"/>
  <c r="C38" i="67"/>
  <c r="C38" i="15"/>
  <c r="C66" i="67"/>
  <c r="C60" i="67"/>
  <c r="B6" i="76"/>
  <c r="C14" i="15"/>
  <c r="C66" i="15" l="1"/>
  <c r="P6" i="1"/>
  <c r="P16" i="1" s="1"/>
  <c r="C11" i="12" s="1"/>
  <c r="O16" i="1"/>
  <c r="AB10" i="40"/>
  <c r="U10" i="40"/>
  <c r="AC10" i="40"/>
  <c r="W10" i="40"/>
  <c r="S10" i="40"/>
  <c r="AA10" i="40"/>
  <c r="C29" i="69"/>
  <c r="D27" i="69" s="1"/>
  <c r="F45" i="69"/>
  <c r="C47" i="69"/>
  <c r="D45" i="69" s="1"/>
  <c r="F45" i="68"/>
  <c r="C29" i="68"/>
  <c r="D27" i="68" s="1"/>
  <c r="C47" i="68"/>
  <c r="D45" i="68" s="1"/>
  <c r="C34" i="68"/>
  <c r="N16" i="1"/>
  <c r="L16" i="1"/>
  <c r="C34" i="11"/>
  <c r="U10" i="39"/>
  <c r="AB10" i="39"/>
  <c r="S10" i="39"/>
  <c r="AA10" i="39"/>
  <c r="W10" i="39"/>
  <c r="AC10" i="39"/>
  <c r="C29" i="11"/>
  <c r="D27" i="11" s="1"/>
  <c r="C47" i="11"/>
  <c r="D45" i="11" s="1"/>
  <c r="B2" i="34"/>
  <c r="B3" i="34" s="1"/>
  <c r="S27" i="6"/>
  <c r="C23" i="67"/>
  <c r="C29" i="67" s="1"/>
  <c r="C36" i="67" s="1"/>
  <c r="C18" i="15"/>
  <c r="C15" i="15"/>
  <c r="T16" i="1"/>
  <c r="C20" i="11"/>
  <c r="C25" i="11" s="1"/>
  <c r="C22" i="11" s="1"/>
  <c r="C28" i="11"/>
  <c r="C27" i="11" s="1"/>
  <c r="D10" i="69"/>
  <c r="D20" i="12"/>
  <c r="C20" i="12" s="1"/>
  <c r="D10" i="11"/>
  <c r="C10" i="11" s="1"/>
  <c r="D10" i="68"/>
  <c r="D15" i="6"/>
  <c r="D13" i="6"/>
  <c r="H25" i="6"/>
  <c r="H21" i="6"/>
  <c r="D25" i="6"/>
  <c r="R25" i="6" s="1"/>
  <c r="D8" i="6"/>
  <c r="D29" i="6"/>
  <c r="C18" i="4"/>
  <c r="D9" i="6"/>
  <c r="D10" i="6"/>
  <c r="D12" i="6"/>
  <c r="E61" i="40"/>
  <c r="D24" i="6"/>
  <c r="D14" i="6"/>
  <c r="H26" i="6"/>
  <c r="H22" i="6"/>
  <c r="D26" i="6"/>
  <c r="R26" i="6" s="1"/>
  <c r="D5" i="6"/>
  <c r="D19" i="6"/>
  <c r="D23" i="6"/>
  <c r="R23" i="6" s="1"/>
  <c r="D20" i="6"/>
  <c r="R20" i="6" s="1"/>
  <c r="D28" i="6"/>
  <c r="D30" i="6" s="1"/>
  <c r="D21" i="6"/>
  <c r="D11" i="6"/>
  <c r="D22" i="6"/>
  <c r="D6" i="6"/>
  <c r="C13" i="71"/>
  <c r="D14" i="71"/>
  <c r="R24" i="6"/>
  <c r="D17" i="12"/>
  <c r="C17" i="12" s="1"/>
  <c r="C14" i="12"/>
  <c r="C91" i="9"/>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H27" i="6" l="1"/>
  <c r="F50" i="69"/>
  <c r="F50" i="68"/>
  <c r="F50" i="11"/>
  <c r="C38" i="68"/>
  <c r="C35" i="68"/>
  <c r="C38" i="11"/>
  <c r="C35" i="11"/>
  <c r="C15" i="12"/>
  <c r="C12" i="12"/>
  <c r="C57" i="67"/>
  <c r="C64" i="67" s="1"/>
  <c r="C33" i="67"/>
  <c r="C31" i="67" s="1"/>
  <c r="J59" i="67"/>
  <c r="J60" i="67" s="1"/>
  <c r="L46" i="67" s="1"/>
  <c r="C13" i="67"/>
  <c r="C56" i="67" s="1"/>
  <c r="C65" i="67" s="1"/>
  <c r="C31" i="11"/>
  <c r="R21" i="6"/>
  <c r="Q49" i="67"/>
  <c r="J19" i="67"/>
  <c r="J17" i="67" s="1"/>
  <c r="J14" i="67"/>
  <c r="J13" i="67" s="1"/>
  <c r="J23" i="67" s="1"/>
  <c r="C19" i="15"/>
  <c r="C20" i="15" s="1"/>
  <c r="C26" i="15" s="1"/>
  <c r="A7" i="51"/>
  <c r="B7" i="72" s="1"/>
  <c r="A10" i="51"/>
  <c r="B9" i="72" s="1"/>
  <c r="C4" i="52"/>
  <c r="B45" i="72" s="1"/>
  <c r="D16" i="6"/>
  <c r="C10" i="68"/>
  <c r="B29" i="1" s="1"/>
  <c r="C8" i="68" s="1"/>
  <c r="D19" i="68"/>
  <c r="D37" i="68" s="1"/>
  <c r="C37" i="68" s="1"/>
  <c r="C12" i="71"/>
  <c r="T13" i="71"/>
  <c r="D13" i="71"/>
  <c r="U13" i="71" s="1"/>
  <c r="R22" i="6"/>
  <c r="C38" i="39"/>
  <c r="M19" i="9"/>
  <c r="C118" i="9" s="1"/>
  <c r="C14" i="74" s="1"/>
  <c r="B2" i="74" s="1"/>
  <c r="D7" i="74" s="1"/>
  <c r="L19" i="9"/>
  <c r="D27" i="6"/>
  <c r="D31" i="6" s="1"/>
  <c r="C10" i="69"/>
  <c r="C8" i="69" s="1"/>
  <c r="C5" i="69" s="1"/>
  <c r="C23" i="69" s="1"/>
  <c r="D19" i="69"/>
  <c r="C92" i="9"/>
  <c r="R27" i="6"/>
  <c r="R6" i="1"/>
  <c r="K70" i="39"/>
  <c r="L68" i="39"/>
  <c r="I63" i="40"/>
  <c r="H65" i="40"/>
  <c r="I58" i="21"/>
  <c r="J58" i="21" s="1"/>
  <c r="K58" i="21" s="1"/>
  <c r="L58" i="21" s="1"/>
  <c r="M58" i="21" s="1"/>
  <c r="N58" i="21" s="1"/>
  <c r="O58" i="21" s="1"/>
  <c r="H7" i="21" s="1"/>
  <c r="J7" i="21"/>
  <c r="F7" i="21"/>
  <c r="J48" i="35"/>
  <c r="M21" i="15"/>
  <c r="F35" i="15"/>
  <c r="C33" i="68" l="1"/>
  <c r="C42" i="68" s="1"/>
  <c r="C16" i="12"/>
  <c r="C33" i="11"/>
  <c r="C39" i="11" s="1"/>
  <c r="C42" i="11"/>
  <c r="C61" i="67"/>
  <c r="C59" i="67" s="1"/>
  <c r="C58" i="67" s="1"/>
  <c r="C67" i="67" s="1"/>
  <c r="C68" i="67" s="1"/>
  <c r="C18" i="12"/>
  <c r="C21" i="12" s="1"/>
  <c r="C22" i="12" s="1"/>
  <c r="C30" i="12" s="1"/>
  <c r="C28" i="12" s="1"/>
  <c r="C37" i="67"/>
  <c r="C30" i="67" s="1"/>
  <c r="C39" i="67" s="1"/>
  <c r="C40" i="67" s="1"/>
  <c r="C75" i="67"/>
  <c r="Q70" i="67"/>
  <c r="Q48" i="67"/>
  <c r="J22" i="67"/>
  <c r="J16" i="67" s="1"/>
  <c r="J25" i="67" s="1"/>
  <c r="J38" i="39"/>
  <c r="F38" i="39"/>
  <c r="H38" i="39"/>
  <c r="C11" i="71"/>
  <c r="D12" i="71"/>
  <c r="C39" i="68"/>
  <c r="C23" i="15"/>
  <c r="C29" i="15" s="1"/>
  <c r="D37" i="69"/>
  <c r="C37" i="69" s="1"/>
  <c r="C33" i="69" s="1"/>
  <c r="C19" i="69"/>
  <c r="I5" i="6"/>
  <c r="I6" i="6"/>
  <c r="J20" i="15"/>
  <c r="F63" i="15"/>
  <c r="C62" i="15" s="1"/>
  <c r="C34" i="15"/>
  <c r="C31" i="15" s="1"/>
  <c r="R16" i="1"/>
  <c r="L70" i="39"/>
  <c r="M68" i="39"/>
  <c r="U7" i="21"/>
  <c r="AB7" i="21"/>
  <c r="T48" i="21" s="1"/>
  <c r="G48" i="21" s="1"/>
  <c r="S7" i="21"/>
  <c r="AA7" i="21"/>
  <c r="R48" i="21" s="1"/>
  <c r="J63" i="40"/>
  <c r="I65" i="40"/>
  <c r="K48" i="35"/>
  <c r="L48" i="35" s="1"/>
  <c r="M48" i="35" s="1"/>
  <c r="N48" i="35" s="1"/>
  <c r="O48" i="35" s="1"/>
  <c r="H7" i="35" s="1"/>
  <c r="AC7" i="21"/>
  <c r="V48" i="21" s="1"/>
  <c r="I48" i="21" s="1"/>
  <c r="W7" i="21"/>
  <c r="L51" i="67"/>
  <c r="C46" i="11" l="1"/>
  <c r="C45" i="11" s="1"/>
  <c r="C43" i="11"/>
  <c r="C41" i="11" s="1"/>
  <c r="C80" i="67"/>
  <c r="C79" i="67" s="1"/>
  <c r="Q69" i="67"/>
  <c r="Q68" i="67" s="1"/>
  <c r="C27" i="12"/>
  <c r="C25" i="12" s="1"/>
  <c r="C32" i="12" s="1"/>
  <c r="B2" i="12" s="1"/>
  <c r="B3" i="12" s="1"/>
  <c r="C39" i="69"/>
  <c r="C43" i="69" s="1"/>
  <c r="C42" i="69"/>
  <c r="AB38" i="39"/>
  <c r="U38" i="39"/>
  <c r="W38" i="39"/>
  <c r="AC38" i="39"/>
  <c r="C20" i="69"/>
  <c r="C24" i="69"/>
  <c r="J14" i="15"/>
  <c r="C36" i="15"/>
  <c r="C13" i="15"/>
  <c r="J19" i="15"/>
  <c r="J17" i="15" s="1"/>
  <c r="C57" i="15"/>
  <c r="Q49" i="15"/>
  <c r="J59" i="15"/>
  <c r="J60" i="15" s="1"/>
  <c r="Q48" i="15" s="1"/>
  <c r="C46" i="68"/>
  <c r="C45" i="68" s="1"/>
  <c r="C43" i="68"/>
  <c r="C41" i="68" s="1"/>
  <c r="C10" i="71"/>
  <c r="D11" i="71"/>
  <c r="AA38" i="39"/>
  <c r="S38" i="39"/>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11" l="1"/>
  <c r="C51" i="11" s="1"/>
  <c r="C52" i="11" s="1"/>
  <c r="B2" i="11" s="1"/>
  <c r="B3" i="11" s="1"/>
  <c r="C41" i="69"/>
  <c r="C46" i="69"/>
  <c r="C45" i="69" s="1"/>
  <c r="C49" i="68"/>
  <c r="C51" i="68" s="1"/>
  <c r="C61" i="15"/>
  <c r="C59" i="15" s="1"/>
  <c r="C64" i="15"/>
  <c r="Q70" i="15"/>
  <c r="C75" i="15"/>
  <c r="C56" i="15"/>
  <c r="C65" i="15" s="1"/>
  <c r="C37" i="15"/>
  <c r="C30" i="15" s="1"/>
  <c r="C39" i="15" s="1"/>
  <c r="J13" i="15"/>
  <c r="J23" i="15" s="1"/>
  <c r="J22" i="15"/>
  <c r="C28" i="69"/>
  <c r="C27" i="69" s="1"/>
  <c r="C25" i="69"/>
  <c r="C22" i="69" s="1"/>
  <c r="C9" i="71"/>
  <c r="D10" i="7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56" i="11" l="1"/>
  <c r="C57" i="11" s="1"/>
  <c r="C49" i="69"/>
  <c r="C51" i="69" s="1"/>
  <c r="C31" i="69"/>
  <c r="J16" i="15"/>
  <c r="J25" i="15" s="1"/>
  <c r="Q69" i="15"/>
  <c r="Q68" i="15" s="1"/>
  <c r="C40" i="15"/>
  <c r="C8" i="71"/>
  <c r="T9" i="71"/>
  <c r="D9" i="71"/>
  <c r="U9" i="71" s="1"/>
  <c r="C58" i="15"/>
  <c r="C67" i="15" s="1"/>
  <c r="C68" i="15" s="1"/>
  <c r="C80" i="15"/>
  <c r="C79" i="15" s="1"/>
  <c r="H7" i="39"/>
  <c r="J7" i="39"/>
  <c r="AA7" i="39"/>
  <c r="R47" i="39" s="1"/>
  <c r="S7" i="39"/>
  <c r="R39" i="35"/>
  <c r="E38" i="35"/>
  <c r="M63" i="40"/>
  <c r="L65" i="40"/>
  <c r="L51" i="15"/>
  <c r="C52" i="69" l="1"/>
  <c r="B2" i="69" s="1"/>
  <c r="B3" i="69" s="1"/>
  <c r="Q67" i="15"/>
  <c r="C71" i="15"/>
  <c r="C46" i="15"/>
  <c r="D8" i="71"/>
  <c r="C7" i="71"/>
  <c r="Q56" i="15"/>
  <c r="Q62" i="15" s="1"/>
  <c r="Q47" i="15"/>
  <c r="Q53" i="15" s="1"/>
  <c r="Q65" i="15"/>
  <c r="Q75" i="15" s="1"/>
  <c r="C43" i="15"/>
  <c r="B2" i="15"/>
  <c r="C83" i="15"/>
  <c r="C82" i="15" s="1"/>
  <c r="E47" i="39"/>
  <c r="W7" i="39"/>
  <c r="AC7" i="39"/>
  <c r="V47" i="39" s="1"/>
  <c r="I47" i="39" s="1"/>
  <c r="U7" i="39"/>
  <c r="AB7" i="39"/>
  <c r="T47" i="39" s="1"/>
  <c r="G47" i="39" s="1"/>
  <c r="C39" i="35"/>
  <c r="B2" i="35" s="1"/>
  <c r="B3" i="35" s="1"/>
  <c r="C38" i="35"/>
  <c r="N63" i="40"/>
  <c r="M65" i="40"/>
  <c r="E43" i="35"/>
  <c r="F43" i="35" s="1"/>
  <c r="E42" i="35"/>
  <c r="F42" i="35" s="1"/>
  <c r="I43" i="35"/>
  <c r="J43" i="35" s="1"/>
  <c r="D19" i="9"/>
  <c r="AO6" i="1"/>
  <c r="C57" i="69" l="1"/>
  <c r="C56" i="69" s="1"/>
  <c r="B6" i="70"/>
  <c r="B2" i="70" s="1"/>
  <c r="B3" i="70" s="1"/>
  <c r="D102" i="9"/>
  <c r="D21" i="9"/>
  <c r="D7" i="71"/>
  <c r="C6" i="71"/>
  <c r="B3" i="15"/>
  <c r="R48" i="39"/>
  <c r="C48" i="39" s="1"/>
  <c r="E52" i="39"/>
  <c r="F52" i="39" s="1"/>
  <c r="E51" i="39"/>
  <c r="F51" i="39" s="1"/>
  <c r="G51" i="39"/>
  <c r="H51" i="39" s="1"/>
  <c r="G52" i="39"/>
  <c r="H52" i="39" s="1"/>
  <c r="I51" i="39"/>
  <c r="J51" i="39" s="1"/>
  <c r="I52" i="39"/>
  <c r="J52" i="39" s="1"/>
  <c r="O63" i="40"/>
  <c r="O65" i="40" s="1"/>
  <c r="N65" i="40"/>
  <c r="D20" i="9"/>
  <c r="D103" i="9" l="1"/>
  <c r="D6" i="71"/>
  <c r="C5" i="71"/>
  <c r="C47" i="39"/>
  <c r="B56" i="39"/>
  <c r="F56" i="39" s="1"/>
  <c r="C6" i="68" s="1"/>
  <c r="B57" i="39"/>
  <c r="F57" i="39" s="1"/>
  <c r="B64" i="39"/>
  <c r="F64" i="39" s="1"/>
  <c r="B58" i="39"/>
  <c r="F58" i="39" s="1"/>
  <c r="B65" i="39"/>
  <c r="F65" i="39" s="1"/>
  <c r="B63" i="39"/>
  <c r="F63" i="39" s="1"/>
  <c r="B61" i="39"/>
  <c r="F61" i="39" s="1"/>
  <c r="B59" i="39"/>
  <c r="F59" i="39" s="1"/>
  <c r="B60" i="39"/>
  <c r="F60" i="39" s="1"/>
  <c r="B62" i="39"/>
  <c r="F62" i="39" s="1"/>
  <c r="J7" i="40"/>
  <c r="F7" i="40"/>
  <c r="H7" i="40"/>
  <c r="D5" i="71" l="1"/>
  <c r="M20" i="43"/>
  <c r="C7" i="68"/>
  <c r="C5" i="68" s="1"/>
  <c r="F66" i="39"/>
  <c r="B2" i="39" s="1"/>
  <c r="B3" i="39" s="1"/>
  <c r="U7" i="40"/>
  <c r="AB7" i="40"/>
  <c r="T42" i="40" s="1"/>
  <c r="G42" i="40" s="1"/>
  <c r="AA7" i="40"/>
  <c r="R42" i="40" s="1"/>
  <c r="S7" i="40"/>
  <c r="AC7" i="40"/>
  <c r="V42" i="40" s="1"/>
  <c r="I42" i="40" s="1"/>
  <c r="W7" i="40"/>
  <c r="C23" i="68" l="1"/>
  <c r="C20" i="68"/>
  <c r="C25" i="68" s="1"/>
  <c r="I46" i="40"/>
  <c r="J46" i="40" s="1"/>
  <c r="R43" i="40"/>
  <c r="E42" i="40"/>
  <c r="G47" i="40"/>
  <c r="H47" i="40" s="1"/>
  <c r="G46" i="40"/>
  <c r="H46" i="40" s="1"/>
  <c r="C28" i="68" l="1"/>
  <c r="C27" i="68" s="1"/>
  <c r="C22" i="68"/>
  <c r="C42" i="40"/>
  <c r="C43" i="40"/>
  <c r="E47" i="40"/>
  <c r="F47" i="40" s="1"/>
  <c r="E46" i="40"/>
  <c r="F46" i="40" s="1"/>
  <c r="I47" i="40"/>
  <c r="J47" i="40" s="1"/>
  <c r="C31" i="68" l="1"/>
  <c r="C52" i="68" s="1"/>
  <c r="B2"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C57" i="68" l="1"/>
  <c r="C56" i="68" s="1"/>
  <c r="C102" i="9"/>
  <c r="C21" i="9"/>
  <c r="D22" i="9"/>
  <c r="G19" i="9"/>
  <c r="G21" i="9" s="1"/>
  <c r="B3" i="68"/>
  <c r="C20" i="9"/>
  <c r="D35" i="9"/>
  <c r="D34" i="9"/>
  <c r="C103" i="9" l="1"/>
  <c r="G20" i="9"/>
  <c r="C32" i="9" s="1"/>
  <c r="C35" i="9" l="1"/>
  <c r="H118" i="9"/>
  <c r="I118" i="9" l="1"/>
  <c r="C104" i="9"/>
  <c r="H101" i="9"/>
  <c r="D14" i="74"/>
  <c r="H119" i="9"/>
  <c r="H5" i="52" s="1"/>
  <c r="H4" i="52"/>
  <c r="C34" i="9"/>
  <c r="D118" i="9" s="1"/>
  <c r="F118" i="9"/>
  <c r="D4" i="52" l="1"/>
  <c r="B47" i="72" s="1"/>
  <c r="D119" i="9"/>
  <c r="D5" i="52" s="1"/>
  <c r="B49" i="72" s="1"/>
  <c r="G118" i="9"/>
  <c r="G4" i="52" s="1"/>
  <c r="B52" i="72" s="1"/>
  <c r="F4" i="52"/>
  <c r="B51" i="72" s="1"/>
  <c r="F119" i="9"/>
  <c r="F5" i="52" s="1"/>
  <c r="B53" i="72" s="1"/>
  <c r="F14" i="74"/>
  <c r="E14" i="74"/>
  <c r="B5" i="74"/>
  <c r="M48" i="9"/>
  <c r="D5" i="53"/>
  <c r="H107" i="9"/>
  <c r="D45" i="9"/>
  <c r="I4" i="52"/>
  <c r="H102" i="9"/>
  <c r="D7" i="53" s="1"/>
  <c r="B21" i="72" s="1"/>
  <c r="C105" i="9"/>
  <c r="D59" i="9"/>
  <c r="M55" i="9" s="1"/>
  <c r="E118" i="9" l="1"/>
  <c r="E4" i="52" s="1"/>
  <c r="B48" i="72" s="1"/>
  <c r="H108" i="9"/>
  <c r="D15" i="53" s="1"/>
  <c r="B31" i="72" s="1"/>
  <c r="M49" i="9"/>
  <c r="D13" i="53"/>
  <c r="D122" i="9"/>
  <c r="C72" i="9"/>
  <c r="C85" i="9"/>
  <c r="C93" i="9"/>
  <c r="C86" i="9" s="1"/>
  <c r="D55" i="9"/>
  <c r="M53" i="9" s="1"/>
  <c r="D53" i="9"/>
  <c r="D48" i="9" s="1"/>
  <c r="M52" i="9" s="1"/>
  <c r="C64" i="9"/>
  <c r="C63" i="9" s="1"/>
  <c r="C67" i="9" s="1"/>
  <c r="C68" i="9" s="1"/>
  <c r="D54" i="9" s="1"/>
  <c r="D52" i="9"/>
  <c r="C78" i="9"/>
  <c r="C73" i="9" s="1"/>
  <c r="B20" i="72"/>
  <c r="D6" i="53"/>
  <c r="B22" i="72" s="1"/>
  <c r="D5" i="74"/>
  <c r="C5" i="74"/>
  <c r="C79" i="9" l="1"/>
  <c r="C80" i="9" s="1"/>
  <c r="E80" i="9" s="1"/>
  <c r="E81" i="9" s="1"/>
  <c r="C95" i="9"/>
  <c r="C96" i="9" s="1"/>
  <c r="E96" i="9" s="1"/>
  <c r="E97" i="9" s="1"/>
  <c r="D123" i="9"/>
  <c r="D9" i="52" s="1"/>
  <c r="D8" i="52"/>
  <c r="G14" i="74"/>
  <c r="B6" i="74" s="1"/>
  <c r="L64" i="9"/>
  <c r="M64" i="9" s="1"/>
  <c r="L66" i="9"/>
  <c r="M66" i="9" s="1"/>
  <c r="L68" i="9"/>
  <c r="M68" i="9" s="1"/>
  <c r="L65" i="9"/>
  <c r="M65" i="9" s="1"/>
  <c r="L67" i="9"/>
  <c r="M67" i="9" s="1"/>
  <c r="L63" i="9"/>
  <c r="M63" i="9" s="1"/>
  <c r="B30" i="72"/>
  <c r="D14" i="53"/>
  <c r="B32" i="72" s="1"/>
  <c r="C97" i="9"/>
  <c r="D58" i="9" s="1"/>
  <c r="D56" i="9" s="1"/>
  <c r="M54" i="9" s="1"/>
  <c r="N57" i="9" s="1"/>
  <c r="N58" i="9" s="1"/>
  <c r="C81" i="9"/>
  <c r="M69" i="9" l="1"/>
  <c r="N69" i="9" s="1"/>
  <c r="D6" i="74"/>
  <c r="C6" i="74"/>
  <c r="P57" i="9"/>
  <c r="N59" i="9"/>
  <c r="N60" i="9" l="1"/>
  <c r="H111" i="9"/>
  <c r="N61" i="9"/>
  <c r="H112" i="9" s="1"/>
  <c r="D21" i="53" s="1"/>
  <c r="B39" i="72" s="1"/>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<sst xmlns="http://schemas.openxmlformats.org/spreadsheetml/2006/main" count="8295" uniqueCount="3435">
  <si>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</si>
  <si>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</si>
  <si>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</si>
  <si>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</si>
  <si>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</si>
  <si>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</si>
  <si>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</si>
  <si>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</si>
  <si>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</si>
  <si>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</si>
  <si>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</si>
  <si>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</si>
  <si>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</si>
  <si>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</si>
  <si>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</si>
  <si>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</si>
  <si>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</si>
  <si>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</si>
  <si>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</si>
  <si>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</si>
  <si>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</si>
  <si>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</si>
  <si>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</si>
  <si>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</si>
  <si>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</si>
  <si>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</si>
  <si>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</si>
  <si>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</si>
  <si>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</si>
  <si>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</si>
  <si>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</si>
  <si>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</si>
  <si>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</si>
  <si>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</si>
  <si>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</si>
  <si>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</si>
  <si>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</si>
  <si>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</si>
  <si>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</si>
  <si>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</si>
  <si>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</si>
  <si>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</si>
  <si>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</si>
  <si>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</si>
  <si>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</si>
  <si>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</si>
  <si>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</si>
  <si>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</si>
  <si>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</si>
  <si>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</si>
  <si>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</si>
  <si>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</si>
  <si>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</si>
  <si>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</si>
  <si>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</si>
  <si>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</si>
  <si>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</si>
  <si>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</si>
  <si>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</si>
  <si>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</si>
  <si>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</si>
  <si>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</si>
  <si>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</si>
  <si>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</si>
  <si>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</si>
  <si>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</si>
  <si>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</si>
  <si>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</si>
  <si>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</si>
  <si>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</si>
  <si>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</si>
  <si>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</si>
  <si>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</si>
  <si>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</si>
  <si>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</si>
  <si>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</si>
  <si>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</si>
  <si>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</si>
  <si>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</si>
  <si>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</si>
  <si>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</si>
  <si>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</si>
  <si>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</si>
  <si>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</si>
  <si>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</si>
  <si>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</si>
  <si>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</si>
  <si>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</si>
  <si>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</si>
  <si>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</si>
  <si>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</si>
  <si>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</si>
  <si>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</si>
  <si>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</si>
  <si>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</si>
  <si>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</si>
  <si>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</si>
  <si>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</si>
  <si>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</si>
  <si>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</si>
  <si>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</si>
  <si>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</si>
  <si>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</si>
  <si>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</si>
  <si>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</si>
  <si>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</si>
  <si>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</si>
  <si>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</si>
  <si>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</si>
  <si>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</si>
  <si>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</si>
  <si>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</si>
  <si>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</si>
  <si>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</si>
  <si>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</si>
  <si>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</si>
  <si>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</si>
  <si>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</si>
  <si>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</si>
  <si>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</si>
  <si>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</si>
  <si>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</si>
  <si>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</si>
  <si>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</si>
  <si>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</si>
  <si>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</si>
  <si>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</si>
  <si>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</si>
  <si>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</si>
  <si>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</si>
  <si>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</si>
  <si>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</si>
  <si>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</si>
  <si>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</si>
  <si>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</si>
  <si>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</si>
  <si>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</si>
  <si>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</si>
  <si>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</si>
  <si>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</si>
  <si>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</si>
  <si>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</si>
  <si>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</si>
  <si>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</si>
  <si>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</si>
  <si>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</si>
  <si>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</si>
  <si>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</si>
  <si>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</si>
  <si>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</si>
  <si>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</si>
  <si>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</si>
  <si>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</si>
  <si>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</si>
  <si>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</si>
  <si>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</si>
  <si>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</si>
  <si>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</si>
  <si>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</si>
  <si>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</si>
  <si>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</si>
  <si>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</si>
  <si>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</si>
  <si>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</si>
  <si>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</si>
  <si>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</si>
  <si>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</si>
  <si>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</si>
  <si>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</si>
  <si>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</si>
  <si>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</si>
  <si>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</si>
  <si>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</si>
  <si>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</si>
  <si>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</si>
  <si>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</si>
  <si>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</si>
  <si>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</si>
  <si>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</si>
  <si>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</si>
  <si>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</si>
  <si>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</si>
  <si>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</si>
  <si>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</si>
  <si>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</si>
  <si>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</si>
  <si>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</si>
  <si>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</si>
  <si>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</si>
  <si>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</si>
  <si>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</si>
  <si>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</si>
  <si>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</si>
  <si>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</si>
  <si>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</si>
  <si>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</si>
  <si>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</si>
  <si>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</si>
  <si>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</si>
  <si>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</si>
  <si>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</si>
  <si>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</si>
  <si>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</si>
  <si>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</si>
  <si>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</si>
  <si>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</si>
  <si>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</si>
  <si>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</si>
  <si>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</si>
  <si>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</si>
  <si>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</si>
  <si>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</si>
  <si>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</si>
  <si>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</si>
  <si>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</si>
  <si>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</si>
  <si>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</si>
  <si>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</si>
  <si>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</si>
  <si>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</si>
  <si>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</si>
  <si>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</si>
  <si>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</si>
  <si>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</si>
  <si>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</si>
  <si>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</si>
  <si>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</si>
  <si>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</si>
  <si>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</si>
  <si>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</si>
  <si>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</si>
  <si>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</si>
  <si>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</si>
  <si>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</si>
  <si>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</si>
  <si>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</si>
  <si>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</si>
  <si>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</si>
  <si>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</si>
  <si>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</si>
  <si>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</si>
  <si>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</si>
  <si>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</si>
  <si>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</si>
  <si>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</si>
  <si>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</si>
  <si>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</si>
  <si>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</si>
  <si>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</si>
  <si>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</si>
  <si>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</si>
  <si>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</si>
  <si>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</si>
  <si>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</si>
  <si>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</si>
  <si>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</si>
  <si>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</si>
  <si>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</si>
  <si>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</si>
  <si>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</si>
  <si>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</si>
  <si>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</si>
  <si>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</si>
  <si>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</si>
  <si>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</si>
  <si>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</si>
  <si>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</si>
  <si>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</si>
  <si>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</si>
  <si>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</si>
  <si>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</si>
  <si>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</si>
  <si>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</si>
  <si>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</si>
  <si>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</si>
  <si>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</si>
  <si>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</si>
  <si>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</si>
  <si>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</si>
  <si>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</si>
  <si>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</si>
  <si>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</si>
  <si>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</si>
  <si>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</si>
  <si>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</si>
  <si>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</si>
  <si>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</si>
  <si>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</si>
  <si>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</si>
  <si>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</si>
  <si>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</si>
  <si>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</si>
  <si>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</si>
  <si>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</si>
  <si>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</si>
  <si>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</si>
  <si>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</si>
  <si>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</si>
  <si>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</si>
  <si>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</si>
  <si>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</si>
  <si>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</si>
  <si>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</si>
  <si>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</si>
  <si>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</si>
  <si>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</si>
  <si>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</si>
  <si>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</si>
  <si>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</si>
  <si>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</si>
  <si>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</si>
  <si>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</si>
  <si>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</si>
  <si>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</si>
  <si>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</si>
  <si>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</si>
  <si>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</si>
  <si>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</si>
  <si>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</si>
  <si>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</si>
  <si>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</si>
  <si>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</si>
  <si>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</si>
  <si>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</si>
  <si>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</si>
  <si>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</si>
  <si>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</si>
  <si>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</si>
  <si>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</si>
  <si>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</si>
  <si>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</si>
  <si>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</si>
  <si>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</si>
  <si>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</si>
  <si>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</si>
  <si>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</si>
  <si>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</si>
  <si>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</si>
  <si>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</si>
  <si>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</si>
  <si>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</si>
  <si>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</si>
  <si>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</si>
  <si>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</si>
  <si>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</si>
  <si>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</si>
  <si>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</si>
  <si>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</si>
  <si>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</si>
  <si>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</si>
  <si>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</si>
  <si>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</si>
  <si>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</si>
  <si>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</si>
  <si>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</si>
  <si>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</si>
  <si>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</si>
  <si>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</si>
  <si>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</si>
  <si>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</si>
  <si>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</si>
  <si>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</si>
  <si>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</si>
  <si>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</si>
  <si>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</si>
  <si>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</si>
  <si>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</si>
  <si>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</si>
  <si>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</si>
  <si>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</si>
  <si>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</si>
  <si>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</si>
  <si>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</si>
  <si>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</si>
  <si>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</si>
  <si>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</si>
  <si>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</si>
  <si>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</si>
  <si>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</si>
  <si>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</si>
  <si>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</si>
  <si>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</si>
  <si>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</si>
  <si>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</si>
  <si>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</si>
  <si>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</si>
  <si>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</si>
  <si>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</si>
  <si>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</si>
  <si>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</si>
  <si>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</si>
  <si>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</si>
  <si>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</si>
  <si>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</si>
  <si>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</si>
  <si>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</si>
  <si>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</si>
  <si>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</si>
  <si>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</si>
  <si>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</si>
  <si>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</si>
  <si>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</si>
  <si>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</si>
  <si>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</si>
  <si>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</si>
  <si>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</si>
  <si>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</si>
  <si>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</si>
  <si>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</si>
  <si>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</si>
  <si>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</si>
  <si>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</si>
  <si>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</si>
  <si>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</si>
  <si>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</si>
  <si>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</si>
  <si>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</si>
  <si>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</si>
  <si>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</si>
  <si>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</si>
  <si>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</si>
  <si>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</si>
  <si>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</si>
  <si>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</si>
  <si>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</si>
  <si>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</si>
  <si>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</si>
  <si>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</si>
  <si>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</si>
  <si>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</si>
  <si>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</si>
  <si>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</si>
  <si>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</si>
  <si>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</si>
  <si>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</si>
  <si>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</si>
  <si>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</si>
  <si>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</si>
  <si>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</si>
  <si>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</si>
  <si>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</si>
  <si>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</si>
  <si>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</si>
  <si>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</si>
  <si>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</si>
  <si>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</si>
  <si>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</si>
  <si>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</si>
  <si>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</si>
  <si>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</si>
  <si>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</si>
  <si>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</si>
  <si>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</si>
  <si>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</si>
  <si>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</si>
  <si>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</si>
  <si>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</si>
  <si>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</si>
  <si>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</si>
  <si>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</si>
  <si>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</si>
  <si>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</si>
  <si>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</si>
  <si>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</si>
  <si>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</si>
  <si>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</si>
  <si>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</si>
  <si>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</si>
  <si>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</si>
  <si>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</si>
  <si>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</si>
  <si>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</si>
  <si>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</si>
  <si>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</si>
  <si>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</si>
  <si>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</si>
  <si>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</si>
  <si>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</si>
  <si>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</si>
  <si>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</si>
  <si>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</si>
  <si>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</si>
  <si>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</si>
  <si>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</si>
  <si>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</si>
  <si>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</si>
  <si>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</si>
  <si>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</si>
  <si>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</si>
  <si>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</si>
  <si>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</si>
  <si>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</si>
  <si>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</si>
  <si>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</si>
  <si>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</si>
  <si>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</si>
  <si>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</si>
  <si>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</si>
  <si>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</si>
  <si>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</si>
  <si>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</si>
  <si>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</si>
  <si>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</si>
  <si>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</si>
  <si>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</si>
  <si>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</si>
  <si>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</si>
  <si>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</si>
  <si>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</si>
  <si>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</si>
  <si>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</si>
  <si>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</si>
  <si>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</si>
  <si>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</si>
  <si>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</si>
  <si>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</si>
  <si>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</si>
  <si>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</si>
  <si>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</si>
  <si>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</si>
  <si>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</si>
  <si>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</si>
  <si>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</si>
  <si>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</si>
  <si>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</si>
  <si>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</si>
  <si>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</si>
  <si>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</si>
  <si>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</si>
  <si>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</si>
  <si>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</si>
  <si>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</si>
  <si>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</si>
  <si>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</si>
  <si>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</si>
  <si>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</si>
  <si>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</si>
  <si>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</si>
  <si>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</si>
  <si>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</si>
  <si>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</si>
  <si>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</si>
  <si>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</si>
  <si>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</si>
  <si>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</si>
  <si>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</si>
  <si>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</si>
  <si>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</si>
  <si>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</si>
  <si>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</si>
  <si>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</si>
  <si>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</si>
  <si>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</si>
  <si>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</si>
  <si>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</si>
  <si>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</si>
  <si>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</si>
  <si>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</si>
  <si>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</si>
  <si>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</si>
  <si>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</si>
  <si>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</si>
  <si>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</si>
  <si>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</si>
  <si>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</si>
  <si>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</si>
  <si>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</si>
  <si>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</si>
  <si>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</si>
  <si>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</si>
  <si>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</si>
  <si>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</si>
  <si>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</si>
  <si>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</si>
  <si>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</si>
  <si>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</si>
  <si>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</si>
  <si>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</si>
  <si>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</si>
  <si>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</si>
  <si>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</si>
  <si>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</si>
  <si>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</si>
  <si>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</si>
  <si>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</si>
  <si>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</si>
  <si>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</si>
  <si>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</si>
  <si>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</si>
  <si>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</si>
  <si>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</si>
  <si>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</si>
  <si>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</si>
  <si>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</si>
  <si>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</si>
  <si>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</si>
  <si>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</si>
  <si>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</si>
  <si>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</si>
  <si>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</si>
  <si>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</si>
  <si>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</si>
  <si>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</si>
  <si>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</si>
  <si>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</si>
  <si>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</si>
  <si>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</si>
  <si>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</si>
  <si>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</si>
  <si>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</si>
  <si>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</si>
  <si>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</si>
  <si>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</si>
  <si>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</si>
  <si>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</si>
  <si>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</si>
  <si>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</si>
  <si>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</si>
  <si>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</si>
  <si>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</si>
  <si>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</si>
  <si>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</si>
  <si>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</si>
  <si>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</si>
  <si>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</si>
  <si>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</si>
  <si>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</si>
  <si>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</si>
  <si>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</si>
  <si>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</si>
  <si>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</si>
  <si>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</si>
  <si>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</si>
  <si>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</si>
  <si>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</si>
  <si>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</si>
  <si>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</si>
  <si>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</si>
  <si>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</si>
  <si>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</si>
  <si>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</si>
  <si>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</si>
  <si>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</si>
  <si>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</si>
  <si>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</si>
  <si>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</si>
  <si>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</si>
  <si>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</si>
  <si>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</si>
  <si>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</si>
  <si>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</si>
  <si>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</si>
  <si>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</si>
  <si>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</si>
  <si>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</si>
  <si>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</si>
  <si>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</si>
  <si>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</si>
  <si>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</si>
  <si>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</si>
  <si>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</si>
  <si>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</si>
  <si>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</si>
  <si>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</si>
  <si>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</si>
  <si>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</si>
  <si>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</si>
  <si>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</si>
  <si>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</si>
  <si>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</si>
  <si>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</si>
  <si>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</si>
  <si>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</si>
  <si>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</si>
  <si>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</si>
  <si>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</si>
  <si>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</si>
  <si>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</si>
  <si>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</si>
  <si>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</si>
  <si>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</si>
  <si>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</si>
  <si>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</si>
  <si>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</si>
  <si>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</si>
  <si>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</si>
  <si>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</si>
  <si>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</si>
  <si>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</si>
  <si>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</si>
  <si>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</si>
  <si>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</si>
  <si>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</si>
  <si>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</si>
  <si>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</si>
  <si>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</si>
  <si>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</si>
  <si>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</si>
  <si>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</si>
  <si>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</si>
  <si>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</si>
  <si>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</si>
  <si>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</si>
  <si>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</si>
  <si>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</si>
  <si>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</si>
  <si>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</si>
  <si>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</si>
  <si>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</si>
  <si>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</si>
  <si>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</si>
  <si>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</si>
  <si>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</si>
  <si>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</si>
  <si>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</si>
  <si>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</si>
  <si>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</si>
  <si>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</si>
  <si>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</si>
  <si>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</si>
  <si>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</si>
  <si>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</si>
  <si>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</si>
  <si>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</si>
  <si>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</si>
  <si>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</si>
  <si>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</si>
  <si>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</si>
  <si>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</si>
  <si>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</si>
  <si>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</si>
  <si>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</si>
  <si>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</si>
  <si>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</si>
  <si>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</si>
  <si>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</si>
  <si>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</si>
  <si>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</si>
  <si>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</si>
  <si>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</si>
  <si>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</si>
  <si>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</si>
  <si>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</si>
  <si>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</si>
  <si>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</si>
  <si>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</si>
  <si>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</si>
  <si>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</si>
  <si>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</si>
  <si>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</si>
  <si>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</si>
  <si>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</si>
  <si>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</si>
  <si>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</si>
  <si>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</si>
  <si>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</si>
  <si>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</si>
  <si>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</si>
  <si>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</si>
  <si>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</si>
  <si>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</si>
  <si>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</si>
  <si>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</si>
  <si>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</si>
  <si>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</si>
  <si>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</si>
  <si>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</si>
  <si>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</si>
  <si>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</si>
  <si>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</si>
  <si>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</si>
  <si>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</si>
  <si>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</si>
  <si>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</si>
  <si>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</si>
  <si>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</si>
  <si>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</si>
  <si>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</si>
  <si>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</si>
  <si>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</si>
  <si>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</si>
  <si>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</si>
  <si>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</si>
  <si>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</si>
  <si>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</si>
  <si>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</si>
  <si>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</si>
  <si>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</si>
  <si>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</si>
  <si>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</si>
  <si>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</si>
  <si>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</si>
  <si>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</si>
  <si>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</si>
  <si>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</si>
  <si>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</si>
  <si>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</si>
  <si>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</si>
  <si>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</si>
  <si>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</si>
  <si>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</si>
  <si>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</si>
  <si>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</si>
  <si>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</si>
  <si>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</si>
  <si>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</si>
  <si>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</si>
  <si>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</si>
  <si>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</si>
  <si>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</si>
  <si>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</si>
  <si>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</si>
  <si>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</si>
  <si>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</si>
  <si>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</si>
  <si>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</si>
  <si>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</si>
  <si>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</si>
  <si>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</si>
  <si>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</si>
  <si>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</si>
  <si>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</si>
  <si>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</si>
  <si>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</si>
  <si>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</si>
  <si>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</si>
  <si>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</si>
  <si>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</si>
  <si>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</si>
  <si>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</si>
  <si>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</si>
  <si>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</si>
  <si>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</si>
  <si>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</si>
  <si>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</si>
  <si>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</si>
  <si>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</si>
  <si>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</si>
  <si>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</si>
  <si>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</si>
  <si>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</si>
  <si>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</si>
  <si>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</si>
  <si>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</si>
  <si>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</si>
  <si>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</si>
  <si>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</si>
  <si>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</si>
  <si>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</si>
  <si>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</si>
  <si>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</si>
  <si>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</si>
  <si>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</si>
  <si>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</si>
  <si>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</si>
  <si>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</si>
  <si>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</si>
  <si>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</si>
  <si>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</si>
  <si>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</si>
  <si>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</si>
  <si>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</si>
  <si>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</si>
  <si>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</si>
  <si>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</si>
  <si>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</si>
  <si>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</si>
  <si>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</si>
  <si>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</si>
  <si>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</si>
  <si>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</si>
  <si>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</si>
  <si>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</si>
  <si>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</si>
  <si>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</si>
  <si>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</si>
  <si>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</si>
  <si>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</si>
  <si>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</si>
  <si>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</si>
  <si>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</si>
  <si>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</si>
  <si>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</si>
  <si>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</si>
  <si>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</si>
  <si>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</si>
  <si>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</si>
  <si>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</si>
  <si>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</si>
  <si>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</si>
  <si>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</si>
  <si>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</si>
  <si>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</si>
  <si>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</si>
  <si>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</si>
  <si>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</si>
  <si>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</si>
  <si>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</si>
  <si>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</si>
  <si>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</si>
  <si>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</si>
  <si>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</si>
  <si>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</si>
  <si>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</si>
  <si>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</si>
  <si>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</si>
  <si>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</si>
  <si>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</si>
  <si>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</si>
  <si>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</si>
  <si>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</si>
  <si>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</si>
  <si>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</si>
  <si>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</si>
  <si>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</si>
  <si>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</si>
  <si>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</si>
  <si>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</si>
  <si>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</si>
  <si>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</si>
  <si>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</si>
  <si>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</si>
  <si>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</si>
  <si>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</si>
  <si>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</si>
  <si>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</si>
  <si>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</si>
  <si>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</si>
  <si>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</si>
  <si>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</si>
  <si>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</si>
  <si>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</si>
  <si>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</si>
  <si>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</si>
  <si>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</si>
  <si>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</si>
  <si>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</si>
  <si>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</si>
  <si>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</si>
  <si>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</si>
  <si>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</si>
  <si>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</si>
  <si>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</si>
  <si>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</si>
  <si>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</si>
  <si>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</si>
  <si>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</si>
  <si>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</si>
  <si>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</si>
  <si>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</si>
  <si>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</si>
  <si>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</si>
  <si>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</si>
  <si>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</si>
  <si>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</si>
  <si>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</si>
  <si>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</si>
  <si>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</si>
  <si>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</si>
  <si>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</si>
  <si>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</si>
  <si>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</si>
  <si>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</si>
  <si>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</si>
  <si>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</si>
  <si>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</si>
  <si>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</si>
  <si>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</si>
  <si>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</si>
  <si>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</si>
  <si>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</si>
  <si>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</si>
  <si>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</si>
  <si>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</si>
  <si>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</si>
  <si>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</si>
  <si>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</si>
  <si>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</si>
  <si>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</si>
  <si>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</si>
  <si>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</si>
  <si>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</si>
  <si>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</si>
  <si>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</si>
  <si>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</si>
  <si>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</si>
  <si>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</si>
  <si>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</si>
  <si>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</si>
  <si>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</si>
  <si>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</si>
  <si>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</si>
  <si>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</si>
  <si>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</si>
  <si>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</si>
  <si>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</si>
  <si>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</si>
  <si>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</si>
  <si>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</si>
  <si>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</si>
  <si>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</si>
  <si>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</si>
  <si>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</si>
  <si>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</si>
  <si>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</si>
  <si>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</si>
  <si>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</si>
  <si>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</si>
  <si>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</si>
  <si>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</si>
  <si>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</si>
  <si>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</si>
  <si>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</si>
  <si>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</si>
  <si>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</si>
  <si>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</si>
  <si>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</si>
  <si>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</si>
  <si>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</si>
  <si>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</si>
  <si>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</si>
  <si>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</si>
  <si>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</si>
  <si>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</si>
  <si>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</si>
  <si>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</si>
  <si>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</si>
  <si>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</si>
  <si>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</si>
  <si>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</si>
  <si>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</si>
  <si>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</si>
  <si>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</si>
  <si>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</si>
  <si>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</si>
  <si>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</si>
  <si>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</si>
  <si>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</si>
  <si>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</si>
  <si>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</si>
  <si>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</si>
  <si>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</si>
  <si>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</si>
  <si>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</si>
  <si>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</si>
  <si>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</si>
  <si>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</si>
  <si>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</si>
  <si>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</si>
  <si>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</si>
  <si>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</si>
  <si>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</si>
  <si>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</si>
  <si>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</si>
  <si>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</si>
  <si>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</si>
  <si>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</si>
  <si>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</si>
  <si>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</si>
  <si>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</si>
  <si>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</si>
  <si>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</si>
  <si>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</si>
  <si>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</si>
  <si>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</si>
  <si>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</si>
  <si>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</si>
  <si>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</si>
  <si>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</si>
  <si>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</si>
  <si>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</si>
  <si>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</si>
  <si>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</si>
  <si>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</si>
  <si>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</si>
  <si>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</si>
  <si>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</si>
  <si>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</si>
  <si>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</si>
  <si>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</si>
  <si>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</si>
  <si>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</si>
  <si>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</si>
  <si>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</si>
  <si>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</si>
  <si>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</si>
  <si>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</si>
  <si>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</si>
  <si>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</si>
  <si>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</si>
  <si>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</si>
  <si>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</si>
  <si>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</si>
  <si>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</si>
  <si>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</si>
  <si>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</si>
  <si>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</si>
  <si>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</si>
  <si>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</si>
  <si>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</si>
  <si>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</si>
  <si>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</si>
  <si>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</si>
  <si>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</si>
  <si>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</si>
  <si>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</si>
  <si>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</si>
  <si>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</si>
  <si>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</si>
  <si>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</si>
  <si>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</si>
  <si>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</si>
  <si>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</si>
  <si>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</si>
  <si>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</si>
  <si>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</si>
  <si>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</si>
  <si>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</si>
  <si>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</si>
  <si>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</si>
  <si>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</si>
  <si>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</si>
  <si>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</si>
  <si>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</si>
  <si>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</si>
  <si>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</si>
  <si>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</si>
  <si>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</si>
  <si>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</si>
  <si>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</si>
  <si>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</si>
  <si>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</si>
  <si>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</si>
  <si>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</si>
  <si>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</si>
  <si>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</si>
  <si>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</si>
  <si>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</si>
  <si>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</si>
  <si>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</si>
  <si>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</si>
  <si>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</si>
  <si>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</si>
  <si>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</si>
  <si>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</si>
  <si>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</si>
  <si>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</si>
  <si>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</si>
  <si>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</si>
  <si>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</si>
  <si>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</si>
  <si>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</si>
  <si>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</si>
  <si>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</si>
  <si>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</si>
  <si>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</si>
  <si>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</si>
  <si>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</si>
  <si>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</si>
  <si>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</si>
  <si>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</si>
  <si>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</si>
  <si>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</si>
  <si>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</si>
  <si>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</si>
  <si>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</si>
  <si>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</si>
  <si>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</si>
  <si>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</si>
  <si>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</si>
  <si>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</si>
  <si>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</si>
  <si>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</si>
  <si>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</si>
  <si>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</si>
  <si>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</si>
  <si>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</si>
  <si>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</si>
  <si>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</si>
  <si>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</si>
  <si>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</si>
  <si>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</si>
  <si>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</si>
  <si>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</si>
  <si>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</si>
  <si>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</si>
  <si>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</si>
  <si>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</si>
  <si>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</si>
  <si>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</si>
  <si>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</si>
  <si>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</si>
  <si>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</si>
  <si>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</si>
  <si>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</si>
  <si>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</si>
  <si>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</si>
  <si>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</si>
  <si>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</si>
  <si>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</si>
  <si>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</si>
  <si>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</si>
  <si>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</si>
  <si>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</si>
  <si>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</si>
  <si>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</si>
  <si>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</si>
  <si>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</si>
  <si>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</si>
  <si>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</si>
  <si>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</si>
  <si>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</si>
  <si>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</si>
  <si>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</si>
  <si>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</si>
  <si>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</si>
  <si>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</si>
  <si>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</si>
  <si>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</si>
  <si>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</si>
  <si>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</si>
  <si>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</si>
  <si>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</si>
  <si>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</si>
  <si>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</si>
  <si>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</si>
  <si>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</si>
  <si>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</si>
  <si>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</si>
  <si>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</si>
  <si>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</si>
  <si>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</si>
  <si>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</si>
  <si>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</si>
  <si>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</si>
  <si>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</si>
  <si>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</si>
  <si>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</si>
  <si>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</si>
  <si>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</si>
  <si>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</si>
  <si>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</si>
  <si>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</si>
  <si>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</si>
  <si>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</si>
  <si>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</si>
  <si>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</si>
  <si>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</si>
  <si>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</si>
  <si>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</si>
  <si>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</si>
  <si>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</si>
  <si>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</si>
  <si>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</si>
  <si>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</si>
  <si>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</si>
  <si>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</si>
  <si>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</si>
  <si>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</si>
  <si>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</si>
  <si>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</si>
  <si>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</si>
  <si>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</si>
  <si>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</si>
  <si>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</si>
  <si>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</si>
  <si>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</si>
  <si>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</si>
  <si>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</si>
  <si>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</si>
  <si>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</si>
  <si>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</si>
  <si>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</si>
  <si>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</si>
  <si>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</si>
  <si>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</si>
  <si>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</si>
  <si>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</si>
  <si>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</si>
  <si>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</si>
  <si>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</si>
  <si>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</si>
  <si>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</si>
  <si>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</si>
  <si>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</si>
  <si>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</si>
  <si>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</si>
  <si>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</si>
  <si>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</si>
  <si>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</si>
  <si>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</si>
  <si>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</si>
  <si>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</si>
  <si>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</si>
  <si>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</si>
  <si>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</si>
  <si>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</si>
  <si>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</si>
  <si>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</si>
  <si>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</si>
  <si>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</si>
  <si>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</si>
  <si>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</si>
  <si>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</si>
  <si>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</si>
  <si>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</si>
  <si>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</si>
  <si>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</si>
  <si>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</si>
  <si>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</si>
  <si>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</si>
  <si>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</si>
  <si>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</si>
  <si>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</si>
  <si>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</si>
  <si>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</si>
  <si>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</si>
  <si>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</si>
  <si>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</si>
  <si>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</si>
  <si>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</si>
  <si>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</si>
  <si>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</si>
  <si>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</si>
  <si>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</si>
  <si>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</si>
  <si>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</si>
  <si>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</si>
  <si>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</si>
  <si>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</si>
  <si>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</si>
  <si>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</si>
  <si>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</si>
  <si>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</si>
  <si>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</si>
  <si>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</si>
  <si>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</si>
  <si>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</si>
  <si>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</si>
  <si>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</si>
  <si>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</si>
  <si>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</si>
  <si>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</si>
  <si>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</si>
  <si>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</si>
  <si>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</si>
  <si>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</si>
  <si>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</si>
  <si>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</si>
  <si>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</si>
  <si>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</si>
  <si>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</si>
  <si>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</si>
  <si>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</si>
  <si>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</si>
  <si>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</si>
  <si>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</si>
  <si>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</si>
  <si>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</si>
  <si>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</si>
  <si>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</si>
  <si>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</si>
  <si>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</si>
  <si>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</si>
  <si>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</si>
  <si>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</si>
  <si>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</si>
  <si>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</si>
  <si>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</si>
  <si>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</si>
  <si>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</si>
  <si>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</si>
  <si>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</si>
  <si>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</si>
  <si>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</si>
  <si>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</si>
  <si>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</si>
  <si>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</si>
  <si>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</si>
  <si>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</si>
  <si>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</si>
  <si>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</si>
  <si>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</si>
  <si>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</si>
  <si>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</si>
  <si>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</si>
  <si>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</si>
  <si>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</si>
  <si>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</si>
  <si>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</si>
  <si>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</si>
  <si>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</si>
  <si>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</si>
  <si>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</si>
  <si>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</si>
  <si>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</si>
  <si>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</si>
  <si>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</si>
  <si>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</si>
  <si>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</si>
  <si>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</si>
  <si>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</si>
  <si>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</si>
  <si>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</si>
  <si>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</si>
  <si>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</si>
  <si>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</si>
  <si>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</si>
  <si>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</si>
  <si>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</si>
  <si>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</si>
  <si>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</si>
  <si>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</si>
  <si>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</si>
  <si>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</si>
  <si>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</si>
  <si>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</si>
  <si>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</si>
  <si>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</si>
  <si>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</si>
  <si>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</si>
  <si>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</si>
  <si>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</si>
  <si>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</si>
  <si>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</si>
  <si>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</si>
  <si>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</si>
  <si>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</si>
  <si>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</si>
  <si>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</si>
  <si>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</si>
  <si>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</si>
  <si>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</si>
  <si>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</si>
  <si>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</si>
  <si>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</si>
  <si>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</si>
  <si>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</si>
  <si>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</si>
  <si>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</si>
  <si>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</si>
  <si>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</si>
  <si>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</si>
  <si>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</si>
  <si>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</si>
  <si>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</si>
  <si>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</si>
  <si>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</si>
  <si>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</si>
  <si>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</si>
  <si>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</si>
  <si>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</si>
  <si>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</si>
  <si>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</si>
  <si>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</si>
  <si>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</si>
  <si>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</si>
  <si>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</si>
  <si>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</si>
  <si>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</si>
  <si>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</si>
  <si>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</si>
  <si>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</si>
  <si>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</si>
  <si>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</si>
  <si>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</si>
  <si>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</si>
  <si>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</si>
  <si>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</si>
  <si>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</si>
  <si>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</si>
  <si>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</si>
  <si>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</si>
  <si>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</si>
  <si>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</si>
  <si>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</si>
  <si>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</si>
  <si>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</si>
  <si>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</si>
  <si>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</si>
  <si>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</si>
  <si>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</si>
  <si>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</si>
  <si>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</si>
  <si>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</si>
  <si>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</si>
  <si>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</si>
  <si>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</si>
  <si>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</si>
  <si>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</si>
  <si>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</si>
  <si>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</si>
  <si>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</si>
  <si>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</si>
  <si>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</si>
  <si>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</si>
  <si>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</si>
  <si>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</si>
  <si>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</si>
  <si>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</si>
  <si>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</si>
  <si>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</si>
  <si>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</si>
  <si>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</si>
  <si>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</si>
  <si>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</si>
  <si>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</si>
  <si>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</si>
  <si>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</si>
  <si>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</si>
  <si>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</si>
  <si>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</si>
  <si>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</si>
  <si>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</si>
  <si>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</si>
  <si>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</si>
  <si>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</si>
  <si>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</si>
  <si>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</si>
  <si>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</si>
  <si>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</si>
  <si>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</si>
  <si>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</si>
  <si>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</si>
  <si>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</si>
  <si>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</si>
  <si>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</si>
  <si>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</si>
  <si>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</si>
  <si>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</si>
  <si>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</si>
  <si>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</si>
  <si>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</si>
  <si>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</si>
  <si>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</si>
  <si>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</si>
  <si>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</si>
  <si>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</si>
  <si>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</si>
  <si>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</si>
  <si>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</si>
  <si>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</si>
  <si>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</si>
  <si>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</si>
  <si>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</si>
  <si>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</si>
  <si>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</si>
  <si>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</si>
  <si>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</si>
  <si>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</si>
  <si>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</si>
  <si>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</si>
  <si>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</si>
  <si>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</si>
  <si>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</si>
  <si>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</si>
  <si>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</si>
  <si>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</si>
  <si>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</si>
  <si>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</si>
  <si>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</si>
  <si>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</si>
  <si>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</si>
  <si>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</si>
  <si>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</si>
  <si>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</si>
  <si>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</si>
  <si>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</si>
  <si>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</si>
  <si>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</si>
  <si>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</si>
  <si>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</si>
  <si>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</si>
  <si>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</si>
  <si>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</si>
  <si>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</si>
  <si>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</si>
  <si>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</si>
  <si>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</si>
  <si>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</si>
  <si>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</si>
  <si>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</si>
  <si>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</si>
  <si>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</si>
  <si>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</si>
  <si>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</si>
  <si>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</si>
  <si>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</si>
  <si>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</si>
  <si>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</si>
  <si>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</si>
  <si>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</si>
  <si>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</si>
  <si>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</si>
  <si>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</si>
  <si>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</si>
  <si>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</si>
  <si>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</si>
  <si>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</si>
  <si>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</si>
  <si>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</si>
  <si>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</si>
  <si>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</si>
  <si>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</si>
  <si>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</si>
  <si>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</si>
  <si>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</si>
  <si>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</si>
  <si>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</si>
  <si>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</si>
  <si>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</si>
  <si>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</si>
  <si>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</si>
  <si>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</si>
  <si>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</si>
  <si>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</si>
  <si>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</si>
  <si>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</si>
  <si>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</si>
  <si>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</si>
  <si>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</si>
  <si>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</si>
  <si>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</si>
  <si>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</si>
  <si>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</si>
  <si>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</si>
  <si>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</si>
  <si>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</si>
  <si>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</si>
  <si>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</si>
  <si>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</si>
  <si>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</si>
  <si>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</si>
  <si>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</si>
  <si>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</si>
  <si>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</si>
  <si>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</si>
  <si>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</si>
  <si>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</si>
  <si>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</si>
  <si>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</si>
  <si>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</si>
  <si>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</si>
  <si>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</si>
  <si>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</si>
  <si>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</si>
  <si>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</si>
  <si>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</si>
  <si>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</si>
  <si>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</si>
  <si>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</si>
  <si>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</si>
  <si>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</si>
  <si>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</si>
  <si>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</si>
  <si>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</si>
  <si>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</si>
  <si>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</si>
  <si>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</si>
  <si>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</si>
  <si>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</si>
  <si>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</si>
  <si>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</si>
  <si>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</si>
  <si>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</si>
  <si>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</si>
  <si>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</si>
  <si>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</si>
  <si>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</si>
  <si>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</si>
  <si>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</si>
  <si>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</si>
  <si>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</si>
  <si>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</si>
  <si>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</si>
  <si>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</si>
  <si>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</si>
  <si>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</si>
  <si>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</si>
  <si>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</si>
  <si>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</si>
  <si>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</si>
  <si>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</si>
  <si>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</si>
  <si>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</si>
  <si>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</si>
  <si>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</si>
  <si>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</si>
  <si>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</si>
  <si>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</si>
  <si>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</si>
  <si>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</si>
  <si>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</si>
  <si>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</si>
  <si>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</si>
  <si>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</si>
  <si>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</si>
  <si>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</si>
  <si>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</si>
  <si>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</si>
  <si>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</si>
  <si>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</si>
  <si>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</si>
  <si>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</si>
  <si>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</si>
  <si>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</si>
  <si>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</si>
  <si>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</si>
  <si>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</si>
  <si>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</si>
  <si>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</si>
  <si>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</si>
  <si>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</si>
  <si>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</si>
  <si>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</si>
  <si>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</si>
  <si>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</si>
  <si>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</si>
  <si>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</si>
  <si>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</si>
  <si>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</si>
  <si>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</si>
  <si>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</si>
  <si>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</si>
  <si>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</si>
  <si>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</si>
  <si>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</si>
  <si>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</si>
  <si>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</si>
  <si>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</si>
  <si>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</si>
  <si>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</si>
  <si>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</si>
  <si>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</si>
  <si>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</si>
  <si>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</si>
  <si>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</si>
  <si>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</si>
  <si>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</si>
  <si>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</si>
  <si>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</si>
  <si>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</si>
  <si>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</si>
  <si>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</si>
  <si>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</si>
  <si>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</si>
  <si>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</si>
  <si>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</si>
  <si>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</si>
  <si>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</si>
  <si>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</si>
  <si>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</si>
  <si>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</si>
  <si>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</si>
  <si>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</si>
  <si>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</si>
  <si>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</si>
  <si>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</si>
  <si>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</si>
  <si>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</si>
  <si>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</si>
  <si>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</si>
  <si>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</si>
  <si>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</si>
  <si>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</si>
  <si>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</si>
  <si>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</si>
  <si>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</si>
  <si>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</si>
  <si>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</si>
  <si>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</si>
  <si>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</si>
  <si>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</si>
  <si>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</si>
  <si>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</si>
  <si>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</si>
  <si>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</si>
  <si>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</si>
  <si>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</si>
  <si>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</si>
  <si>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</si>
  <si>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</si>
  <si>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</si>
  <si>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</si>
  <si>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</si>
  <si>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</si>
  <si>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</si>
  <si>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</si>
  <si>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</si>
  <si>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</si>
  <si>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</si>
  <si>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</si>
  <si>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</si>
  <si>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</si>
  <si>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</si>
  <si>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</si>
  <si>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</si>
  <si>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</si>
  <si>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</si>
  <si>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</si>
  <si>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</si>
  <si>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</si>
  <si>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</si>
  <si>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</si>
  <si>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</si>
  <si>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</si>
  <si>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</si>
  <si>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</si>
  <si>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</si>
  <si>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</si>
  <si>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</si>
  <si>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</si>
  <si>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</si>
  <si>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</si>
  <si>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</si>
  <si>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</si>
  <si>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</si>
  <si>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</si>
  <si>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</si>
  <si>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</si>
  <si>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</si>
  <si>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</si>
  <si>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</si>
  <si>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</si>
  <si>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</si>
  <si>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</si>
  <si>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</si>
  <si>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</si>
  <si>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</si>
  <si>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</si>
  <si>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</si>
  <si>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</si>
  <si>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</si>
  <si>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</si>
  <si>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</si>
  <si>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</si>
  <si>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</si>
  <si>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</si>
  <si>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</si>
  <si>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</si>
  <si>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</si>
  <si>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</si>
  <si>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</si>
  <si>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</si>
  <si>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</si>
  <si>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</si>
  <si>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</si>
  <si>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</si>
  <si>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</si>
  <si>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</si>
  <si>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</si>
  <si>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</si>
  <si>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</si>
  <si>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</si>
  <si>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</si>
  <si>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</si>
  <si>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</si>
  <si>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</si>
  <si>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</si>
  <si>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</si>
  <si>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</si>
  <si>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</si>
  <si>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</si>
  <si>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</si>
  <si>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</si>
  <si>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</si>
  <si>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</si>
  <si>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</si>
  <si>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</si>
  <si>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</si>
  <si>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</si>
  <si>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</si>
  <si>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</si>
  <si>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</si>
  <si>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</si>
  <si>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</si>
  <si>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</si>
  <si>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</si>
  <si>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</si>
  <si>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</si>
  <si>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</si>
  <si>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</si>
  <si>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</si>
  <si>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</si>
  <si>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</si>
  <si>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</si>
  <si>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</si>
  <si>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</si>
  <si>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</si>
  <si>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</si>
  <si>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</si>
  <si>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</si>
  <si>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</si>
  <si>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</si>
  <si>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</si>
  <si>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</si>
  <si>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</si>
  <si>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</si>
  <si>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</si>
  <si>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</si>
  <si>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</si>
  <si>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</si>
  <si>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</si>
  <si>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</si>
  <si>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</si>
  <si>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</si>
  <si>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</si>
  <si>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</si>
  <si>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</si>
  <si>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</si>
  <si>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</si>
  <si>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</si>
  <si>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</si>
  <si>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</si>
  <si>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</si>
  <si>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</si>
  <si>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</si>
  <si>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</si>
  <si>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</si>
  <si>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</si>
  <si>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</si>
  <si>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</si>
  <si>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</si>
  <si>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</si>
  <si>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</si>
  <si>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</si>
  <si>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</si>
  <si>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</si>
  <si>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</si>
  <si>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</si>
  <si>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</si>
  <si>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</si>
  <si>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</si>
  <si>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</si>
  <si>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</si>
  <si>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</si>
  <si>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</si>
  <si>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</si>
  <si>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</si>
  <si>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</si>
  <si>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</si>
  <si>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</si>
  <si>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</si>
  <si>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</si>
  <si>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</si>
  <si>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</si>
  <si>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</si>
  <si>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</si>
  <si>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</si>
  <si>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</si>
  <si>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</si>
  <si>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</si>
  <si>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</si>
  <si>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</si>
  <si>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</si>
  <si>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</si>
  <si>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</si>
  <si>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</si>
  <si>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</si>
  <si>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</si>
  <si>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</si>
  <si>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</si>
  <si>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</si>
  <si>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</si>
  <si>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</si>
  <si>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</si>
  <si>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</si>
  <si>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</si>
  <si>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</si>
  <si>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</si>
  <si>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</si>
  <si>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</si>
  <si>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</si>
  <si>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</si>
  <si>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</si>
  <si>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</si>
  <si>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</si>
  <si>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</si>
  <si>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</si>
  <si>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</si>
  <si>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</si>
  <si>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</si>
  <si>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</si>
  <si>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</si>
  <si>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</si>
  <si>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</si>
  <si>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</si>
  <si>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</si>
  <si>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</si>
  <si>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</si>
  <si>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</si>
  <si>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</si>
  <si>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</si>
  <si>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</si>
  <si>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</si>
  <si>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</si>
  <si>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</si>
  <si>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</si>
  <si>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</si>
  <si>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</si>
  <si>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</si>
  <si>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</si>
  <si>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</si>
  <si>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</si>
  <si>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</si>
  <si>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</si>
  <si>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</si>
  <si>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</si>
  <si>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</si>
  <si>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</si>
  <si>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</si>
  <si>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</si>
  <si>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</si>
  <si>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</si>
  <si>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</si>
  <si>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</si>
  <si>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</si>
  <si>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</si>
  <si>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</si>
  <si>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</si>
  <si>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</si>
  <si>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</si>
  <si>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</si>
  <si>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</si>
  <si>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</si>
  <si>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</si>
  <si>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</si>
  <si>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</si>
  <si>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</si>
  <si>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</si>
  <si>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</si>
  <si>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</si>
  <si>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</si>
  <si>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</si>
  <si>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</si>
  <si>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</si>
  <si>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</si>
  <si>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</si>
  <si>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</si>
  <si>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</si>
  <si>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</si>
  <si>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</si>
  <si>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</si>
  <si>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</si>
  <si>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</si>
  <si>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</si>
  <si>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</si>
  <si>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</si>
  <si>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</si>
  <si>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</si>
  <si>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</si>
  <si>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</si>
  <si>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</si>
  <si>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</si>
  <si>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</si>
  <si>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</si>
  <si>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</si>
  <si>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</si>
  <si>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</si>
  <si>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</si>
  <si>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</si>
  <si>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</si>
  <si>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</si>
  <si>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</si>
  <si>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</si>
  <si>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</si>
  <si>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</si>
  <si>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</si>
  <si>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</si>
  <si>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</si>
  <si>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</si>
  <si>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</si>
  <si>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</si>
  <si>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</si>
  <si>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</si>
  <si>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</si>
  <si>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</si>
  <si>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</si>
  <si>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</si>
  <si>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</si>
  <si>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</si>
  <si>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</si>
  <si>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</si>
  <si>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</si>
  <si>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</si>
  <si>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</si>
  <si>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</si>
  <si>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</si>
  <si>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</si>
  <si>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</si>
  <si>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</si>
  <si>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</si>
  <si>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</si>
  <si>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</si>
  <si>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</si>
  <si>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</si>
  <si>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</si>
  <si>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</si>
  <si>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</si>
  <si>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</si>
  <si>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</si>
  <si>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</si>
  <si>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</si>
  <si>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</si>
  <si>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</si>
  <si>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</si>
  <si>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</si>
  <si>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</si>
  <si>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</si>
  <si>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</si>
  <si>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</si>
  <si>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</si>
  <si>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</si>
  <si>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</si>
  <si>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</si>
  <si>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</si>
  <si>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</si>
  <si>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</si>
  <si>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</si>
  <si>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</si>
  <si>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</si>
  <si>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</si>
  <si>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</si>
  <si>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</si>
  <si>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</si>
  <si>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</si>
  <si>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</si>
  <si>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</si>
  <si>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</si>
  <si>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</si>
  <si>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</si>
  <si>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</si>
  <si>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</si>
  <si>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</si>
  <si>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</si>
  <si>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</si>
  <si>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</si>
  <si>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</si>
  <si>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</si>
  <si>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</si>
  <si>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</si>
  <si>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</si>
  <si>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</si>
  <si>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</si>
  <si>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</si>
  <si>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</si>
  <si>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</si>
  <si>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</si>
  <si>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</si>
  <si>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</si>
  <si>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</si>
  <si>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</si>
  <si>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</si>
  <si>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</si>
  <si>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</si>
  <si>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</si>
  <si>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</si>
  <si>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</si>
  <si>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</si>
  <si>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</si>
  <si>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</si>
  <si>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</si>
  <si>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</si>
  <si>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</si>
  <si>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</si>
  <si>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</si>
  <si>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</si>
  <si>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</si>
  <si>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</si>
  <si>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</si>
  <si>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</si>
  <si>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</si>
  <si>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</si>
  <si>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</si>
  <si>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</si>
  <si>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</si>
  <si>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</si>
  <si>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</si>
  <si>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</si>
  <si>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</si>
  <si>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</si>
  <si>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</si>
  <si>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</si>
  <si>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</si>
  <si>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</si>
  <si>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</si>
  <si>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</si>
  <si>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</si>
  <si>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</si>
  <si>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</si>
  <si>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</si>
  <si>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</si>
  <si>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</si>
  <si>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</si>
  <si>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</si>
  <si>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</si>
  <si>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</si>
  <si>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</si>
  <si>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</si>
  <si>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</si>
  <si>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</si>
  <si>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</si>
  <si>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</si>
  <si>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</si>
  <si>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</si>
  <si>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</si>
  <si>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</si>
  <si>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</si>
  <si>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</si>
  <si>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</si>
  <si>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</si>
  <si>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</si>
  <si>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</si>
  <si>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</si>
  <si>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</si>
  <si>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</si>
  <si>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</si>
  <si>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</si>
  <si>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</si>
  <si>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</si>
  <si>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</si>
  <si>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</si>
  <si>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</si>
  <si>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</si>
  <si>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</si>
  <si>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</si>
  <si>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</si>
  <si>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</si>
  <si>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</si>
  <si>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</si>
  <si>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</si>
  <si>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</si>
  <si>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</si>
  <si>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</si>
  <si>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</si>
  <si>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</si>
  <si>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</si>
  <si>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</si>
  <si>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</si>
  <si>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</si>
  <si>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</si>
  <si>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</si>
  <si>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</si>
  <si>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</si>
  <si>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</si>
  <si>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</si>
  <si>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</si>
  <si>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</si>
  <si>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</si>
  <si>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</si>
  <si>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</si>
  <si>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</si>
  <si>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</si>
  <si>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</si>
  <si>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</si>
  <si>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</si>
  <si>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</si>
  <si>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</si>
  <si>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</si>
  <si>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</si>
  <si>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</si>
  <si>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</si>
  <si>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</si>
  <si>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</si>
  <si>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</si>
  <si>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</si>
  <si>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</si>
  <si>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</si>
  <si>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</si>
  <si>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</si>
  <si>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</si>
  <si>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</si>
  <si>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</si>
  <si>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</si>
  <si>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</si>
  <si>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</si>
  <si>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</si>
  <si>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</si>
  <si>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</si>
  <si>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</si>
  <si>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</si>
  <si>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</si>
  <si>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</si>
  <si>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</si>
  <si>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</si>
  <si>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</si>
  <si>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</si>
  <si>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</si>
  <si>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</si>
  <si>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</si>
  <si>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</si>
  <si>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</si>
  <si>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</si>
  <si>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</si>
  <si>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</si>
  <si>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</si>
  <si>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</si>
  <si>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</si>
  <si>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</si>
  <si>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</si>
  <si>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</si>
  <si>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</si>
  <si>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</si>
  <si>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</si>
  <si>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</si>
  <si>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</si>
  <si>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</si>
  <si>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</si>
  <si>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</si>
  <si>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</si>
  <si>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</si>
  <si>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</si>
  <si>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</si>
  <si>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</si>
  <si>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</si>
  <si>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</si>
  <si>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</si>
  <si>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</si>
  <si>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</si>
  <si>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</si>
  <si>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</si>
  <si>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</si>
  <si>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</si>
  <si>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</si>
  <si>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</si>
  <si>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</si>
  <si>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</si>
  <si>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</si>
  <si>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</si>
  <si>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</si>
  <si>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</si>
  <si>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</si>
  <si>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</si>
  <si>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</si>
  <si>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</si>
  <si>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</si>
  <si>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</si>
  <si>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</si>
  <si>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</si>
  <si>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</si>
  <si>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</si>
  <si>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</si>
  <si>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</si>
  <si>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</si>
  <si>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</si>
  <si>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</si>
  <si>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</si>
  <si>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</si>
  <si>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</si>
  <si>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</si>
  <si>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</si>
  <si>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</si>
  <si>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</si>
  <si>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</si>
  <si>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</si>
  <si>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</si>
  <si>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</si>
  <si>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</si>
  <si>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</si>
  <si>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</si>
  <si>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</si>
  <si>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</si>
  <si>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</si>
  <si>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</si>
  <si>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</si>
  <si>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</si>
  <si>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</si>
  <si>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</si>
  <si>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</si>
  <si>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</si>
  <si>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</si>
  <si>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</si>
  <si>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</si>
  <si>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</si>
  <si>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</si>
  <si>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</si>
  <si>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</si>
  <si>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</si>
  <si>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</si>
  <si>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</si>
  <si>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</si>
  <si>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</si>
  <si>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</si>
  <si>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</si>
  <si>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</si>
  <si>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</si>
  <si>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</si>
  <si>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</si>
  <si>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</si>
  <si>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</si>
  <si>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</si>
  <si>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</si>
  <si>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</si>
  <si>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</si>
  <si>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</si>
  <si>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</si>
  <si>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</si>
  <si>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</si>
  <si>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</si>
  <si>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</si>
  <si>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</si>
  <si>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</si>
  <si>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</si>
  <si>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</si>
  <si>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</si>
  <si>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</si>
  <si>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</si>
  <si>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</si>
  <si>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</si>
  <si>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</si>
  <si>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</si>
  <si>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</si>
  <si>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</si>
  <si>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</si>
  <si>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</si>
  <si>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</si>
  <si>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</si>
  <si>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</si>
  <si>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</si>
  <si>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</si>
  <si>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</si>
  <si>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</si>
  <si>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</si>
  <si>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</si>
  <si>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</si>
  <si>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</si>
  <si>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</si>
  <si>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</si>
  <si>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</si>
  <si>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</si>
  <si>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</si>
  <si>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</si>
  <si>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</si>
  <si>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</si>
  <si>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</si>
  <si>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</si>
  <si>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</si>
  <si>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</si>
  <si>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</si>
  <si>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</si>
  <si>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</si>
  <si>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</si>
  <si>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</si>
  <si>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</si>
  <si>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</si>
  <si>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</si>
  <si>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</si>
  <si>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</si>
  <si>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</si>
  <si>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</si>
  <si>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</si>
  <si>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</si>
  <si>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</si>
  <si>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</si>
  <si>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</si>
  <si>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</si>
  <si>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</si>
  <si>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</si>
  <si>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</si>
  <si>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</si>
  <si>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</si>
  <si>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</si>
  <si>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</si>
  <si>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</si>
  <si>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</si>
  <si>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</si>
  <si>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</si>
  <si>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</si>
  <si>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</si>
  <si>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</si>
  <si>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</si>
  <si>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</si>
  <si>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</si>
  <si>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</si>
  <si>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</si>
  <si>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</si>
  <si>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</si>
  <si>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</si>
  <si>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</si>
  <si>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</si>
  <si>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</si>
  <si>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</si>
  <si>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</si>
  <si>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</si>
  <si>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</si>
  <si>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</si>
  <si>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</si>
  <si>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</si>
  <si>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</si>
  <si>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</si>
  <si>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</si>
  <si>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</si>
  <si>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</si>
  <si>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</si>
  <si>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</si>
  <si>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</si>
  <si>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</si>
  <si>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</si>
  <si>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</si>
  <si>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</si>
  <si>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</si>
  <si>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</si>
  <si>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</si>
  <si>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</si>
  <si>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</si>
  <si>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</si>
  <si>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</si>
  <si>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</si>
  <si>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</si>
  <si>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</si>
  <si>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</si>
  <si>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</si>
  <si>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</si>
  <si>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</si>
  <si>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</si>
  <si>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</si>
  <si>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</si>
  <si>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</si>
  <si>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</si>
  <si>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</si>
  <si>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</si>
  <si>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</si>
  <si>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</si>
  <si>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</si>
  <si>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</si>
  <si>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</si>
  <si>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</si>
  <si>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</si>
  <si>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</si>
  <si>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</si>
  <si>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</si>
  <si>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</si>
  <si>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</si>
  <si>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</si>
  <si>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</si>
  <si>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</si>
  <si>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</si>
  <si>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</si>
  <si>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</si>
  <si>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</si>
  <si>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</si>
  <si>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</si>
  <si>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</si>
  <si>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</si>
  <si>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</si>
  <si>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</si>
  <si>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</si>
  <si>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</si>
  <si>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</si>
  <si>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</si>
  <si>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</si>
  <si>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</si>
  <si>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</si>
  <si>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</si>
  <si>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</si>
  <si>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</si>
  <si>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</si>
  <si>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</si>
  <si>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</si>
  <si>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</si>
  <si>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</si>
  <si>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</si>
  <si>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</si>
  <si>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</si>
  <si>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</si>
  <si>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</si>
  <si>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</si>
  <si>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</si>
  <si>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</si>
  <si>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</si>
  <si>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</si>
  <si>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</si>
  <si>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</si>
  <si>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</si>
  <si>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</si>
  <si>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</si>
  <si>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</si>
  <si>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</si>
  <si>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</si>
  <si>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</si>
  <si>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</si>
  <si>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</si>
  <si>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</si>
  <si>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</si>
  <si>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</si>
  <si>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</si>
  <si>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</si>
  <si>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</si>
  <si>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</si>
  <si>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</si>
  <si>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</si>
  <si>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</si>
  <si>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</si>
  <si>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</si>
  <si>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</si>
  <si>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</si>
  <si>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</si>
  <si>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</si>
  <si>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</si>
  <si>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</si>
  <si>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</si>
  <si>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</si>
  <si>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</si>
  <si>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</si>
  <si>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</si>
  <si>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</si>
  <si>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</si>
  <si>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</si>
  <si>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</si>
  <si>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</si>
  <si>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</si>
  <si>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</si>
  <si>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</si>
  <si>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</si>
  <si>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</si>
  <si>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</si>
  <si>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</si>
  <si>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</si>
  <si>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</si>
  <si>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</si>
  <si>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</si>
  <si>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</si>
  <si>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</si>
  <si>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</si>
  <si>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</si>
  <si>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</si>
  <si>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</si>
  <si>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</si>
  <si>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</si>
  <si>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</si>
  <si>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</si>
  <si>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</si>
  <si>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</si>
  <si>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</si>
  <si>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</si>
  <si>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</si>
  <si>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</si>
  <si>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</si>
  <si>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</si>
  <si>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</si>
  <si>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</si>
  <si>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</si>
  <si>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</si>
  <si>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</si>
  <si>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</si>
  <si>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</si>
  <si>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</si>
  <si>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</si>
  <si>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</si>
  <si>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</si>
  <si>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</si>
  <si>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</si>
  <si>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</si>
  <si>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</si>
  <si>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</si>
  <si>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</si>
  <si>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</si>
  <si>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</si>
  <si>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</si>
  <si>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</si>
  <si>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</si>
  <si>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</si>
  <si>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</si>
  <si>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</si>
  <si>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</si>
  <si>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</si>
  <si>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</si>
  <si>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</si>
  <si>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</si>
  <si>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</si>
  <si>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</si>
  <si>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</si>
  <si>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</si>
  <si>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</si>
  <si>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</si>
  <si>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</si>
  <si>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</si>
  <si>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</si>
  <si>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</si>
  <si>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</si>
  <si>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</si>
  <si>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</si>
  <si>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</si>
  <si>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</si>
  <si>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</si>
  <si>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</si>
  <si>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</si>
  <si>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</si>
  <si>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</si>
  <si>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</si>
  <si>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</si>
  <si>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</si>
  <si>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</si>
  <si>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</si>
  <si>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</si>
  <si>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</si>
  <si>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</si>
  <si>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</si>
  <si>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</si>
  <si>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</si>
  <si>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</si>
  <si>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</si>
  <si>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</si>
  <si>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</si>
  <si>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</si>
  <si>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</si>
  <si>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</si>
  <si>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</si>
  <si>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</si>
  <si>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</si>
  <si>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</si>
  <si>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</si>
  <si>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</si>
  <si>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</si>
  <si>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</si>
  <si>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</si>
  <si>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</si>
  <si>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</si>
  <si>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</si>
  <si>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</si>
  <si>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</si>
  <si>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</si>
  <si>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</si>
  <si>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</si>
  <si>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</si>
  <si>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</si>
  <si>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</si>
  <si>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</si>
  <si>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</si>
  <si>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</si>
  <si>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</si>
  <si>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</si>
  <si>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</si>
  <si>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</si>
  <si>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</si>
  <si>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</si>
  <si>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</si>
  <si>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</si>
  <si>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</si>
  <si>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</si>
  <si>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</si>
  <si>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</si>
  <si>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</si>
  <si>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</si>
  <si>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</si>
  <si>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</si>
  <si>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</si>
  <si>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</si>
  <si>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</si>
  <si>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</si>
  <si>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</si>
  <si>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</si>
  <si>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</si>
  <si>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</si>
  <si>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</si>
  <si>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</si>
  <si>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</si>
  <si>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</si>
  <si>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</si>
  <si>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</si>
  <si>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</si>
  <si>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</si>
  <si>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</si>
  <si>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</si>
  <si>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</si>
  <si>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</si>
  <si>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</si>
  <si>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</si>
  <si>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</si>
  <si>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</si>
  <si>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</si>
  <si>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</si>
  <si>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</si>
  <si>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</si>
  <si>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</si>
  <si>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</si>
  <si>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</si>
  <si>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</si>
  <si>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</si>
  <si>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</si>
  <si>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</si>
  <si>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</si>
  <si>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</si>
  <si>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</si>
  <si>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</si>
  <si>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</si>
  <si>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</si>
  <si>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</si>
  <si>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</si>
  <si>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</si>
  <si>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</si>
  <si>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</si>
  <si>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</si>
  <si>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</si>
  <si>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</si>
  <si>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</si>
  <si>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</si>
  <si>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</si>
  <si>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</si>
  <si>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</si>
  <si>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</si>
  <si>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</si>
  <si>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</si>
  <si>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</si>
  <si>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</si>
  <si>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</si>
  <si>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</si>
  <si>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</si>
  <si>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</si>
  <si>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</si>
  <si>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</si>
  <si>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</si>
  <si>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</si>
  <si>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</si>
  <si>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</si>
  <si>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</si>
  <si>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</si>
  <si>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</si>
  <si>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</si>
  <si>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</si>
  <si>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</si>
  <si>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</si>
  <si>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</si>
  <si>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</si>
  <si>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</si>
  <si>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</si>
  <si>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</si>
  <si>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</si>
  <si>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</si>
  <si>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</si>
  <si>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</si>
  <si>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</si>
  <si>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</si>
  <si>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</si>
  <si>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</si>
  <si>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</si>
  <si>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</si>
  <si>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</si>
  <si>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</si>
  <si>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</si>
  <si>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</si>
  <si>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</si>
  <si>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</si>
  <si>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</si>
  <si>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</si>
  <si>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</si>
  <si>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</si>
  <si>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</si>
  <si>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</si>
  <si>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</si>
  <si>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</si>
  <si>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</si>
  <si>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</si>
  <si>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</si>
  <si>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</si>
  <si>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</si>
  <si>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</si>
  <si>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</si>
  <si>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</si>
  <si>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</si>
  <si>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</si>
  <si>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</si>
  <si>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</si>
  <si>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</si>
  <si>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</si>
  <si>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</si>
  <si>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</si>
  <si>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</si>
  <si>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</si>
  <si>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</si>
  <si>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</si>
  <si>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</si>
  <si>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</si>
  <si>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</si>
  <si>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</si>
  <si>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</si>
  <si>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</si>
  <si>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</si>
  <si>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</si>
  <si>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</si>
  <si>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</si>
  <si>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</si>
  <si>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</si>
  <si>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</si>
  <si>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</si>
  <si>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</si>
  <si>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</si>
  <si>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</si>
  <si>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</si>
  <si>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</si>
  <si>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</si>
  <si>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</si>
  <si>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</si>
  <si>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</si>
  <si>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</si>
  <si>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</si>
  <si>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</si>
  <si>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</si>
  <si>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</si>
  <si>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</si>
  <si>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</si>
  <si>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</si>
  <si>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</si>
  <si>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</si>
  <si>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</si>
  <si>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</si>
  <si>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</si>
  <si>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</si>
  <si>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</si>
  <si>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</si>
  <si>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</si>
  <si>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</si>
  <si>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</si>
  <si>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</si>
  <si>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</si>
  <si>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</si>
  <si>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</si>
  <si>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</si>
  <si>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</si>
  <si>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</si>
  <si>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</si>
  <si>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</si>
  <si>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</si>
  <si>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</si>
  <si>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</si>
  <si>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</si>
  <si>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</si>
  <si>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</si>
  <si>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</si>
  <si>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</si>
  <si>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</si>
  <si>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</si>
  <si>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</si>
  <si>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</si>
  <si>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</si>
  <si>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</si>
  <si>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</si>
  <si>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</si>
  <si>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</si>
  <si>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</si>
  <si>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</si>
  <si>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</si>
  <si>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</si>
  <si>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</si>
  <si>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</si>
  <si>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</si>
  <si>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</si>
  <si>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</si>
  <si>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</si>
  <si>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</si>
  <si>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</si>
  <si>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</si>
  <si>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</si>
  <si>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</si>
  <si>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</si>
  <si>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</si>
  <si>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</si>
  <si>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</si>
  <si>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</si>
  <si>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</si>
  <si>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</si>
  <si>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</si>
  <si>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</si>
  <si>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</si>
  <si>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</si>
  <si>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</si>
  <si>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</si>
  <si>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</si>
  <si>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</si>
  <si>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</si>
  <si>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</si>
  <si>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</si>
  <si>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</si>
  <si>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</si>
  <si>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</si>
  <si>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</si>
  <si>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</si>
  <si>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</si>
  <si>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</si>
  <si>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</si>
  <si>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</si>
  <si>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</si>
  <si>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</si>
  <si>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</si>
  <si>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</si>
  <si>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</si>
  <si>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</si>
  <si>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</si>
  <si>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</si>
  <si>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</si>
  <si>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</si>
  <si>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</si>
  <si>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</si>
  <si>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</si>
  <si>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</si>
  <si>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</si>
  <si>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</si>
  <si>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</si>
  <si>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</si>
  <si>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</si>
  <si>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</si>
  <si>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</si>
  <si>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</si>
  <si>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</si>
  <si>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</si>
  <si>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</si>
  <si>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</si>
  <si>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</si>
  <si>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</si>
  <si>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</si>
  <si>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</si>
  <si>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</si>
  <si>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</si>
  <si>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</si>
  <si>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</si>
  <si>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</si>
  <si>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</si>
  <si>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</si>
  <si>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</si>
  <si>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</si>
  <si>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</si>
  <si>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</si>
  <si>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</si>
  <si>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</si>
  <si>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</si>
  <si>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</si>
  <si>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</si>
  <si>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</si>
  <si>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</si>
  <si>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</si>
  <si>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</si>
  <si>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</si>
  <si>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</si>
  <si>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</si>
  <si>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</si>
  <si>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</si>
  <si>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</si>
  <si>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</si>
  <si>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</si>
  <si>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</si>
  <si>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</si>
  <si>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</si>
  <si>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</si>
  <si>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</si>
  <si>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</si>
  <si>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</si>
  <si>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</si>
  <si>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</si>
  <si>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</si>
  <si>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</si>
  <si>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</si>
  <si>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</si>
  <si>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</si>
  <si>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</si>
  <si>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</si>
  <si>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</si>
  <si>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</si>
  <si>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</si>
  <si>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</si>
  <si>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</si>
  <si>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</si>
  <si>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</si>
  <si>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</si>
  <si>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</si>
  <si>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其他：</t>
  </si>
  <si>
    <t>企业</t>
  </si>
  <si>
    <t>出让</t>
  </si>
  <si>
    <t>是</t>
  </si>
  <si>
    <t>地上</t>
  </si>
  <si>
    <t>地下</t>
  </si>
  <si>
    <t>商业</t>
    <phoneticPr fontId="7" type="noConversion"/>
  </si>
  <si>
    <t>利息：取LPR加浮动点数</t>
  </si>
  <si>
    <t>成新度</t>
  </si>
  <si>
    <t>收益法</t>
  </si>
  <si>
    <t>附属层</t>
    <phoneticPr fontId="140" type="noConversion"/>
  </si>
  <si>
    <t>地下1层</t>
    <phoneticPr fontId="140" type="noConversion"/>
  </si>
  <si>
    <t>地下2层</t>
    <phoneticPr fontId="140" type="noConversion"/>
  </si>
  <si>
    <t>押一</t>
  </si>
  <si>
    <t>按租金收入计税</t>
  </si>
  <si>
    <t>钢混</t>
  </si>
  <si>
    <t>非生产用房</t>
  </si>
  <si>
    <t>否</t>
  </si>
  <si>
    <t>地块名称</t>
  </si>
  <si>
    <t>城市</t>
  </si>
  <si>
    <t>用地性质</t>
  </si>
  <si>
    <t>出让方式</t>
  </si>
  <si>
    <t>详细规划</t>
  </si>
  <si>
    <t>建设用地面积(㎡)</t>
  </si>
  <si>
    <t>规划建筑面积(㎡)</t>
  </si>
  <si>
    <t>容积率</t>
  </si>
  <si>
    <t>成交日期</t>
  </si>
  <si>
    <t>受让单位</t>
  </si>
  <si>
    <t>成交价(万元)</t>
  </si>
  <si>
    <t>成交每亩价(万元/亩)</t>
  </si>
  <si>
    <t>成交楼面价(元/㎡)</t>
  </si>
  <si>
    <t>溢价率</t>
  </si>
  <si>
    <t>土地星级</t>
  </si>
  <si>
    <t>辽宁省沈抚改革创新示范区</t>
  </si>
  <si>
    <t>沈阳市</t>
  </si>
  <si>
    <t>商业/办公用地</t>
  </si>
  <si>
    <t>挂牌</t>
  </si>
  <si>
    <t>商务金融用地</t>
  </si>
  <si>
    <t>大于或等于2.5并且小于或等于3</t>
  </si>
  <si>
    <t>2020-10-28</t>
  </si>
  <si>
    <t>辽宁省豫商产业开发建设有限公司</t>
  </si>
  <si>
    <t>3星</t>
  </si>
  <si>
    <t>大于或等于3.7并且小于或等于4.2</t>
  </si>
  <si>
    <t>辽宁省沈抚新区中基置业有限公司</t>
  </si>
  <si>
    <t>沈抚改革创新示范区</t>
  </si>
  <si>
    <t>大于或等于3并且小于或等于3.5</t>
  </si>
  <si>
    <t>2020-07-29</t>
  </si>
  <si>
    <t>辽宁新晋商实业发展有限责任公司</t>
  </si>
  <si>
    <t>辽宁楚商总部发展有限公司</t>
  </si>
  <si>
    <t>GN-RJ-03-11</t>
  </si>
  <si>
    <t>拍卖</t>
  </si>
  <si>
    <t>商业用地</t>
  </si>
  <si>
    <t>≤1.2</t>
  </si>
  <si>
    <t>2020-07-22</t>
  </si>
  <si>
    <t>沈阳亿茂企业管理有限公司</t>
  </si>
  <si>
    <t>5星</t>
  </si>
  <si>
    <t>沈抚新区</t>
  </si>
  <si>
    <t>2020-06-10</t>
  </si>
  <si>
    <t>辽宁省沈抚新区信泰科技开发有限公司</t>
  </si>
  <si>
    <t>辽宁浙商总部发展有限公司</t>
  </si>
  <si>
    <t>零售商业用地</t>
  </si>
  <si>
    <t>大于或等于2并且小于或等于2.5</t>
  </si>
  <si>
    <t>2020-05-29</t>
  </si>
  <si>
    <t>辽宁方大新城置业有限公司</t>
  </si>
  <si>
    <t>辽宁省沈抚新区盛誉房地产开发有限公司</t>
  </si>
  <si>
    <t>SF-LB-01-F地块</t>
  </si>
  <si>
    <t>≥2.5且≤3.0</t>
  </si>
  <si>
    <t>2020-05-28</t>
  </si>
  <si>
    <t>抚顺中联智鼎置业有限公司</t>
  </si>
  <si>
    <t>2020-05-27</t>
  </si>
  <si>
    <t>辽宁省沈抚新区诚泰科技开发有限公司</t>
  </si>
  <si>
    <t>辽宁军翔置业有限公司</t>
  </si>
  <si>
    <t>GN-KJ-02-18-1</t>
  </si>
  <si>
    <t>商务用地(B2)</t>
  </si>
  <si>
    <t>≤2.1</t>
  </si>
  <si>
    <t>2020-04-23</t>
  </si>
  <si>
    <t>融盛财产保险有限公司</t>
  </si>
  <si>
    <t>其他商服用地</t>
  </si>
  <si>
    <t>大于或等于1并且小于或等于1.2</t>
  </si>
  <si>
    <t>2020-02-20</t>
  </si>
  <si>
    <t>辽宁一方荣域置业有限公司</t>
  </si>
  <si>
    <t>SF-LB-04-A-01地块</t>
  </si>
  <si>
    <t>商务用地</t>
  </si>
  <si>
    <t>≥1.5且≤2.0</t>
  </si>
  <si>
    <t>建龙(辽宁)节能环保科技有限公司</t>
  </si>
  <si>
    <t>大于或等于5.5并且小于或等于6</t>
  </si>
  <si>
    <t>2020-02-19</t>
  </si>
  <si>
    <t>金广佳业(辽宁)房地产开发有限公司</t>
  </si>
  <si>
    <t>大于或等于4并且小于或等于4.5</t>
  </si>
  <si>
    <t>沈阳粤海房地产开发有限公司</t>
  </si>
  <si>
    <t>东沟村2019-1-6地块</t>
  </si>
  <si>
    <t>商业用地(B1)</t>
  </si>
  <si>
    <t>2019-12-05</t>
  </si>
  <si>
    <t>沈阳鲜花港置业发展有限公司</t>
  </si>
  <si>
    <t>1星</t>
  </si>
  <si>
    <t>东沟村2019-1-5地块</t>
  </si>
  <si>
    <t>≤1.0</t>
  </si>
  <si>
    <t>东沟村2019-1-3地块</t>
  </si>
  <si>
    <t>东沟村2019-1-4地块</t>
  </si>
  <si>
    <t>东沟村2019-1-2地块</t>
  </si>
  <si>
    <t>东沟村2019-1-1地块</t>
  </si>
  <si>
    <t>GN-RJ-02-03</t>
  </si>
  <si>
    <t>≤3.2</t>
  </si>
  <si>
    <t>常州月星国际家居广场有限公司</t>
  </si>
  <si>
    <t>浑南</t>
  </si>
  <si>
    <t>2019-10-28</t>
  </si>
  <si>
    <t>辽宁省鑫灵置业有限公司</t>
  </si>
  <si>
    <t>辽宁豫商发展有限公司</t>
  </si>
  <si>
    <t>厦商(辽宁)房地产开发有限公司</t>
  </si>
  <si>
    <t>辽宁鑫联企业发展有限公司</t>
  </si>
  <si>
    <t>沈阳名仕置业有限公司</t>
  </si>
  <si>
    <t>辽宁凯利置业集团有限公司</t>
  </si>
  <si>
    <t>易行乾坤(辽宁)企业发展有限公司</t>
  </si>
  <si>
    <t>辽宁吉商置业有限责任公司</t>
  </si>
  <si>
    <t>辽宁闽商投资发展有限公司</t>
  </si>
  <si>
    <t>旅馆用地</t>
  </si>
  <si>
    <t>小于或等于2</t>
  </si>
  <si>
    <t>2019-07-31</t>
  </si>
  <si>
    <t>辽宁光科检测科技有限公司</t>
  </si>
  <si>
    <t>大于或等于1.2并且小于或等于1.5</t>
  </si>
  <si>
    <t>2019-07-05</t>
  </si>
  <si>
    <t>≥1,≤1.5</t>
  </si>
  <si>
    <t>2019-01-28</t>
  </si>
  <si>
    <t>辽宁白沙湖实业发展有限公司</t>
  </si>
  <si>
    <t>≥0.7,≤1.2</t>
  </si>
  <si>
    <t>≥1</t>
  </si>
  <si>
    <t>GN-YX-02-30-1</t>
  </si>
  <si>
    <t>≤2</t>
  </si>
  <si>
    <t>2018-11-07</t>
  </si>
  <si>
    <t>中国水利水电第六工程局有限公司</t>
  </si>
  <si>
    <t>GN-GX-06-07-1</t>
  </si>
  <si>
    <t>≤0.9</t>
  </si>
  <si>
    <t>2018-07-23</t>
  </si>
  <si>
    <t>沈阳市浑南新区国有资产经营有限责任公司</t>
  </si>
  <si>
    <t>祝科街西(原GN-YG-03-02)地块</t>
  </si>
  <si>
    <t>住宿餐饮用地</t>
  </si>
  <si>
    <t>≤1.9</t>
  </si>
  <si>
    <t>2018-04-25</t>
  </si>
  <si>
    <t>辽宁利丰星行汽车销售服务有限公司</t>
  </si>
  <si>
    <t>2星</t>
  </si>
  <si>
    <t>智慧二街西(原GN-YX-01-26-1</t>
  </si>
  <si>
    <t>2018-01-26</t>
  </si>
  <si>
    <t>沈阳郡源投资有限公司</t>
  </si>
  <si>
    <t>浑南区</t>
  </si>
  <si>
    <t>≤1.5</t>
  </si>
  <si>
    <t>2017-11-07</t>
  </si>
  <si>
    <t>沈阳华新联盛房地产开发有限公司</t>
  </si>
  <si>
    <t>GN-SW-01-58-1</t>
  </si>
  <si>
    <t>2017-09-06</t>
  </si>
  <si>
    <t>GN-AT-09-06/17</t>
  </si>
  <si>
    <t>≤8.5</t>
  </si>
  <si>
    <t>2017-08-15</t>
  </si>
  <si>
    <t>沈阳润置企业管理有限公司</t>
  </si>
  <si>
    <t>4星</t>
  </si>
  <si>
    <t>富家村2014-1</t>
  </si>
  <si>
    <t>≯1.5、容积率指标含地下商业建筑面积,地下建筑面积以扩初方案审定为准</t>
  </si>
  <si>
    <t>2015-04-08</t>
  </si>
  <si>
    <t>沈阳福源生态农业有限公司</t>
  </si>
  <si>
    <t>GN-YS-02-11-02</t>
  </si>
  <si>
    <t>商业用地(汽车4S店)</t>
  </si>
  <si>
    <t>不大于1.7、地下以批准的设计方案为准</t>
  </si>
  <si>
    <t>沈阳路安通汽车销售服务有限公司</t>
  </si>
  <si>
    <t>浑南区GN-YX-02-11</t>
  </si>
  <si>
    <t>不大于1.8、地下以批准的设计方案为准</t>
  </si>
  <si>
    <t>2014-12-22</t>
  </si>
  <si>
    <t>沈阳盛业置业有限公司</t>
  </si>
  <si>
    <r>
      <rPr>
        <sz val="10"/>
        <rFont val="宋体"/>
        <family val="3"/>
        <charset val="134"/>
      </rPr>
      <t>全运片区地价</t>
    </r>
    <phoneticPr fontId="140" type="noConversion"/>
  </si>
  <si>
    <t>楼面价</t>
    <phoneticPr fontId="140" type="noConversion"/>
  </si>
  <si>
    <r>
      <rPr>
        <sz val="10"/>
        <rFont val="宋体"/>
        <family val="3"/>
        <charset val="134"/>
      </rPr>
      <t>土地面积</t>
    </r>
    <phoneticPr fontId="140" type="noConversion"/>
  </si>
  <si>
    <r>
      <rPr>
        <sz val="10"/>
        <rFont val="宋体"/>
        <family val="3"/>
        <charset val="134"/>
      </rPr>
      <t>建筑面积</t>
    </r>
    <phoneticPr fontId="140" type="noConversion"/>
  </si>
  <si>
    <t>经济技术开发区</t>
  </si>
  <si>
    <t>小于或等于2.6</t>
  </si>
  <si>
    <t>2021-03-04</t>
  </si>
  <si>
    <t>沈阳中德城市发展有限公司</t>
  </si>
  <si>
    <t>苏家屯区</t>
  </si>
  <si>
    <t>小于或等于1</t>
  </si>
  <si>
    <t>2020-11-17</t>
  </si>
  <si>
    <t>国网辽宁省电力有限公司沈阳供电公司</t>
  </si>
  <si>
    <t>宁官06</t>
  </si>
  <si>
    <t>小于或等于3.5</t>
  </si>
  <si>
    <t>2020-10-14</t>
  </si>
  <si>
    <t>沈阳中德园开发建设集团有限公司</t>
  </si>
  <si>
    <t>七星海世界西地块</t>
  </si>
  <si>
    <t>小于或等于4</t>
  </si>
  <si>
    <t>商业用地(B1),商务用地(B2)</t>
  </si>
  <si>
    <t>沈阳华盛置业有限公司</t>
  </si>
  <si>
    <t>富佳园西</t>
  </si>
  <si>
    <t>小于或等于2.8</t>
  </si>
  <si>
    <t>辽宁东方创展置业有限公司</t>
  </si>
  <si>
    <t>姚千街道旅游大道北2号</t>
  </si>
  <si>
    <t>2020-07-01</t>
  </si>
  <si>
    <t>沈阳方德小镇建设运营有限公司</t>
  </si>
  <si>
    <t>姚千街道旅游大道北1号</t>
  </si>
  <si>
    <t>≤1.3</t>
  </si>
  <si>
    <t>沈北新区</t>
  </si>
  <si>
    <t>小于或等于2.1</t>
  </si>
  <si>
    <t>2020-02-12</t>
  </si>
  <si>
    <t>沈阳国字菜蓝子农业发展有限公司</t>
  </si>
  <si>
    <t>中法15</t>
  </si>
  <si>
    <t>2019-11-15</t>
  </si>
  <si>
    <t>沈阳杉杉奥特莱斯购物广场有限公司</t>
  </si>
  <si>
    <t>雨润西-1地块</t>
  </si>
  <si>
    <t>≤2.0</t>
  </si>
  <si>
    <t>零售商业用地(B11)</t>
  </si>
  <si>
    <t>2019-10-11</t>
  </si>
  <si>
    <t>沈阳市蒲河万达地产开发有限公司</t>
  </si>
  <si>
    <t>原地税所地块</t>
  </si>
  <si>
    <t>≤3.5</t>
  </si>
  <si>
    <t>2019-09-12</t>
  </si>
  <si>
    <t>沈阳万邦置业有限公司</t>
  </si>
  <si>
    <t>辽大南地块</t>
  </si>
  <si>
    <t>加油加气站用地</t>
  </si>
  <si>
    <t>2019-04-10</t>
  </si>
  <si>
    <t>中海油销售辽宁有限公司</t>
  </si>
  <si>
    <t>107省道北侧-11</t>
  </si>
  <si>
    <t>商业(餐饮用地、旅馆用地)</t>
  </si>
  <si>
    <t>2018-12-25</t>
  </si>
  <si>
    <t>沈阳美加欧观赏树种研发有限公司</t>
  </si>
  <si>
    <t>亚泰四期北侧地块</t>
  </si>
  <si>
    <t>≤2.8</t>
  </si>
  <si>
    <t>新城控股集团房地产开发有限公司</t>
  </si>
  <si>
    <t>203国道西侧-47</t>
  </si>
  <si>
    <t>商业(零售商业用地)</t>
  </si>
  <si>
    <t>沈阳市晟基商贸有限公司</t>
  </si>
  <si>
    <t>蒲河大道北侧-196</t>
  </si>
  <si>
    <t>商业(娱乐康体用地)</t>
  </si>
  <si>
    <t>沈阳仟睿达水上娱乐有限公司</t>
  </si>
  <si>
    <t>107省道南侧-9</t>
  </si>
  <si>
    <t>商业(娱乐康体设施)</t>
  </si>
  <si>
    <t>沈阳锦泉蓝湾房地产开发有限公司</t>
  </si>
  <si>
    <t>沈北开发大道北侧-171</t>
  </si>
  <si>
    <t>≤1</t>
  </si>
  <si>
    <t>公用设施营业网点</t>
  </si>
  <si>
    <t>2018-11-13</t>
  </si>
  <si>
    <t>中国石油天然气股份有限公司辽宁沈阳销售分公司</t>
  </si>
  <si>
    <t>蒲河大道北侧-211</t>
  </si>
  <si>
    <t>≤4(旅馆用地≤30%、其它商务用地≤70%)</t>
  </si>
  <si>
    <t>商业(旅馆用地、其它商务用地)</t>
  </si>
  <si>
    <t>付英天</t>
  </si>
  <si>
    <t>积水潭医院南</t>
  </si>
  <si>
    <t>商业服务业设施用地</t>
  </si>
  <si>
    <t>2018-10-24</t>
  </si>
  <si>
    <t>张建运</t>
  </si>
  <si>
    <t>苏家屯区佟沟街道沈丹高速东4号地块</t>
  </si>
  <si>
    <t>商业服务业设施用地(娱乐康体用地)</t>
  </si>
  <si>
    <t>2018-09-29</t>
  </si>
  <si>
    <t>沈阳恒凌旅游发展有限公司</t>
  </si>
  <si>
    <t>苏家屯区佟沟街道沈丹高速东8号地块</t>
  </si>
  <si>
    <t>商业服务业设施用地(商业用地)</t>
  </si>
  <si>
    <t>沈阳恒纳旅游发展有限公司</t>
  </si>
  <si>
    <t>苏家屯区佟沟街道沈丹高速东6号地块</t>
  </si>
  <si>
    <t>苏家屯区佟沟街道沈丹高速东2号地块</t>
  </si>
  <si>
    <t>≤0.5</t>
  </si>
  <si>
    <t>沈阳恒赛旅游发展有限公司</t>
  </si>
  <si>
    <t>苏家屯区佟沟街道沈丹高速东1号地块</t>
  </si>
  <si>
    <t>沈阳恒厦旅游发展有限公司</t>
  </si>
  <si>
    <t>苏家屯区佟沟街道沈丹高速东3号地块</t>
  </si>
  <si>
    <t>苏家屯区佟沟街道沈丹高速东7号地块</t>
  </si>
  <si>
    <t>沈北开发大道北侧-164</t>
  </si>
  <si>
    <t>≤2.5(旅馆用地≤30%、其它商务用地≤70%)</t>
  </si>
  <si>
    <t>2018-09-11</t>
  </si>
  <si>
    <t>沈阳光谷联合发展有限公司</t>
  </si>
  <si>
    <t>101国道东侧-93</t>
  </si>
  <si>
    <t>≤3.0(旅馆用地≤30%、其它商务用地≤70%)</t>
  </si>
  <si>
    <t>中北建工有限公司</t>
  </si>
  <si>
    <t>于洪区</t>
  </si>
  <si>
    <t>≤2.4</t>
  </si>
  <si>
    <t>2018-08-29</t>
  </si>
  <si>
    <t>沈阳奥悦冰雪旅游投资有限公司</t>
  </si>
  <si>
    <t>107省道南侧-10</t>
  </si>
  <si>
    <t>2018-07-17</t>
  </si>
  <si>
    <t>北汤国际康养小镇开发有限公司</t>
  </si>
  <si>
    <t>102国道东侧-37地块</t>
  </si>
  <si>
    <t>沈阳嘉源置业有限公司</t>
  </si>
  <si>
    <t>102国道东侧-34地块</t>
  </si>
  <si>
    <t>蒲河大道南侧-108地块</t>
  </si>
  <si>
    <t>2018-04-19</t>
  </si>
  <si>
    <t>沈阳百岁生物科技产业园开发有限公司(百岁生物)</t>
  </si>
  <si>
    <t>苏家屯区枫杨路南地块</t>
  </si>
  <si>
    <t>批发零售用地</t>
  </si>
  <si>
    <t>2018-03-06</t>
  </si>
  <si>
    <t>沈阳苏家屯苏宁易购商业管理有限公司</t>
  </si>
  <si>
    <t>苏家屯区南京南街西</t>
  </si>
  <si>
    <t>新生活集团(中国)有限公司</t>
  </si>
  <si>
    <t>铁西区保工街北四路</t>
  </si>
  <si>
    <t>≤1.6</t>
  </si>
  <si>
    <t>沈阳福泰源房地产开发有限公司</t>
  </si>
  <si>
    <t>六号街市场</t>
  </si>
  <si>
    <t>2017-09-08</t>
  </si>
  <si>
    <t>蒲河大道北侧-195</t>
  </si>
  <si>
    <t>商业(其他商务用地)</t>
  </si>
  <si>
    <t>2017-08-30</t>
  </si>
  <si>
    <t>沈阳中盟自贸置业有限公司</t>
  </si>
  <si>
    <t>沈北开发大道南侧-176地块</t>
  </si>
  <si>
    <t>≤1.8</t>
  </si>
  <si>
    <t>2016-12-20</t>
  </si>
  <si>
    <t>辽宁新益农信息科技有限公司</t>
  </si>
  <si>
    <t>沈北开发大道北侧-159地块</t>
  </si>
  <si>
    <t>迪卡侬(沈阳)体育用品有限公司</t>
  </si>
  <si>
    <t>101国道西侧-95地块</t>
  </si>
  <si>
    <t>≥1.8</t>
  </si>
  <si>
    <t>其它服务设施用地(其他商服用地)</t>
  </si>
  <si>
    <t>2016-12-09</t>
  </si>
  <si>
    <t>辽宁权健肿瘤医院</t>
  </si>
  <si>
    <t>苏家屯区雪莲街东沈抚灌渠南地块</t>
  </si>
  <si>
    <t>≥0.22</t>
  </si>
  <si>
    <t>商业服务业设施用地(加油加气站)</t>
  </si>
  <si>
    <t>2016-11-01</t>
  </si>
  <si>
    <t>辽宁石油实业发展公司</t>
  </si>
  <si>
    <t>苏家屯区丁香街西四环路北1号地块</t>
  </si>
  <si>
    <t>≥0.5</t>
  </si>
  <si>
    <t>商业服务业设施用地(加气站用地)</t>
  </si>
  <si>
    <t>2016-08-02</t>
  </si>
  <si>
    <t>沈阳石油天然气有限公司</t>
  </si>
  <si>
    <t>苏家屯区姚千街道马耳山村1号地块</t>
  </si>
  <si>
    <t>≥5.0</t>
  </si>
  <si>
    <t>商业服务业设施用地(餐饮、旅馆用地)</t>
  </si>
  <si>
    <t>2016-06-03</t>
  </si>
  <si>
    <t>沈阳新城旅游度假有限公司</t>
  </si>
  <si>
    <t>新华宾馆仓库</t>
  </si>
  <si>
    <t>≤1.8且≥2.0</t>
  </si>
  <si>
    <t>2015-12-02</t>
  </si>
  <si>
    <t>康凯</t>
  </si>
  <si>
    <t>兴华印刷厂南</t>
  </si>
  <si>
    <t>≥1.7</t>
  </si>
  <si>
    <t>2015-08-27</t>
  </si>
  <si>
    <t>沈阳汇鑫融置业有限公司</t>
  </si>
  <si>
    <t>苏家屯区沙河街道四环路北40米规划路西1号地块</t>
  </si>
  <si>
    <t>≥2.1</t>
  </si>
  <si>
    <t>2015-08-18</t>
  </si>
  <si>
    <t>沈阳盛世新兴格力电器销售有限公司</t>
  </si>
  <si>
    <t>于洪区九龙河南1号地块</t>
  </si>
  <si>
    <t>≤1.5、＞1.0</t>
  </si>
  <si>
    <t>辽宁隆启农业科技有限公司</t>
  </si>
  <si>
    <t>蒲河大道北侧-182地块</t>
  </si>
  <si>
    <t>≥1.5</t>
  </si>
  <si>
    <t>2015-06-30</t>
  </si>
  <si>
    <t>正常</t>
  </si>
  <si>
    <t>较好</t>
  </si>
  <si>
    <t>一般</t>
  </si>
  <si>
    <t>未包含在土地购买价格中</t>
  </si>
  <si>
    <t>已包含在土地取得成本中</t>
  </si>
  <si>
    <t>成本法</t>
  </si>
  <si>
    <t>现房</t>
  </si>
  <si>
    <t>项目全部</t>
  </si>
  <si>
    <t>其他省市系数</t>
  </si>
  <si>
    <t>A</t>
    <phoneticPr fontId="140" type="noConversion"/>
  </si>
  <si>
    <t>B</t>
    <phoneticPr fontId="140" type="noConversion"/>
  </si>
  <si>
    <t>C</t>
    <phoneticPr fontId="140" type="noConversion"/>
  </si>
  <si>
    <r>
      <t>住宅地块主要成交价格为5</t>
    </r>
    <r>
      <rPr>
        <sz val="11"/>
        <color theme="1"/>
        <rFont val="宋体"/>
        <family val="3"/>
        <charset val="134"/>
        <scheme val="minor"/>
      </rPr>
      <t>000-6000元/平方米</t>
    </r>
    <phoneticPr fontId="140" type="noConversion"/>
  </si>
  <si>
    <t>住宅售价位于10000-15000左右</t>
    <phoneticPr fontId="140" type="noConversion"/>
  </si>
  <si>
    <t>东侧商业地块成交价格在300左右、住宅地块成交价格在2000左右，住宅售价在8000-10000之间</t>
    <phoneticPr fontId="140" type="noConversion"/>
  </si>
  <si>
    <r>
      <t>铁西区地块附近住宅售价1</t>
    </r>
    <r>
      <rPr>
        <sz val="11"/>
        <color theme="1"/>
        <rFont val="宋体"/>
        <family val="3"/>
        <charset val="134"/>
        <scheme val="minor"/>
      </rPr>
      <t>0000左右</t>
    </r>
    <phoneticPr fontId="140" type="noConversion"/>
  </si>
  <si>
    <t>总价</t>
  </si>
  <si>
    <t>成本比率</t>
  </si>
  <si>
    <t>情况3</t>
  </si>
  <si>
    <t>自行开发建设</t>
  </si>
  <si>
    <t>非个人房产</t>
  </si>
  <si>
    <t>出让金+开发费</t>
  </si>
  <si>
    <t>企业提供（在右侧录入）</t>
  </si>
  <si>
    <t>商业建筑面积</t>
    <phoneticPr fontId="140" type="noConversion"/>
  </si>
  <si>
    <t>楼层</t>
    <phoneticPr fontId="140" type="noConversion"/>
  </si>
  <si>
    <t xml:space="preserve">沈阳市人民政府关于调整全市城镇土地使用税地段等级和税额标准的通知（沈政发【2012】38号）
</t>
    <phoneticPr fontId="140" type="noConversion"/>
  </si>
  <si>
    <t>写字楼售价位于8500-12000之间，租金位于1-1.5之间</t>
    <phoneticPr fontId="140" type="noConversion"/>
  </si>
  <si>
    <t>年租金36万。带车位，租金约4元</t>
    <phoneticPr fontId="140" type="noConversion"/>
  </si>
  <si>
    <t>住宅小区1层商铺租金</t>
    <phoneticPr fontId="140" type="noConversion"/>
  </si>
  <si>
    <t>挨着万达奥体店</t>
    <phoneticPr fontId="140" type="noConversion"/>
  </si>
  <si>
    <t>周边挨着理工大学商铺约6元租金</t>
    <phoneticPr fontId="140" type="noConversion"/>
  </si>
  <si>
    <t>住宅售价与估价对象位置价值水平相当</t>
    <phoneticPr fontId="140" type="noConversion"/>
  </si>
  <si>
    <r>
      <t>商寓1</t>
    </r>
    <r>
      <rPr>
        <sz val="11"/>
        <color theme="1"/>
        <rFont val="宋体"/>
        <family val="3"/>
        <charset val="134"/>
        <scheme val="minor"/>
      </rPr>
      <t>2000</t>
    </r>
    <phoneticPr fontId="140" type="noConversion"/>
  </si>
  <si>
    <t>自持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</si>
</sst>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0" fillId="16" borderId="0" xfId="0" applyFill="1">
      <alignment vertical="center"/>
    </xf>
    <xf numFmtId="0" fontId="55" fillId="0" borderId="0" xfId="17"/>
    <xf numFmtId="0" fontId="55" fillId="16" borderId="0" xfId="17" applyFill="1"/>
    <xf numFmtId="0" fontId="55" fillId="0" borderId="0" xfId="17" applyFill="1"/>
    <xf numFmtId="0" fontId="55" fillId="5" borderId="0" xfId="17" applyFill="1"/>
    <xf numFmtId="0" fontId="0" fillId="5" borderId="0" xfId="0" applyFill="1">
      <alignment vertical="center"/>
    </xf>
    <xf numFmtId="0" fontId="55" fillId="0" borderId="0" xfId="17"/>
    <xf numFmtId="191" fontId="56" fillId="0" borderId="1" xfId="0" applyNumberFormat="1" applyFont="1" applyFill="1" applyBorder="1" applyAlignment="1" applyProtection="1">
      <alignment horizontal="left"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0" fillId="16" borderId="0" xfId="0" applyFill="1" applyAlignment="1">
      <alignment horizontal="center" vertical="center"/>
    </xf>
    <xf numFmtId="0" fontId="98" fillId="0" borderId="0" xfId="0" applyFont="1" applyAlignment="1">
      <alignment vertical="center" wrapText="1"/>
    </xf>
    <xf numFmtId="0" fontId="134" fillId="20" borderId="46" xfId="0" applyFont="1" applyFill="1" applyBorder="1" applyAlignment="1" applyProtection="1">
      <alignment horizontal="center" vertical="center" wrapText="1"/>
      <protection locked="0"/>
    </xf>
    <xf numFmtId="10" fontId="46" fillId="21" borderId="1" xfId="0" applyNumberFormat="1" applyFont="1" applyFill="1" applyBorder="1" applyAlignment="1" applyProtection="1">
      <alignment horizontal="center" vertical="center"/>
      <protection locked="0"/>
    </xf>
    <xf numFmtId="181" fontId="103" fillId="21" borderId="1" xfId="0" applyNumberFormat="1" applyFont="1" applyFill="1" applyBorder="1" applyAlignment="1" applyProtection="1">
      <alignment horizontal="center" vertical="center"/>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52</xdr:row>
      <xdr:rowOff>47625</xdr:rowOff>
    </xdr:from>
    <xdr:to>
      <xdr:col>11</xdr:col>
      <xdr:colOff>371476</xdr:colOff>
      <xdr:row>61</xdr:row>
      <xdr:rowOff>34235</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1" y="8963025"/>
          <a:ext cx="8763000" cy="1529660"/>
        </a:xfrm>
        <a:prstGeom prst="rect">
          <a:avLst/>
        </a:prstGeom>
      </xdr:spPr>
    </xdr:pic>
    <xdr:clientData/>
  </xdr:twoCellAnchor>
  <xdr:twoCellAnchor editAs="oneCell">
    <xdr:from>
      <xdr:col>0</xdr:col>
      <xdr:colOff>0</xdr:colOff>
      <xdr:row>114</xdr:row>
      <xdr:rowOff>0</xdr:rowOff>
    </xdr:from>
    <xdr:to>
      <xdr:col>10</xdr:col>
      <xdr:colOff>123825</xdr:colOff>
      <xdr:row>134</xdr:row>
      <xdr:rowOff>26614</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2"/>
        <a:stretch>
          <a:fillRect/>
        </a:stretch>
      </xdr:blipFill>
      <xdr:spPr>
        <a:xfrm>
          <a:off x="0" y="19545300"/>
          <a:ext cx="7829550" cy="3455614"/>
        </a:xfrm>
        <a:prstGeom prst="rect">
          <a:avLst/>
        </a:prstGeom>
      </xdr:spPr>
    </xdr:pic>
    <xdr:clientData/>
  </xdr:twoCellAnchor>
  <xdr:twoCellAnchor editAs="oneCell">
    <xdr:from>
      <xdr:col>0</xdr:col>
      <xdr:colOff>0</xdr:colOff>
      <xdr:row>135</xdr:row>
      <xdr:rowOff>1</xdr:rowOff>
    </xdr:from>
    <xdr:to>
      <xdr:col>9</xdr:col>
      <xdr:colOff>606507</xdr:colOff>
      <xdr:row>156</xdr:row>
      <xdr:rowOff>19051</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3"/>
        <a:stretch>
          <a:fillRect/>
        </a:stretch>
      </xdr:blipFill>
      <xdr:spPr>
        <a:xfrm>
          <a:off x="0" y="23145751"/>
          <a:ext cx="6664407" cy="3943350"/>
        </a:xfrm>
        <a:prstGeom prst="rect">
          <a:avLst/>
        </a:prstGeom>
      </xdr:spPr>
    </xdr:pic>
    <xdr:clientData/>
  </xdr:twoCellAnchor>
  <xdr:twoCellAnchor editAs="oneCell">
    <xdr:from>
      <xdr:col>0</xdr:col>
      <xdr:colOff>0</xdr:colOff>
      <xdr:row>159</xdr:row>
      <xdr:rowOff>18609</xdr:rowOff>
    </xdr:from>
    <xdr:to>
      <xdr:col>9</xdr:col>
      <xdr:colOff>495300</xdr:colOff>
      <xdr:row>179</xdr:row>
      <xdr:rowOff>85078</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4"/>
        <a:stretch>
          <a:fillRect/>
        </a:stretch>
      </xdr:blipFill>
      <xdr:spPr>
        <a:xfrm>
          <a:off x="0" y="27279159"/>
          <a:ext cx="6553200" cy="3495469"/>
        </a:xfrm>
        <a:prstGeom prst="rect">
          <a:avLst/>
        </a:prstGeom>
      </xdr:spPr>
    </xdr:pic>
    <xdr:clientData/>
  </xdr:twoCellAnchor>
  <xdr:twoCellAnchor editAs="oneCell">
    <xdr:from>
      <xdr:col>0</xdr:col>
      <xdr:colOff>0</xdr:colOff>
      <xdr:row>181</xdr:row>
      <xdr:rowOff>9525</xdr:rowOff>
    </xdr:from>
    <xdr:to>
      <xdr:col>9</xdr:col>
      <xdr:colOff>473020</xdr:colOff>
      <xdr:row>201</xdr:row>
      <xdr:rowOff>104124</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a:stretch>
          <a:fillRect/>
        </a:stretch>
      </xdr:blipFill>
      <xdr:spPr>
        <a:xfrm>
          <a:off x="0" y="31041975"/>
          <a:ext cx="6530920" cy="3523599"/>
        </a:xfrm>
        <a:prstGeom prst="rect">
          <a:avLst/>
        </a:prstGeom>
      </xdr:spPr>
    </xdr:pic>
    <xdr:clientData/>
  </xdr:twoCellAnchor>
  <xdr:twoCellAnchor editAs="oneCell">
    <xdr:from>
      <xdr:col>10</xdr:col>
      <xdr:colOff>542925</xdr:colOff>
      <xdr:row>115</xdr:row>
      <xdr:rowOff>40821</xdr:rowOff>
    </xdr:from>
    <xdr:to>
      <xdr:col>21</xdr:col>
      <xdr:colOff>569958</xdr:colOff>
      <xdr:row>134</xdr:row>
      <xdr:rowOff>27914</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a:stretch>
          <a:fillRect/>
        </a:stretch>
      </xdr:blipFill>
      <xdr:spPr>
        <a:xfrm>
          <a:off x="8248650" y="19757571"/>
          <a:ext cx="7570833" cy="3244643"/>
        </a:xfrm>
        <a:prstGeom prst="rect">
          <a:avLst/>
        </a:prstGeom>
      </xdr:spPr>
    </xdr:pic>
    <xdr:clientData/>
  </xdr:twoCellAnchor>
  <xdr:twoCellAnchor editAs="oneCell">
    <xdr:from>
      <xdr:col>10</xdr:col>
      <xdr:colOff>457200</xdr:colOff>
      <xdr:row>139</xdr:row>
      <xdr:rowOff>57150</xdr:rowOff>
    </xdr:from>
    <xdr:to>
      <xdr:col>16</xdr:col>
      <xdr:colOff>409067</xdr:colOff>
      <xdr:row>169</xdr:row>
      <xdr:rowOff>75555</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a:stretch>
          <a:fillRect/>
        </a:stretch>
      </xdr:blipFill>
      <xdr:spPr>
        <a:xfrm>
          <a:off x="8162925" y="24212550"/>
          <a:ext cx="4066667" cy="5161905"/>
        </a:xfrm>
        <a:prstGeom prst="rect">
          <a:avLst/>
        </a:prstGeom>
      </xdr:spPr>
    </xdr:pic>
    <xdr:clientData/>
  </xdr:twoCellAnchor>
  <xdr:twoCellAnchor editAs="oneCell">
    <xdr:from>
      <xdr:col>0</xdr:col>
      <xdr:colOff>0</xdr:colOff>
      <xdr:row>205</xdr:row>
      <xdr:rowOff>38100</xdr:rowOff>
    </xdr:from>
    <xdr:to>
      <xdr:col>11</xdr:col>
      <xdr:colOff>141809</xdr:colOff>
      <xdr:row>231</xdr:row>
      <xdr:rowOff>94686</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8"/>
        <a:stretch>
          <a:fillRect/>
        </a:stretch>
      </xdr:blipFill>
      <xdr:spPr>
        <a:xfrm>
          <a:off x="0" y="35509200"/>
          <a:ext cx="8533334" cy="4514286"/>
        </a:xfrm>
        <a:prstGeom prst="rect">
          <a:avLst/>
        </a:prstGeom>
      </xdr:spPr>
    </xdr:pic>
    <xdr:clientData/>
  </xdr:twoCellAnchor>
  <xdr:twoCellAnchor editAs="oneCell">
    <xdr:from>
      <xdr:col>0</xdr:col>
      <xdr:colOff>0</xdr:colOff>
      <xdr:row>232</xdr:row>
      <xdr:rowOff>0</xdr:rowOff>
    </xdr:from>
    <xdr:to>
      <xdr:col>11</xdr:col>
      <xdr:colOff>27523</xdr:colOff>
      <xdr:row>258</xdr:row>
      <xdr:rowOff>28015</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9"/>
        <a:stretch>
          <a:fillRect/>
        </a:stretch>
      </xdr:blipFill>
      <xdr:spPr>
        <a:xfrm>
          <a:off x="0" y="40100250"/>
          <a:ext cx="8419048" cy="4485715"/>
        </a:xfrm>
        <a:prstGeom prst="rect">
          <a:avLst/>
        </a:prstGeom>
      </xdr:spPr>
    </xdr:pic>
    <xdr:clientData/>
  </xdr:twoCellAnchor>
  <xdr:twoCellAnchor editAs="oneCell">
    <xdr:from>
      <xdr:col>0</xdr:col>
      <xdr:colOff>0</xdr:colOff>
      <xdr:row>260</xdr:row>
      <xdr:rowOff>0</xdr:rowOff>
    </xdr:from>
    <xdr:to>
      <xdr:col>12</xdr:col>
      <xdr:colOff>275057</xdr:colOff>
      <xdr:row>270</xdr:row>
      <xdr:rowOff>75976</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10"/>
        <a:stretch>
          <a:fillRect/>
        </a:stretch>
      </xdr:blipFill>
      <xdr:spPr>
        <a:xfrm>
          <a:off x="0" y="44900850"/>
          <a:ext cx="9352382" cy="1790476"/>
        </a:xfrm>
        <a:prstGeom prst="rect">
          <a:avLst/>
        </a:prstGeom>
      </xdr:spPr>
    </xdr:pic>
    <xdr:clientData/>
  </xdr:twoCellAnchor>
  <xdr:twoCellAnchor editAs="oneCell">
    <xdr:from>
      <xdr:col>0</xdr:col>
      <xdr:colOff>0</xdr:colOff>
      <xdr:row>271</xdr:row>
      <xdr:rowOff>0</xdr:rowOff>
    </xdr:from>
    <xdr:to>
      <xdr:col>12</xdr:col>
      <xdr:colOff>227438</xdr:colOff>
      <xdr:row>293</xdr:row>
      <xdr:rowOff>142386</xdr:rowOff>
    </xdr:to>
    <xdr:pic>
      <xdr:nvPicPr>
        <xdr:cNvPr id="13" name="图片 12">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11"/>
        <a:stretch>
          <a:fillRect/>
        </a:stretch>
      </xdr:blipFill>
      <xdr:spPr>
        <a:xfrm>
          <a:off x="0" y="46786800"/>
          <a:ext cx="9304763" cy="3914286"/>
        </a:xfrm>
        <a:prstGeom prst="rect">
          <a:avLst/>
        </a:prstGeom>
      </xdr:spPr>
    </xdr:pic>
    <xdr:clientData/>
  </xdr:twoCellAnchor>
  <xdr:twoCellAnchor editAs="oneCell">
    <xdr:from>
      <xdr:col>0</xdr:col>
      <xdr:colOff>0</xdr:colOff>
      <xdr:row>294</xdr:row>
      <xdr:rowOff>0</xdr:rowOff>
    </xdr:from>
    <xdr:to>
      <xdr:col>12</xdr:col>
      <xdr:colOff>465533</xdr:colOff>
      <xdr:row>305</xdr:row>
      <xdr:rowOff>152145</xdr:rowOff>
    </xdr:to>
    <xdr:pic>
      <xdr:nvPicPr>
        <xdr:cNvPr id="14" name="图片 13">
          <a:extLst>
            <a:ext uri="{FF2B5EF4-FFF2-40B4-BE49-F238E27FC236}">
              <a16:creationId xmlns:a16="http://schemas.microsoft.com/office/drawing/2014/main" xmlns="" id="{00000000-0008-0000-2C00-00000E000000}"/>
            </a:ext>
          </a:extLst>
        </xdr:cNvPr>
        <xdr:cNvPicPr>
          <a:picLocks noChangeAspect="1"/>
        </xdr:cNvPicPr>
      </xdr:nvPicPr>
      <xdr:blipFill>
        <a:blip xmlns:r="http://schemas.openxmlformats.org/officeDocument/2006/relationships" r:embed="rId12"/>
        <a:stretch>
          <a:fillRect/>
        </a:stretch>
      </xdr:blipFill>
      <xdr:spPr>
        <a:xfrm>
          <a:off x="0" y="50730150"/>
          <a:ext cx="9542858" cy="2038095"/>
        </a:xfrm>
        <a:prstGeom prst="rect">
          <a:avLst/>
        </a:prstGeom>
      </xdr:spPr>
    </xdr:pic>
    <xdr:clientData/>
  </xdr:twoCellAnchor>
  <xdr:twoCellAnchor editAs="oneCell">
    <xdr:from>
      <xdr:col>0</xdr:col>
      <xdr:colOff>0</xdr:colOff>
      <xdr:row>308</xdr:row>
      <xdr:rowOff>84718</xdr:rowOff>
    </xdr:from>
    <xdr:to>
      <xdr:col>13</xdr:col>
      <xdr:colOff>47625</xdr:colOff>
      <xdr:row>333</xdr:row>
      <xdr:rowOff>75568</xdr:rowOff>
    </xdr:to>
    <xdr:pic>
      <xdr:nvPicPr>
        <xdr:cNvPr id="15" name="图片 14">
          <a:extLst>
            <a:ext uri="{FF2B5EF4-FFF2-40B4-BE49-F238E27FC236}">
              <a16:creationId xmlns:a16="http://schemas.microsoft.com/office/drawing/2014/main" xmlns="" id="{00000000-0008-0000-2C00-00000F000000}"/>
            </a:ext>
          </a:extLst>
        </xdr:cNvPr>
        <xdr:cNvPicPr>
          <a:picLocks noChangeAspect="1"/>
        </xdr:cNvPicPr>
      </xdr:nvPicPr>
      <xdr:blipFill>
        <a:blip xmlns:r="http://schemas.openxmlformats.org/officeDocument/2006/relationships" r:embed="rId13"/>
        <a:stretch>
          <a:fillRect/>
        </a:stretch>
      </xdr:blipFill>
      <xdr:spPr>
        <a:xfrm>
          <a:off x="0" y="53215168"/>
          <a:ext cx="9810750" cy="4277100"/>
        </a:xfrm>
        <a:prstGeom prst="rect">
          <a:avLst/>
        </a:prstGeom>
      </xdr:spPr>
    </xdr:pic>
    <xdr:clientData/>
  </xdr:twoCellAnchor>
  <xdr:twoCellAnchor editAs="oneCell">
    <xdr:from>
      <xdr:col>11</xdr:col>
      <xdr:colOff>0</xdr:colOff>
      <xdr:row>170</xdr:row>
      <xdr:rowOff>0</xdr:rowOff>
    </xdr:from>
    <xdr:to>
      <xdr:col>23</xdr:col>
      <xdr:colOff>313258</xdr:colOff>
      <xdr:row>195</xdr:row>
      <xdr:rowOff>66131</xdr:rowOff>
    </xdr:to>
    <xdr:pic>
      <xdr:nvPicPr>
        <xdr:cNvPr id="3" name="图片 2"/>
        <xdr:cNvPicPr>
          <a:picLocks noChangeAspect="1"/>
        </xdr:cNvPicPr>
      </xdr:nvPicPr>
      <xdr:blipFill>
        <a:blip xmlns:r="http://schemas.openxmlformats.org/officeDocument/2006/relationships" r:embed="rId14"/>
        <a:stretch>
          <a:fillRect/>
        </a:stretch>
      </xdr:blipFill>
      <xdr:spPr>
        <a:xfrm>
          <a:off x="8391525" y="29470350"/>
          <a:ext cx="8542858" cy="4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476250</xdr:colOff>
      <xdr:row>19</xdr:row>
      <xdr:rowOff>52979</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1"/>
          <a:ext cx="6162675" cy="3310528"/>
        </a:xfrm>
        <a:prstGeom prst="rect">
          <a:avLst/>
        </a:prstGeom>
      </xdr:spPr>
    </xdr:pic>
    <xdr:clientData/>
  </xdr:twoCellAnchor>
  <xdr:twoCellAnchor editAs="oneCell">
    <xdr:from>
      <xdr:col>12</xdr:col>
      <xdr:colOff>381000</xdr:colOff>
      <xdr:row>0</xdr:row>
      <xdr:rowOff>0</xdr:rowOff>
    </xdr:from>
    <xdr:to>
      <xdr:col>19</xdr:col>
      <xdr:colOff>170658</xdr:colOff>
      <xdr:row>19</xdr:row>
      <xdr:rowOff>133451</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8810625" y="0"/>
          <a:ext cx="4590258" cy="3391001"/>
        </a:xfrm>
        <a:prstGeom prst="rect">
          <a:avLst/>
        </a:prstGeom>
      </xdr:spPr>
    </xdr:pic>
    <xdr:clientData/>
  </xdr:twoCellAnchor>
  <xdr:twoCellAnchor editAs="oneCell">
    <xdr:from>
      <xdr:col>12</xdr:col>
      <xdr:colOff>428625</xdr:colOff>
      <xdr:row>19</xdr:row>
      <xdr:rowOff>114300</xdr:rowOff>
    </xdr:from>
    <xdr:to>
      <xdr:col>21</xdr:col>
      <xdr:colOff>656425</xdr:colOff>
      <xdr:row>25</xdr:row>
      <xdr:rowOff>142550</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8858250" y="3371850"/>
          <a:ext cx="6400000" cy="2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估价对象为房地产，为所有。根据《国有土地使用证》[]，估价对象（分摊）出让国有建设用地使用权面积为30151.46平方米，建筑面积为97146.7平方米。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估价对象为房地产,为开发建设的，该项目尚在开发建设中。根据《国有土地使用证》[]，估价对象（分摊）出让国有建设用地使用权面积为30151.46平方米，规划建筑面积为97146.7平方米。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2021年4月23日</v>
      </c>
    </row>
    <row r="13" spans="1:2" s="1364" customFormat="1">
      <c r="A13" s="1362" t="s">
        <v>1194</v>
      </c>
      <c r="B13" s="1363"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121794</v>
      </c>
    </row>
    <row r="21" spans="1:2" s="1364" customFormat="1">
      <c r="A21" s="1362" t="s">
        <v>1202</v>
      </c>
      <c r="B21" s="1363">
        <f ca="1">'预评函-2'!D7</f>
        <v>12537</v>
      </c>
    </row>
    <row r="22" spans="1:2" s="1364" customFormat="1">
      <c r="A22" s="1362" t="s">
        <v>1203</v>
      </c>
      <c r="B22" s="1363" t="str">
        <f ca="1">'预评函-2'!D6</f>
        <v>壹拾贰亿壹仟柒佰玖拾肆万元整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121794</v>
      </c>
    </row>
    <row r="31" spans="1:2" s="1364" customFormat="1">
      <c r="A31" s="1362" t="s">
        <v>1241</v>
      </c>
      <c r="B31" s="1363">
        <f ca="1">'预评函-2'!D15</f>
        <v>12537</v>
      </c>
    </row>
    <row r="32" spans="1:2" s="1364" customFormat="1">
      <c r="A32" s="1362" t="s">
        <v>1208</v>
      </c>
      <c r="B32" s="1363" t="str">
        <f ca="1">'预评函-2'!D14</f>
        <v>壹拾贰亿壹仟柒佰玖拾肆万元整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111767</v>
      </c>
    </row>
    <row r="39" spans="1:2" s="1364" customFormat="1">
      <c r="A39" s="1362" t="s">
        <v>1210</v>
      </c>
      <c r="B39" s="1363">
        <f ca="1">'预评函-2'!D21</f>
        <v>11505</v>
      </c>
    </row>
    <row r="40" spans="1:2" s="1364" customFormat="1">
      <c r="A40" s="1362" t="s">
        <v>1211</v>
      </c>
      <c r="B40" s="1363" t="str">
        <f ca="1">'预评函-2'!D20</f>
        <v>壹拾壹亿壹仟柒佰陆拾柒万元整</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97146.700000000012</v>
      </c>
    </row>
    <row r="44" spans="1:2" s="1364" customFormat="1">
      <c r="A44" s="1362" t="s">
        <v>1240</v>
      </c>
      <c r="B44" s="1363" t="str">
        <f>'预评函-3'!C2</f>
        <v>(分摊)土地面积</v>
      </c>
    </row>
    <row r="45" spans="1:2" s="1364" customFormat="1">
      <c r="A45" s="1362" t="s">
        <v>1212</v>
      </c>
      <c r="B45" s="1363">
        <f>'预评函-3'!C4</f>
        <v>30151.46</v>
      </c>
    </row>
    <row r="46" spans="1:2" s="1364" customFormat="1">
      <c r="A46" s="1362" t="s">
        <v>1238</v>
      </c>
      <c r="B46" s="1363" t="str">
        <f>'预评函-3'!D2</f>
        <v>出让国有建设用地使用权价值</v>
      </c>
    </row>
    <row r="47" spans="1:2" s="1364" customFormat="1">
      <c r="A47" s="1362" t="s">
        <v>1213</v>
      </c>
      <c r="B47" s="1363">
        <f ca="1">'预评函-3'!D4</f>
        <v>50910</v>
      </c>
    </row>
    <row r="48" spans="1:2" s="1364" customFormat="1">
      <c r="A48" s="1362" t="s">
        <v>1214</v>
      </c>
      <c r="B48" s="1363">
        <f ca="1">'预评函-3'!E4</f>
        <v>5240</v>
      </c>
    </row>
    <row r="49" spans="1:2" s="1364" customFormat="1">
      <c r="A49" s="1362" t="s">
        <v>1215</v>
      </c>
      <c r="B49" s="1363" t="str">
        <f ca="1">'预评函-3'!D5</f>
        <v>伍亿零玖佰壹拾万元整</v>
      </c>
    </row>
    <row r="50" spans="1:2" s="1364" customFormat="1">
      <c r="A50" s="1362" t="s">
        <v>1239</v>
      </c>
      <c r="B50" s="1363" t="str">
        <f>'预评函-3'!F2</f>
        <v>在建建筑物价值</v>
      </c>
    </row>
    <row r="51" spans="1:2" s="1364" customFormat="1">
      <c r="A51" s="1362" t="s">
        <v>1216</v>
      </c>
      <c r="B51" s="1363">
        <f ca="1">'预评函-3'!F4</f>
        <v>70884</v>
      </c>
    </row>
    <row r="52" spans="1:2" s="1364" customFormat="1">
      <c r="A52" s="1362" t="s">
        <v>1217</v>
      </c>
      <c r="B52" s="1363">
        <f ca="1">'预评函-3'!G4</f>
        <v>7297</v>
      </c>
    </row>
    <row r="53" spans="1:2" s="1364" customFormat="1">
      <c r="A53" s="1362" t="s">
        <v>1245</v>
      </c>
      <c r="B53" s="1363" t="str">
        <f ca="1">'预评函-3'!F5</f>
        <v>柒亿零捌佰捌拾肆万元整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9" t="s">
        <v>832</v>
      </c>
      <c r="C54" s="1736" t="s">
        <v>1248</v>
      </c>
    </row>
    <row r="55" spans="1:4">
      <c r="A55" s="3113"/>
      <c r="B55" s="1739" t="s">
        <v>833</v>
      </c>
      <c r="C55" s="1736" t="s">
        <v>1249</v>
      </c>
    </row>
    <row r="56" spans="1:4">
      <c r="A56" s="3113"/>
      <c r="B56" s="1739" t="s">
        <v>834</v>
      </c>
      <c r="C56" s="1736" t="s">
        <v>1253</v>
      </c>
    </row>
    <row r="57" spans="1:4">
      <c r="A57" s="311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1" sqref="F21:G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2" t="str">
        <f>IF(B10="北京市","北京市",C10)&amp;F10&amp;IF(结果表!G1="在建","出让国有建设用地使用权及在建建筑物",IF(结果表!G1="土地","出让国有建设用地使用权",))&amp;B9&amp;"预评估"</f>
        <v>房地产抵押价值预评估</v>
      </c>
      <c r="C1" s="3123"/>
      <c r="D1" s="3123"/>
      <c r="E1" s="3123"/>
      <c r="F1" s="3123"/>
      <c r="G1" s="3123"/>
      <c r="H1" s="3123"/>
      <c r="I1" s="312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2915</v>
      </c>
      <c r="B2" s="2595"/>
      <c r="C2" s="2596"/>
      <c r="D2" s="2898"/>
      <c r="E2" s="2888"/>
      <c r="F2" s="2888"/>
      <c r="G2" s="2889"/>
      <c r="H2" s="2889"/>
      <c r="I2" s="2889"/>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2916</v>
      </c>
      <c r="B3" s="2597"/>
      <c r="C3" s="2598" t="s">
        <v>2917</v>
      </c>
      <c r="D3" s="2597">
        <v>44309</v>
      </c>
      <c r="E3" s="2889"/>
      <c r="F3" s="2889"/>
      <c r="G3" s="2889"/>
      <c r="H3" s="2889"/>
      <c r="I3" s="2889"/>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0"/>
      <c r="F5" s="2890"/>
      <c r="G5" s="2890"/>
      <c r="H5" s="2890"/>
      <c r="I5" s="2890"/>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8"/>
      <c r="F6" s="2890"/>
      <c r="G6" s="2890"/>
      <c r="H6" s="2890"/>
      <c r="I6" s="2890"/>
      <c r="J6" s="2665"/>
      <c r="K6" s="2840" t="str">
        <f>IF(COUNTIF(B6,"*上海银行*"),"上海银行","")</f>
        <v/>
      </c>
      <c r="L6" s="2838"/>
      <c r="M6" s="2838"/>
      <c r="N6" s="2665"/>
      <c r="O6" s="2676"/>
      <c r="P6" s="2665"/>
      <c r="Q6" s="2665"/>
      <c r="R6" s="2665"/>
    </row>
    <row r="7" spans="1:28">
      <c r="A7" s="2607" t="s">
        <v>2921</v>
      </c>
      <c r="B7" s="2611"/>
      <c r="C7" s="2609"/>
      <c r="D7" s="2610"/>
      <c r="E7" s="2888"/>
      <c r="F7" s="2890"/>
      <c r="G7" s="2890"/>
      <c r="H7" s="2890"/>
      <c r="I7" s="2890"/>
      <c r="J7" s="2665"/>
      <c r="K7" s="2841"/>
      <c r="L7" s="2838"/>
      <c r="M7" s="2838"/>
      <c r="N7" s="2665"/>
      <c r="O7" s="2676"/>
      <c r="P7" s="2665"/>
      <c r="Q7" s="2665"/>
      <c r="R7" s="2665"/>
    </row>
    <row r="8" spans="1:28">
      <c r="A8" s="2612" t="s">
        <v>2922</v>
      </c>
      <c r="B8" s="2613" t="s">
        <v>3062</v>
      </c>
      <c r="C8" s="2614"/>
      <c r="D8" s="3125" t="s">
        <v>2923</v>
      </c>
      <c r="E8" s="2615" t="s">
        <v>3063</v>
      </c>
      <c r="F8" s="2616"/>
      <c r="G8" s="2889"/>
      <c r="H8" s="2889"/>
      <c r="I8" s="2889"/>
      <c r="J8" s="2665"/>
      <c r="K8" s="2839"/>
      <c r="L8" s="2838"/>
      <c r="M8" s="2838"/>
      <c r="N8" s="2665"/>
      <c r="O8" s="2676"/>
      <c r="P8" s="2665"/>
      <c r="Q8" s="2665"/>
      <c r="R8" s="2665"/>
    </row>
    <row r="9" spans="1:28" ht="13.5" thickBot="1">
      <c r="A9" s="2617" t="s">
        <v>2924</v>
      </c>
      <c r="B9" s="2618" t="s">
        <v>3063</v>
      </c>
      <c r="C9" s="2619"/>
      <c r="D9" s="3126"/>
      <c r="E9" s="2618" t="s">
        <v>1252</v>
      </c>
      <c r="F9" s="2620"/>
      <c r="G9" s="2891"/>
      <c r="H9" s="2891"/>
      <c r="I9" s="2891"/>
      <c r="J9" s="2665"/>
      <c r="K9" s="2841"/>
      <c r="L9" s="2838"/>
      <c r="M9" s="2838"/>
      <c r="N9" s="2665"/>
      <c r="O9" s="2676"/>
      <c r="P9" s="2665"/>
      <c r="Q9" s="2665"/>
      <c r="R9" s="2665"/>
    </row>
    <row r="10" spans="1:28" ht="13.5" thickTop="1">
      <c r="A10" s="2621" t="s">
        <v>2925</v>
      </c>
      <c r="B10" s="2622" t="s">
        <v>3064</v>
      </c>
      <c r="C10" s="2623"/>
      <c r="D10" s="2606"/>
      <c r="E10" s="2624" t="s">
        <v>2926</v>
      </c>
      <c r="F10" s="2892"/>
      <c r="G10" s="2893"/>
      <c r="H10" s="2894"/>
      <c r="I10" s="2895"/>
      <c r="J10" s="2665"/>
      <c r="K10" s="2841"/>
      <c r="L10" s="2838"/>
      <c r="M10" s="2838"/>
      <c r="N10" s="2665"/>
      <c r="O10" s="2676"/>
      <c r="P10" s="2665"/>
      <c r="Q10" s="2665"/>
      <c r="R10" s="2665"/>
    </row>
    <row r="11" spans="1:28">
      <c r="A11" s="2625" t="s">
        <v>2927</v>
      </c>
      <c r="B11" s="2626" t="s">
        <v>3065</v>
      </c>
      <c r="C11" s="2627"/>
      <c r="D11" s="2628"/>
      <c r="E11" s="2594"/>
      <c r="F11" s="2594"/>
      <c r="G11" s="2594"/>
      <c r="H11" s="2594"/>
      <c r="I11" s="2594"/>
      <c r="J11" s="2665"/>
      <c r="K11" s="2841"/>
      <c r="L11" s="2838"/>
      <c r="M11" s="2838"/>
      <c r="N11" s="2665"/>
      <c r="O11" s="2676"/>
      <c r="P11" s="2665"/>
      <c r="Q11" s="2665"/>
      <c r="R11" s="2665"/>
    </row>
    <row r="12" spans="1:28">
      <c r="A12" s="2629" t="s">
        <v>2928</v>
      </c>
      <c r="B12" s="2626" t="s">
        <v>3066</v>
      </c>
      <c r="C12" s="329" t="s">
        <v>2929</v>
      </c>
      <c r="D12" s="2630" t="s">
        <v>2930</v>
      </c>
      <c r="E12" s="2630" t="s">
        <v>2931</v>
      </c>
      <c r="F12" s="2630" t="s">
        <v>2932</v>
      </c>
      <c r="G12" s="2630" t="s">
        <v>2933</v>
      </c>
      <c r="H12" s="2630" t="s">
        <v>2934</v>
      </c>
      <c r="I12" s="2630" t="s">
        <v>2935</v>
      </c>
      <c r="J12" s="2665"/>
      <c r="K12" s="2841"/>
      <c r="L12" s="2838"/>
      <c r="M12" s="2838"/>
      <c r="N12" s="2665"/>
      <c r="O12" s="2676"/>
      <c r="P12" s="2665"/>
      <c r="Q12" s="2665"/>
      <c r="R12" s="2665"/>
    </row>
    <row r="13" spans="1:28">
      <c r="A13" s="1241"/>
      <c r="B13" s="2631"/>
      <c r="C13" s="2632" t="s">
        <v>2936</v>
      </c>
      <c r="D13" s="965"/>
      <c r="E13" s="965">
        <v>57789</v>
      </c>
      <c r="F13" s="965"/>
      <c r="G13" s="965"/>
      <c r="H13" s="965"/>
      <c r="I13" s="965"/>
      <c r="J13" s="2665"/>
      <c r="K13" s="2841"/>
      <c r="L13" s="2838"/>
      <c r="M13" s="2838"/>
      <c r="N13" s="2665"/>
      <c r="O13" s="2676"/>
      <c r="P13" s="2665"/>
      <c r="Q13" s="2665"/>
      <c r="R13" s="2665"/>
    </row>
    <row r="14" spans="1:28">
      <c r="A14" s="1241"/>
      <c r="B14" s="2631"/>
      <c r="C14" s="2632" t="s">
        <v>2937</v>
      </c>
      <c r="D14" s="2633"/>
      <c r="E14" s="2633">
        <v>40</v>
      </c>
      <c r="F14" s="2633"/>
      <c r="G14" s="2633"/>
      <c r="H14" s="2633"/>
      <c r="I14" s="2633"/>
      <c r="J14" s="2665"/>
      <c r="K14" s="2842"/>
      <c r="L14" s="2838"/>
      <c r="M14" s="2838"/>
      <c r="N14" s="2665"/>
      <c r="O14" s="2676"/>
      <c r="P14" s="2665"/>
      <c r="Q14" s="2665"/>
      <c r="R14" s="2665"/>
    </row>
    <row r="15" spans="1:28">
      <c r="A15" s="326"/>
      <c r="B15" s="2634"/>
      <c r="C15" s="2635" t="s">
        <v>2938</v>
      </c>
      <c r="D15" s="2636" t="str">
        <f>IF(B12="出让",IF(D13="","",ROUNDDOWN(MIN((D13-$D$3)/365,D14),2)),D14)</f>
        <v/>
      </c>
      <c r="E15" s="2636">
        <f>IF(B12="出让",IF(E13="","",ROUNDDOWN(MIN((E13-$D$3)/365,E14),2)),E14)</f>
        <v>36.93</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3"/>
      <c r="L15" s="2677"/>
      <c r="M15" s="2677"/>
      <c r="N15" s="2735"/>
      <c r="O15" s="2677"/>
      <c r="P15" s="2735"/>
      <c r="Q15" s="2665"/>
      <c r="R15" s="2665"/>
    </row>
    <row r="16" spans="1:28">
      <c r="A16" s="2624" t="s">
        <v>2939</v>
      </c>
      <c r="B16" s="3132"/>
      <c r="C16" s="3133"/>
      <c r="D16" s="3134"/>
      <c r="E16" s="2639" t="s">
        <v>2940</v>
      </c>
      <c r="F16" s="3135"/>
      <c r="G16" s="3136"/>
      <c r="H16" s="3136"/>
      <c r="I16" s="3137"/>
      <c r="J16" s="2665"/>
      <c r="K16" s="2843"/>
      <c r="L16" s="2677"/>
      <c r="M16" s="2677"/>
      <c r="N16" s="2735"/>
      <c r="O16" s="2677"/>
      <c r="P16" s="2735"/>
      <c r="Q16" s="2665"/>
      <c r="R16" s="2665"/>
    </row>
    <row r="17" spans="1:28">
      <c r="A17" s="319" t="s">
        <v>2941</v>
      </c>
      <c r="B17" s="308" t="s">
        <v>2942</v>
      </c>
      <c r="C17" s="11">
        <f>'数据-汇总表'!E3</f>
        <v>97146.700000000012</v>
      </c>
      <c r="D17" s="2545" t="s">
        <v>2943</v>
      </c>
      <c r="E17" s="3138" t="s">
        <v>2944</v>
      </c>
      <c r="F17" s="3139"/>
      <c r="G17" s="3139"/>
      <c r="H17" s="3139"/>
      <c r="I17" s="3140"/>
      <c r="J17" s="2665"/>
      <c r="K17" s="2844"/>
      <c r="L17" s="2677"/>
      <c r="M17" s="2677"/>
      <c r="N17" s="2735"/>
      <c r="O17" s="2677"/>
      <c r="P17" s="2735"/>
      <c r="Q17" s="2665"/>
      <c r="R17" s="2665"/>
      <c r="S17" s="2665"/>
      <c r="T17" s="2665"/>
      <c r="U17" s="2665"/>
      <c r="V17" s="2665"/>
    </row>
    <row r="18" spans="1:28" ht="24.75" thickBot="1">
      <c r="A18" s="2640" t="s">
        <v>2945</v>
      </c>
      <c r="B18" s="1250" t="s">
        <v>2946</v>
      </c>
      <c r="C18" s="2641">
        <f>'数据-汇总表'!D3</f>
        <v>30151.46</v>
      </c>
      <c r="D18" s="1252" t="s">
        <v>2947</v>
      </c>
      <c r="E18" s="3141" t="s">
        <v>2948</v>
      </c>
      <c r="F18" s="3142"/>
      <c r="G18" s="3142"/>
      <c r="H18" s="3142"/>
      <c r="I18" s="3143"/>
      <c r="J18" s="2665"/>
      <c r="K18" s="2844"/>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0"/>
      <c r="I19" s="2890"/>
      <c r="J19" s="2665"/>
      <c r="K19" s="2841"/>
      <c r="L19" s="2838"/>
      <c r="M19" s="2838"/>
      <c r="N19" s="2735"/>
      <c r="O19" s="2677"/>
      <c r="P19" s="2735"/>
      <c r="Q19" s="2665"/>
      <c r="R19" s="2665"/>
      <c r="S19" s="2665"/>
      <c r="T19" s="2665"/>
      <c r="U19" s="2665"/>
      <c r="V19" s="2665"/>
    </row>
    <row r="20" spans="1:28">
      <c r="A20" s="2858" t="s">
        <v>2951</v>
      </c>
      <c r="B20" s="3128" t="s">
        <v>2952</v>
      </c>
      <c r="C20" s="3129"/>
      <c r="D20" s="3130" t="s">
        <v>2953</v>
      </c>
      <c r="E20" s="3131"/>
      <c r="F20" s="2873" t="s">
        <v>1742</v>
      </c>
      <c r="G20" s="2890"/>
      <c r="H20" s="2890"/>
      <c r="I20" s="2890"/>
      <c r="J20" s="2665"/>
      <c r="K20" s="312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8"/>
      <c r="B21" s="2859" t="s">
        <v>2955</v>
      </c>
      <c r="C21" s="2860" t="s">
        <v>1743</v>
      </c>
      <c r="D21" s="1753" t="s">
        <v>2956</v>
      </c>
      <c r="E21" s="2861" t="s">
        <v>1743</v>
      </c>
      <c r="F21" s="2874"/>
      <c r="G21" s="2890"/>
      <c r="H21" s="2890"/>
      <c r="I21" s="2890"/>
      <c r="J21" s="2665"/>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5"/>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3" t="s">
        <v>2958</v>
      </c>
      <c r="B23" s="2728" t="s">
        <v>2959</v>
      </c>
      <c r="C23" s="2864"/>
      <c r="D23" s="2865" t="s">
        <v>2959</v>
      </c>
      <c r="E23" s="2866"/>
      <c r="F23" s="2889"/>
      <c r="G23" s="2890"/>
      <c r="H23" s="2890"/>
      <c r="I23" s="2890"/>
      <c r="J23" s="2665"/>
      <c r="K23" s="2845"/>
      <c r="L23" s="2701"/>
      <c r="M23" s="2838"/>
      <c r="N23" s="2735"/>
      <c r="O23" s="2677"/>
      <c r="P23" s="2735"/>
      <c r="Q23" s="2665"/>
      <c r="R23" s="2665"/>
      <c r="S23" s="2665"/>
      <c r="T23" s="2665"/>
      <c r="U23" s="2665"/>
      <c r="V23" s="2665"/>
    </row>
    <row r="24" spans="1:28">
      <c r="A24" s="2863"/>
      <c r="B24" s="2728" t="s">
        <v>1745</v>
      </c>
      <c r="C24" s="2867"/>
      <c r="D24" s="2863" t="s">
        <v>1745</v>
      </c>
      <c r="E24" s="2868"/>
      <c r="F24" s="2889"/>
      <c r="G24" s="2890"/>
      <c r="H24" s="2890"/>
      <c r="I24" s="2890"/>
      <c r="J24" s="2665"/>
      <c r="K24" s="2845"/>
      <c r="L24" s="2701"/>
      <c r="M24" s="2838"/>
      <c r="N24" s="2735"/>
      <c r="O24" s="2677"/>
      <c r="P24" s="2735"/>
      <c r="Q24" s="2665"/>
      <c r="R24" s="2665"/>
      <c r="S24" s="2665"/>
      <c r="T24" s="2665"/>
      <c r="U24" s="2665"/>
      <c r="V24" s="2665"/>
    </row>
    <row r="25" spans="1:28">
      <c r="A25" s="2863"/>
      <c r="B25" s="2728" t="s">
        <v>1746</v>
      </c>
      <c r="C25" s="2867"/>
      <c r="D25" s="2863" t="s">
        <v>1746</v>
      </c>
      <c r="E25" s="2868"/>
      <c r="F25" s="2889"/>
      <c r="G25" s="2890"/>
      <c r="H25" s="2890"/>
      <c r="I25" s="2890"/>
      <c r="J25" s="2665"/>
      <c r="K25" s="2841"/>
      <c r="L25" s="2838"/>
      <c r="M25" s="2838"/>
      <c r="N25" s="2735"/>
      <c r="O25" s="2677"/>
      <c r="P25" s="2735"/>
      <c r="Q25" s="2665"/>
      <c r="R25" s="2665"/>
      <c r="S25" s="2665"/>
      <c r="T25" s="2665"/>
      <c r="U25" s="2665"/>
      <c r="V25" s="2665"/>
    </row>
    <row r="26" spans="1:28" ht="13.5" thickBot="1">
      <c r="A26" s="2869"/>
      <c r="B26" s="2870" t="s">
        <v>1747</v>
      </c>
      <c r="C26" s="2871"/>
      <c r="D26" s="2869" t="s">
        <v>1747</v>
      </c>
      <c r="E26" s="2872"/>
      <c r="F26" s="2891"/>
      <c r="G26" s="2891"/>
      <c r="H26" s="2891"/>
      <c r="I26" s="2891"/>
      <c r="J26" s="2665"/>
      <c r="K26" s="2841"/>
      <c r="L26" s="2838"/>
      <c r="M26" s="2838"/>
      <c r="N26" s="2735"/>
      <c r="O26" s="2677"/>
      <c r="P26" s="2735"/>
      <c r="Q26" s="2665"/>
      <c r="R26" s="2665"/>
      <c r="S26" s="2665"/>
      <c r="T26" s="2665"/>
      <c r="U26" s="2665"/>
      <c r="V26" s="2665"/>
    </row>
    <row r="27" spans="1:28" ht="13.5" thickTop="1">
      <c r="A27" s="3115" t="s">
        <v>2960</v>
      </c>
      <c r="B27" s="326" t="s">
        <v>2961</v>
      </c>
      <c r="C27" s="2642"/>
      <c r="D27" s="2643"/>
      <c r="E27" s="2890"/>
      <c r="F27" s="2890"/>
      <c r="G27" s="2890"/>
      <c r="H27" s="2890"/>
      <c r="I27" s="2890"/>
      <c r="J27" s="2665"/>
      <c r="K27" s="2843"/>
      <c r="L27" s="2677"/>
      <c r="M27" s="2677"/>
      <c r="N27" s="2735"/>
      <c r="O27" s="2677"/>
      <c r="P27" s="2735"/>
      <c r="Q27" s="2665"/>
      <c r="R27" s="2665"/>
      <c r="S27" s="2665"/>
      <c r="T27" s="2665"/>
      <c r="U27" s="2665"/>
      <c r="V27" s="2665"/>
    </row>
    <row r="28" spans="1:28">
      <c r="A28" s="3115"/>
      <c r="B28" s="308" t="s">
        <v>2962</v>
      </c>
      <c r="C28" s="2644"/>
      <c r="D28" s="2645"/>
      <c r="E28" s="2890"/>
      <c r="F28" s="2890"/>
      <c r="G28" s="2890"/>
      <c r="H28" s="2890"/>
      <c r="I28" s="2890"/>
      <c r="J28" s="2665"/>
      <c r="K28" s="2841"/>
      <c r="L28" s="2838"/>
      <c r="M28" s="2838"/>
      <c r="N28" s="2665"/>
      <c r="O28" s="2676"/>
      <c r="P28" s="2665"/>
      <c r="Q28" s="2665"/>
      <c r="R28" s="2665"/>
      <c r="S28" s="2665"/>
      <c r="T28" s="2665"/>
      <c r="U28" s="2665"/>
      <c r="V28" s="2665"/>
    </row>
    <row r="29" spans="1:28">
      <c r="A29" s="3115"/>
      <c r="B29" s="308" t="s">
        <v>2963</v>
      </c>
      <c r="C29" s="2646"/>
      <c r="D29" s="2647"/>
      <c r="E29" s="2890"/>
      <c r="F29" s="2890"/>
      <c r="G29" s="2890"/>
      <c r="H29" s="2890"/>
      <c r="I29" s="2890"/>
      <c r="J29" s="2665"/>
      <c r="K29" s="2841"/>
      <c r="L29" s="2838"/>
      <c r="M29" s="2838"/>
      <c r="N29" s="2665"/>
      <c r="O29" s="2676"/>
      <c r="P29" s="2665"/>
      <c r="Q29" s="2665"/>
      <c r="R29" s="2665"/>
      <c r="S29" s="2665"/>
      <c r="T29" s="2665"/>
      <c r="U29" s="2665"/>
      <c r="V29" s="2665"/>
    </row>
    <row r="30" spans="1:28">
      <c r="A30" s="3116"/>
      <c r="B30" s="308" t="s">
        <v>2964</v>
      </c>
      <c r="C30" s="3117"/>
      <c r="D30" s="3118"/>
      <c r="E30" s="2890"/>
      <c r="F30" s="2890"/>
      <c r="G30" s="2890"/>
      <c r="H30" s="2890"/>
      <c r="I30" s="2890"/>
      <c r="J30" s="2665"/>
      <c r="K30" s="2841"/>
      <c r="L30" s="2838"/>
      <c r="M30" s="2838"/>
      <c r="N30" s="2665"/>
      <c r="O30" s="2676"/>
      <c r="P30" s="2665"/>
      <c r="Q30" s="2665"/>
      <c r="R30" s="2665"/>
      <c r="S30" s="2665"/>
      <c r="T30" s="2665"/>
      <c r="U30" s="2665"/>
      <c r="V30" s="2665"/>
    </row>
    <row r="31" spans="1:28">
      <c r="A31" s="3119" t="s">
        <v>2965</v>
      </c>
      <c r="B31" s="2648"/>
      <c r="C31" s="2546" t="str">
        <f>IF(B31="现房","成新及维护状况正常否",IF(B31="在建","工程状态是否正常",IF(B31="土地","是否闲置","-")))</f>
        <v>-</v>
      </c>
      <c r="D31" s="1557"/>
      <c r="E31" s="2649"/>
      <c r="F31" s="2890"/>
      <c r="G31" s="2890"/>
      <c r="H31" s="2890"/>
      <c r="I31" s="2890"/>
      <c r="J31" s="2665"/>
      <c r="K31" s="2840"/>
      <c r="L31" s="2838"/>
      <c r="M31" s="2838"/>
      <c r="N31" s="2665"/>
      <c r="O31" s="2676"/>
      <c r="P31" s="2665"/>
      <c r="Q31" s="2665"/>
      <c r="R31" s="2665"/>
      <c r="S31" s="2665"/>
      <c r="T31" s="2665"/>
      <c r="U31" s="2665"/>
      <c r="V31" s="2665"/>
    </row>
    <row r="32" spans="1:28">
      <c r="A32" s="3120"/>
      <c r="B32" s="2648"/>
      <c r="C32" s="2546" t="str">
        <f>IF(B32="现房","成新及维护状况是否正常",IF(B32="在建","工程状态是否正常",IF(B32="土地","是否闲置","-")))</f>
        <v>-</v>
      </c>
      <c r="D32" s="1557"/>
      <c r="E32" s="2649"/>
      <c r="F32" s="2890"/>
      <c r="G32" s="2890"/>
      <c r="H32" s="2890"/>
      <c r="I32" s="2890"/>
      <c r="J32" s="2665"/>
      <c r="K32" s="2841"/>
      <c r="L32" s="2838"/>
      <c r="M32" s="2838"/>
      <c r="N32" s="2665"/>
      <c r="O32" s="2676"/>
      <c r="P32" s="2665"/>
      <c r="Q32" s="2665"/>
      <c r="R32" s="2665"/>
      <c r="S32" s="2665"/>
      <c r="T32" s="2665"/>
      <c r="U32" s="2665"/>
      <c r="V32" s="2665"/>
    </row>
    <row r="33" spans="1:30">
      <c r="A33" s="3120"/>
      <c r="B33" s="2651"/>
      <c r="C33" s="1775" t="str">
        <f>IF(B33="现房","成新及维护状况是否正常",IF(B33="在建","工程状态是否正常",IF(B33="土地","是否闲置","-")))</f>
        <v>-</v>
      </c>
      <c r="D33" s="1549"/>
      <c r="E33" s="2652"/>
      <c r="F33" s="2890"/>
      <c r="G33" s="2890"/>
      <c r="H33" s="2890"/>
      <c r="I33" s="2890"/>
      <c r="J33" s="2665"/>
      <c r="K33" s="2841"/>
      <c r="L33" s="2838"/>
      <c r="M33" s="2838"/>
      <c r="N33" s="2665"/>
      <c r="O33" s="2676"/>
      <c r="P33" s="2665"/>
      <c r="Q33" s="2665"/>
      <c r="R33" s="2665"/>
      <c r="S33" s="2665"/>
      <c r="T33" s="2665"/>
      <c r="U33" s="2665"/>
      <c r="V33" s="2665"/>
    </row>
    <row r="34" spans="1:30">
      <c r="A34" s="308" t="s">
        <v>2966</v>
      </c>
      <c r="B34" s="2214"/>
      <c r="C34" s="2214"/>
      <c r="D34" s="2214"/>
      <c r="E34" s="2214"/>
      <c r="F34" s="2214"/>
      <c r="G34" s="2214"/>
      <c r="H34" s="2214"/>
      <c r="I34" s="2890"/>
      <c r="J34" s="2665"/>
      <c r="K34" s="2653">
        <f>COUNTIF(B34:H34,"——")</f>
        <v>0</v>
      </c>
      <c r="L34" s="329" t="s">
        <v>2967</v>
      </c>
      <c r="M34" s="329" t="s">
        <v>2968</v>
      </c>
      <c r="N34" s="329" t="s">
        <v>2969</v>
      </c>
      <c r="O34" s="329" t="s">
        <v>2970</v>
      </c>
      <c r="P34" s="329" t="s">
        <v>2971</v>
      </c>
      <c r="Q34" s="329" t="s">
        <v>2972</v>
      </c>
      <c r="R34" s="329" t="s">
        <v>2973</v>
      </c>
      <c r="S34" s="3114" t="s">
        <v>2974</v>
      </c>
      <c r="T34" s="2654" t="str">
        <f>NUMBERSTRING(7-K34,1)&amp;"通"</f>
        <v>七通</v>
      </c>
      <c r="U34" s="2665"/>
      <c r="V34" s="2665"/>
    </row>
    <row r="35" spans="1:30">
      <c r="A35" s="2655"/>
      <c r="B35" s="3121" t="s">
        <v>2975</v>
      </c>
      <c r="C35" s="3121"/>
      <c r="D35" s="3121"/>
      <c r="E35" s="3121"/>
      <c r="F35" s="673">
        <f>C10</f>
        <v>0</v>
      </c>
      <c r="G35" s="2890"/>
      <c r="H35" s="2890"/>
      <c r="I35" s="2890"/>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6"/>
      <c r="G36" s="2890"/>
      <c r="H36" s="2890"/>
      <c r="I36" s="2890"/>
      <c r="J36" s="2665"/>
      <c r="K36" s="2841"/>
      <c r="L36" s="2838"/>
      <c r="M36" s="2838"/>
      <c r="N36" s="2665"/>
      <c r="O36" s="2676"/>
      <c r="P36" s="2665"/>
      <c r="Q36" s="2665"/>
      <c r="R36" s="2665"/>
      <c r="S36" s="2665"/>
      <c r="T36" s="2665"/>
      <c r="U36" s="2665"/>
      <c r="V36" s="2665"/>
    </row>
    <row r="37" spans="1:30">
      <c r="A37" s="2856" t="s">
        <v>2976</v>
      </c>
      <c r="B37" s="2657"/>
      <c r="C37" s="2657"/>
      <c r="D37" s="2657"/>
      <c r="E37" s="2657"/>
      <c r="F37" s="2896"/>
      <c r="G37" s="2890"/>
      <c r="H37" s="2890"/>
      <c r="I37" s="2890"/>
      <c r="J37" s="2665"/>
      <c r="K37" s="2841"/>
      <c r="L37" s="2838"/>
      <c r="M37" s="2838"/>
      <c r="N37" s="2665"/>
      <c r="O37" s="2676"/>
      <c r="P37" s="2665"/>
      <c r="Q37" s="2665"/>
      <c r="R37" s="2665"/>
      <c r="S37" s="2665"/>
      <c r="T37" s="2665"/>
      <c r="U37" s="2665"/>
      <c r="V37" s="2665"/>
    </row>
    <row r="38" spans="1:30" ht="13.5" thickBot="1">
      <c r="A38" s="2857" t="s">
        <v>2977</v>
      </c>
      <c r="B38" s="2658"/>
      <c r="C38" s="2658"/>
      <c r="D38" s="2658"/>
      <c r="E38" s="2658"/>
      <c r="F38" s="2897"/>
      <c r="G38" s="2891"/>
      <c r="H38" s="2891"/>
      <c r="I38" s="2891"/>
      <c r="J38" s="2665"/>
      <c r="K38" s="2841"/>
      <c r="L38" s="2838"/>
      <c r="M38" s="2838"/>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5"/>
      <c r="K40" s="2840"/>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1"/>
      <c r="L41" s="2838"/>
      <c r="M41" s="2838"/>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30151.46</v>
      </c>
      <c r="B3" s="14">
        <f>IF(C3="否",G5-AT5,G5)</f>
        <v>97146.700000000012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97146.700000000012</v>
      </c>
      <c r="H5" s="16">
        <f t="shared" ref="H5:AT5" si="0">SUM(H13:H656)</f>
        <v>97146.700000000012</v>
      </c>
      <c r="I5" s="16">
        <f t="shared" si="0"/>
        <v>87183.41</v>
      </c>
      <c r="J5" s="16">
        <f t="shared" si="0"/>
        <v>0</v>
      </c>
      <c r="K5" s="16">
        <f t="shared" si="0"/>
        <v>9963.2900000000009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97146.700000000012</v>
      </c>
      <c r="BA5" s="18">
        <f t="shared" si="1"/>
        <v>97146.700000000012</v>
      </c>
      <c r="BB5" s="18">
        <f t="shared" si="1"/>
        <v>87183.41</v>
      </c>
      <c r="BC5" s="18">
        <f t="shared" si="1"/>
        <v>9963.2900000000009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30151.460000000003</v>
      </c>
      <c r="F6" s="16" t="s">
        <v>1</v>
      </c>
      <c r="G6" s="16" t="s">
        <v>2</v>
      </c>
      <c r="H6" s="20">
        <f>SUMIF(I$12:AB$12,"总值",I6:AB6)</f>
        <v>30151.460000000003</v>
      </c>
      <c r="I6" s="16">
        <f t="shared" ref="I6:AB6" si="2">ROUND($A$3*I5/$B$3,2)</f>
        <v>27059.15</v>
      </c>
      <c r="J6" s="16">
        <f t="shared" si="2"/>
        <v>0</v>
      </c>
      <c r="K6" s="16">
        <f t="shared" si="2"/>
        <v>3092.31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30151.46</v>
      </c>
      <c r="AZ6" s="16" t="s">
        <v>3</v>
      </c>
      <c r="BA6" s="16">
        <f>ROUND($AY$6*BA5/$AZ$5,2)</f>
        <v>30151.46</v>
      </c>
      <c r="BB6" s="16">
        <f>ROUND($AY$6*BB5/$AZ$5,2)</f>
        <v>27059.15</v>
      </c>
      <c r="BC6" s="16">
        <f t="shared" ref="BC6:BH6" si="4">ROUND($AY$6*BC5/$AZ$5,2)</f>
        <v>3092.31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3068</v>
      </c>
      <c r="J9" s="918"/>
      <c r="K9" s="1788" t="s">
        <v>3069</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3067</v>
      </c>
      <c r="E13" s="16">
        <f>IF($C$3="是",ROUND($A$3*G13/$B$3,2),ROUND($A$3*(G13-AT13)/$B$3,2))</f>
        <v>30151.46</v>
      </c>
      <c r="F13" s="32"/>
      <c r="G13" s="33">
        <f>H13+AC13+AT13</f>
        <v>97146.700000000012</v>
      </c>
      <c r="H13" s="20">
        <f>SUMIF(I$12:AB$12,"总值",I13:AB13)</f>
        <v>97146.700000000012</v>
      </c>
      <c r="I13" s="1811">
        <v>87183.41</v>
      </c>
      <c r="J13" s="1811"/>
      <c r="K13" s="1811">
        <v>9963.2900000000009</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30151.46</v>
      </c>
      <c r="AZ13" s="16">
        <f>BA13+BL13</f>
        <v>97146.700000000012</v>
      </c>
      <c r="BA13" s="16">
        <f>SUM(BB13:BK13)</f>
        <v>97146.700000000012</v>
      </c>
      <c r="BB13" s="16">
        <f>IF($D13="是",I13-J13,0)</f>
        <v>87183.41</v>
      </c>
      <c r="BC13" s="16">
        <f>IF($D13="是",K13-L13,0)</f>
        <v>9963.2900000000009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B1" zoomScale="85" zoomScaleNormal="100" zoomScaleSheetLayoutView="85" workbookViewId="0">
      <selection activeCell="G41" sqref="G4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4" t="s">
        <v>1794</v>
      </c>
      <c r="F2" s="2885"/>
      <c r="G2" s="2876"/>
      <c r="H2" s="2877"/>
      <c r="I2" s="2548" t="s">
        <v>1818</v>
      </c>
      <c r="J2" s="2885"/>
      <c r="K2" s="2885"/>
      <c r="L2" s="2885"/>
      <c r="M2" s="2885"/>
      <c r="N2" s="2887"/>
      <c r="O2" s="2885"/>
      <c r="P2" s="2885"/>
    </row>
    <row r="3" spans="1:16" ht="15.75" thickBot="1">
      <c r="A3" s="3156" t="s">
        <v>1791</v>
      </c>
      <c r="B3" s="3156"/>
      <c r="C3" s="3156"/>
      <c r="D3" s="46">
        <f>'数据-基础表'!AY6</f>
        <v>30151.46</v>
      </c>
      <c r="E3" s="46">
        <f>'数据-基础表'!AZ5</f>
        <v>97146.700000000012</v>
      </c>
      <c r="F3" s="2885"/>
      <c r="G3" s="1307"/>
      <c r="H3" s="1157" t="s">
        <v>1792</v>
      </c>
      <c r="I3" s="964">
        <f>ROUND('数据-基础表'!B3/'数据-基础表'!A3,2)</f>
        <v>3.22</v>
      </c>
      <c r="J3" s="2885"/>
      <c r="K3" s="2885"/>
      <c r="L3" s="2885"/>
      <c r="M3" s="2885"/>
      <c r="N3" s="2887"/>
      <c r="O3" s="2885"/>
      <c r="P3" s="2885"/>
    </row>
    <row r="4" spans="1:16" ht="15">
      <c r="A4" s="3157"/>
      <c r="B4" s="3158"/>
      <c r="C4" s="3159"/>
      <c r="D4" s="1826" t="s">
        <v>1793</v>
      </c>
      <c r="E4" s="1827" t="s">
        <v>1794</v>
      </c>
      <c r="F4" s="2885"/>
      <c r="G4" s="2878" t="s">
        <v>1819</v>
      </c>
      <c r="H4" s="1157" t="s">
        <v>1799</v>
      </c>
      <c r="I4" s="964">
        <f>ROUND(SUMIF('数据-基础表'!I9:AS9,"地上",'数据-基础表'!I5:AS5)/'数据-基础表'!A3,2)</f>
        <v>2.89</v>
      </c>
      <c r="J4" s="2885"/>
      <c r="K4" s="2885"/>
      <c r="L4" s="2885"/>
      <c r="M4" s="2885"/>
      <c r="N4" s="2887"/>
      <c r="O4" s="2885"/>
      <c r="P4" s="2885"/>
    </row>
    <row r="5" spans="1:16">
      <c r="A5" s="47" t="s">
        <v>1795</v>
      </c>
      <c r="B5" s="3160" t="s">
        <v>1796</v>
      </c>
      <c r="C5" s="3160"/>
      <c r="D5" s="48">
        <f>ROUND($D$3*E5/$E$3,2)</f>
        <v>0</v>
      </c>
      <c r="E5" s="49">
        <f>SUMIF('数据-基础表'!$11:$11,"住宅",'数据-基础表'!$5:$5)</f>
        <v>0</v>
      </c>
      <c r="F5" s="2885"/>
      <c r="G5" s="1307"/>
      <c r="H5" s="1157" t="s">
        <v>1792</v>
      </c>
      <c r="I5" s="964">
        <f>ROUND(E31/D31,2)</f>
        <v>3.22</v>
      </c>
      <c r="J5" s="2885"/>
      <c r="K5" s="2885"/>
      <c r="L5" s="2885"/>
      <c r="M5" s="2885"/>
      <c r="N5" s="2885"/>
      <c r="O5" s="2885"/>
      <c r="P5" s="2885"/>
    </row>
    <row r="6" spans="1:16" ht="15" thickBot="1">
      <c r="A6" s="1829"/>
      <c r="B6" s="3160" t="s">
        <v>1797</v>
      </c>
      <c r="C6" s="3160"/>
      <c r="D6" s="48">
        <f>ROUND($D$3*E6/$E$3,2)</f>
        <v>30151.46</v>
      </c>
      <c r="E6" s="49">
        <f>E3-E5</f>
        <v>97146.700000000012</v>
      </c>
      <c r="F6" s="2885"/>
      <c r="G6" s="2879" t="s">
        <v>1798</v>
      </c>
      <c r="H6" s="1308" t="s">
        <v>1799</v>
      </c>
      <c r="I6" s="2880">
        <f>ROUND(F31/D31,2)</f>
        <v>2.89</v>
      </c>
      <c r="J6" s="2885"/>
      <c r="K6" s="2885"/>
      <c r="L6" s="2885"/>
      <c r="M6" s="2885"/>
      <c r="N6" s="2885"/>
      <c r="O6" s="2885"/>
      <c r="P6" s="2885"/>
    </row>
    <row r="7" spans="1:16" ht="15.75" thickBot="1">
      <c r="A7" s="3152"/>
      <c r="B7" s="3153"/>
      <c r="C7" s="3154"/>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27059.15</v>
      </c>
      <c r="E8" s="51">
        <f>SUMIF('数据-基础表'!BB10:BK10,"地上",'数据-基础表'!BB5:BK5)</f>
        <v>87183.41</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3092.31</v>
      </c>
      <c r="E10" s="51">
        <f>SUMPRODUCT(('数据-基础表'!BB10:BK10="地下")*('数据-基础表'!BB11:BK11="商业")*('数据-基础表'!BB5:BK5))</f>
        <v>9963.2900000000009</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30151.460000000003</v>
      </c>
      <c r="E16" s="53">
        <f>SUM(E8:E15)</f>
        <v>97146.700000000012</v>
      </c>
      <c r="F16" s="2885"/>
      <c r="G16" s="2886"/>
      <c r="H16" s="1833" t="s">
        <v>1821</v>
      </c>
      <c r="I16" s="1834"/>
      <c r="J16" s="1301"/>
      <c r="K16" s="3149" t="s">
        <v>1821</v>
      </c>
      <c r="L16" s="3150"/>
      <c r="M16" s="3150"/>
      <c r="N16" s="3150"/>
      <c r="O16" s="3150"/>
      <c r="P16" s="3151"/>
    </row>
    <row r="17" spans="1:19" ht="15">
      <c r="A17" s="1835" t="s">
        <v>1822</v>
      </c>
      <c r="B17" s="1836" t="s">
        <v>1823</v>
      </c>
      <c r="C17" s="1837" t="s">
        <v>1824</v>
      </c>
      <c r="D17" s="1838" t="s">
        <v>1812</v>
      </c>
      <c r="E17" s="1839" t="s">
        <v>1813</v>
      </c>
      <c r="F17" s="1840"/>
      <c r="G17" s="1841"/>
      <c r="H17" s="1842" t="s">
        <v>1825</v>
      </c>
      <c r="I17" s="1843" t="s">
        <v>1810</v>
      </c>
      <c r="J17" s="1301"/>
      <c r="K17" s="3146" t="s">
        <v>1826</v>
      </c>
      <c r="L17" s="3147"/>
      <c r="M17" s="3148"/>
      <c r="N17" s="3146" t="s">
        <v>1827</v>
      </c>
      <c r="O17" s="3147"/>
      <c r="P17" s="314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52" t="s">
        <v>3070</v>
      </c>
      <c r="D19" s="48">
        <f>ROUND($D$3*E19/$E$3,2)</f>
        <v>30151.46</v>
      </c>
      <c r="E19" s="56">
        <f t="shared" ref="E19:E26" si="1">SUM(F19:G19)</f>
        <v>97146.700000000012</v>
      </c>
      <c r="F19" s="3025">
        <f>'数据-基础表'!I5</f>
        <v>87183.41</v>
      </c>
      <c r="G19" s="3026">
        <f>'数据-基础表'!K5</f>
        <v>9963.2900000000009</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30151.46</v>
      </c>
      <c r="S19" s="1158">
        <f t="shared" si="5"/>
        <v>97146.700000000012</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30151.46</v>
      </c>
      <c r="E27" s="1303">
        <f>IF(SUM(E19:E26)='数据-基础表'!BA5,SUM(E19:E26),IF(F27="地上面积有误","面积有误","地下面积有误"))</f>
        <v>97146.700000000012</v>
      </c>
      <c r="F27" s="1302">
        <f>IF(SUM(F19:F26)=E8,SUM(F19:F26),"地上面积有误")</f>
        <v>87183.41</v>
      </c>
      <c r="G27" s="1304">
        <f>SUM(G19:G26)</f>
        <v>9963.2900000000009</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30151.46</v>
      </c>
      <c r="S27" s="1157">
        <f>IF(SUM(S19:S26)=$E$3,SUM(S19:S26),SUM(S19:S26)&amp;"误差"&amp;ROUND(SUM(S19:S26)-E3,2))</f>
        <v>97146.700000000012</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30151.46</v>
      </c>
      <c r="E31" s="685">
        <f>E27+E30</f>
        <v>97146.700000000012</v>
      </c>
      <c r="F31" s="686">
        <f>F27+F30</f>
        <v>87183.41</v>
      </c>
      <c r="G31" s="687">
        <f>G27+G30</f>
        <v>9963.2900000000009</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5">
      <c r="D33" s="1864"/>
    </row>
    <row r="36" spans="4:5">
      <c r="D36" s="1823">
        <v>1</v>
      </c>
      <c r="E36" s="1823">
        <v>21717.650900000001</v>
      </c>
    </row>
    <row r="37" spans="4:5">
      <c r="D37" s="1823">
        <v>2</v>
      </c>
      <c r="E37" s="1823">
        <v>21014.830099999999</v>
      </c>
    </row>
    <row r="38" spans="4:5">
      <c r="D38" s="1823">
        <v>3</v>
      </c>
      <c r="E38" s="1823">
        <v>20850.0167</v>
      </c>
    </row>
    <row r="39" spans="4:5">
      <c r="D39" s="1823">
        <v>4</v>
      </c>
      <c r="E39" s="1823">
        <v>19818.5759</v>
      </c>
    </row>
    <row r="40" spans="4:5">
      <c r="D40" s="1823">
        <v>5</v>
      </c>
      <c r="E40" s="1823">
        <v>3491.6035999999999</v>
      </c>
    </row>
    <row r="41" spans="4:5">
      <c r="D41" s="1823">
        <v>5.0999999999999996</v>
      </c>
      <c r="E41" s="1823">
        <v>290.73540000000003</v>
      </c>
    </row>
    <row r="42" spans="4:5">
      <c r="E42" s="1823">
        <f>E36+E37+E38+E39+E40+E41</f>
        <v>87183.412600000011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A21" sqref="A21:A2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4" customFormat="1" ht="15.75" thickBot="1">
      <c r="A2" s="1869" t="s">
        <v>1847</v>
      </c>
      <c r="B2" s="1176">
        <f>项目基本情况!D3</f>
        <v>44309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3072</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57789</v>
      </c>
      <c r="F6" s="68">
        <f>SUMIF(项目基本情况!D$12:I$12,C6,项目基本情况!D$15:I$15)</f>
        <v>36.93</v>
      </c>
      <c r="G6" s="69">
        <f>IF(ISERROR(ROUND(POWER(1+H6,D6-F6)*(POWER(1+H6,F6)-1)/(POWER(1+H6,D6)-1),3)),0,ROUND(POWER(1+H6,D6-F6)*(POWER(1+H6,F6)-1)/(POWER(1+H6,D6)-1),3))</f>
        <v>0.97299999999999998</v>
      </c>
      <c r="H6" s="741">
        <v>0.05</v>
      </c>
      <c r="I6" s="3068">
        <v>5.5E-2</v>
      </c>
      <c r="J6" s="70">
        <v>0.08</v>
      </c>
      <c r="K6" s="1161">
        <f>SUMIF('数据-汇总表'!C$19:C$33,A6,'数据-汇总表'!E$19:E$33)</f>
        <v>97146.700000000012</v>
      </c>
      <c r="L6" s="742">
        <v>5000</v>
      </c>
      <c r="M6" s="71">
        <f t="shared" ref="M6:M14" si="0">ROUND(K6*L6/10000,0)</f>
        <v>48573</v>
      </c>
      <c r="N6" s="740">
        <f>ROUND(58/60,2)</f>
        <v>0.97</v>
      </c>
      <c r="O6" s="71" t="str">
        <f>IF($N$5="成新度","——",ROUND(M6*N6,0))</f>
        <v>——</v>
      </c>
      <c r="P6" s="72" t="str">
        <f>IF($N$5="成新度","——",M6-O6)</f>
        <v>——</v>
      </c>
      <c r="Q6" s="743">
        <v>0.2</v>
      </c>
      <c r="R6" s="73">
        <f ca="1">SUMIF('数据-汇总表'!C$19:C$33,A6,'数据-汇总表'!R$19:R$27)</f>
        <v>30151.46</v>
      </c>
      <c r="S6" s="54">
        <f>IF('数据-汇总表'!$I$17="按面积比例",SUMIF('数据-汇总表'!C$19:C$33,A6,'数据-汇总表'!K$19:K$33),SUMIF('数据-汇总表'!C$19:C$33,A6,'数据-汇总表'!N$19:N$33))</f>
        <v>0</v>
      </c>
      <c r="T6" s="1334">
        <f>ROUND($L$14*S6/10000,0)</f>
        <v>0</v>
      </c>
      <c r="U6" s="3069">
        <v>2.5</v>
      </c>
      <c r="V6" s="3070">
        <v>0.03</v>
      </c>
      <c r="W6" s="3070">
        <v>0.1</v>
      </c>
      <c r="X6" s="1171"/>
      <c r="Y6" s="76">
        <f>N6</f>
        <v>0.97</v>
      </c>
      <c r="Z6" s="77"/>
      <c r="AA6" s="70"/>
      <c r="AB6" s="70"/>
      <c r="AC6" s="1171"/>
      <c r="AD6" s="78"/>
      <c r="AE6" s="1172">
        <f ca="1">IF(AN6="",0,SUMIF(INDIRECT("'"&amp;AN6&amp;"'"&amp;"!E:E"),$AE$5,INDIRECT("'"&amp;AN6&amp;"'"&amp;"!F:F")))</f>
        <v>36.93</v>
      </c>
      <c r="AF6" s="1532"/>
      <c r="AG6" s="143">
        <f>IF(AF6="",0,AE6-AF6)</f>
        <v>0</v>
      </c>
      <c r="AH6" s="79"/>
      <c r="AI6" s="81">
        <v>365</v>
      </c>
      <c r="AJ6" s="82"/>
      <c r="AK6" s="3067">
        <v>1.4999999999999999E-2</v>
      </c>
      <c r="AL6" s="84">
        <v>3.0000000000000001E-3</v>
      </c>
      <c r="AM6" s="85">
        <v>0.02</v>
      </c>
      <c r="AN6" s="1901" t="s">
        <v>3073</v>
      </c>
      <c r="AO6" s="55">
        <f ca="1">SUMIF(INDIRECT("'"&amp;AN6&amp;"'"&amp;"!A:A"),"总价",INDIRECT("'"&amp;AN6&amp;"'"&amp;"!B:B"))</f>
        <v>122698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0.97299999999999998</v>
      </c>
      <c r="H16" s="95">
        <f>ROUND(SUMPRODUCT(H6:H13,K6:K13)/SUMPRODUCT((H6:H13&gt;0)*(K6:K13)),3)</f>
        <v>0.05</v>
      </c>
      <c r="I16" s="96"/>
      <c r="J16" s="96"/>
      <c r="K16" s="97">
        <f>SUM(K6:K15)</f>
        <v>97146.700000000012</v>
      </c>
      <c r="L16" s="98">
        <f>ROUND(M16*10000/SUM(K6:K14),0)</f>
        <v>5000</v>
      </c>
      <c r="M16" s="98">
        <f>SUM(M6:M14)</f>
        <v>48573</v>
      </c>
      <c r="N16" s="99">
        <f>ROUND(SUMPRODUCT(M6:M14,N6:N14)/M16,3)</f>
        <v>0.97</v>
      </c>
      <c r="O16" s="98">
        <f>SUM(O6:O14)</f>
        <v>0</v>
      </c>
      <c r="P16" s="98">
        <f>SUM(P6:P14)</f>
        <v>0</v>
      </c>
      <c r="Q16" s="100">
        <f>ROUND(SUMPRODUCT(Q6:Q13,K6:K13)/SUMPRODUCT((Q6:Q13&gt;0)*(K6:K13)),2)</f>
        <v>0.2</v>
      </c>
      <c r="R16" s="1165">
        <f ca="1">SUM(R6:R13)</f>
        <v>30151.46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99</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962</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0.03</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4" t="s">
        <v>3071</v>
      </c>
      <c r="B40" s="1210">
        <f ca="1">IF(A40="利息：取LPR",存贷款利率!G1,存贷款利率!G1+C40)</f>
        <v>4.3499999999999997E-2</v>
      </c>
      <c r="C40" s="3043">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10.5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137</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v>10.5</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1" t="s">
        <v>3032</v>
      </c>
      <c r="B1" s="3162"/>
      <c r="C1" s="3162"/>
      <c r="D1" s="3162"/>
      <c r="E1" s="3162"/>
      <c r="F1" s="3162"/>
      <c r="G1" s="316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97146.700000000012</v>
      </c>
      <c r="C1" s="2914"/>
      <c r="D1" s="2914"/>
      <c r="E1" s="2914"/>
      <c r="F1" s="2914"/>
      <c r="G1" s="2915"/>
      <c r="H1" s="2916"/>
      <c r="I1" s="2916"/>
      <c r="J1" s="2916"/>
      <c r="K1" s="2916"/>
    </row>
    <row r="2" spans="1:11" ht="16.5">
      <c r="A2" s="2738" t="s">
        <v>1319</v>
      </c>
      <c r="B2" s="2738">
        <f>SUM(C14:C23)</f>
        <v>30151.46</v>
      </c>
      <c r="C2" s="2914"/>
      <c r="D2" s="2914"/>
      <c r="E2" s="2914"/>
      <c r="F2" s="2914"/>
      <c r="G2" s="2915"/>
      <c r="H2" s="2916"/>
      <c r="I2" s="2916"/>
      <c r="J2" s="2916"/>
      <c r="K2" s="2916"/>
    </row>
    <row r="3" spans="1:11" ht="16.5">
      <c r="A3" s="2738" t="s">
        <v>1328</v>
      </c>
      <c r="B3" s="2740">
        <f>项目基本情况!D3</f>
        <v>44309</v>
      </c>
      <c r="C3" s="2914"/>
      <c r="D3" s="2914"/>
      <c r="E3" s="2914"/>
      <c r="F3" s="2914"/>
      <c r="G3" s="2915"/>
      <c r="H3" s="2916"/>
      <c r="I3" s="2916"/>
      <c r="J3" s="2916"/>
      <c r="K3" s="2916"/>
    </row>
    <row r="4" spans="1:11" ht="33">
      <c r="A4" s="2738" t="s">
        <v>1327</v>
      </c>
      <c r="B4" s="2738" t="s">
        <v>1326</v>
      </c>
      <c r="C4" s="2738" t="s">
        <v>1325</v>
      </c>
      <c r="D4" s="2738" t="s">
        <v>1324</v>
      </c>
      <c r="E4" s="2914"/>
      <c r="F4" s="2915"/>
      <c r="G4" s="2915"/>
      <c r="H4" s="2916"/>
      <c r="I4" s="2916"/>
      <c r="J4" s="2916"/>
      <c r="K4" s="2916"/>
    </row>
    <row r="5" spans="1:11" ht="16.5">
      <c r="A5" s="2738" t="s">
        <v>1323</v>
      </c>
      <c r="B5" s="2738">
        <f ca="1">SUM(D14:D23)</f>
        <v>121794</v>
      </c>
      <c r="C5" s="2738">
        <f ca="1">ROUND(B5*10000/$B$1,0)</f>
        <v>12537</v>
      </c>
      <c r="D5" s="2738">
        <f ca="1">ROUND(B5*10000/$B$2,0)</f>
        <v>40394</v>
      </c>
      <c r="E5" s="2914"/>
      <c r="F5" s="2915"/>
      <c r="G5" s="2915"/>
      <c r="H5" s="2916"/>
      <c r="I5" s="2916"/>
      <c r="J5" s="2916"/>
      <c r="K5" s="2916"/>
    </row>
    <row r="6" spans="1:11" ht="16.5">
      <c r="A6" s="2738" t="s">
        <v>1322</v>
      </c>
      <c r="B6" s="2738">
        <f ca="1">SUM(G14:G23)</f>
        <v>121794</v>
      </c>
      <c r="C6" s="2738">
        <f ca="1">ROUND(B6*10000/$B$1,0)</f>
        <v>12537</v>
      </c>
      <c r="D6" s="2738">
        <f ca="1">ROUND(B6*10000/$B$2,0)</f>
        <v>40394</v>
      </c>
      <c r="E6" s="2914"/>
      <c r="F6" s="2915"/>
      <c r="G6" s="2915"/>
      <c r="H6" s="2916"/>
      <c r="I6" s="2916"/>
      <c r="J6" s="2916"/>
      <c r="K6" s="2916"/>
    </row>
    <row r="7" spans="1:11" ht="16.5">
      <c r="A7" s="2738" t="s">
        <v>1330</v>
      </c>
      <c r="B7" s="2738">
        <f>SUM(H14:H23)</f>
        <v>0</v>
      </c>
      <c r="C7" s="2738">
        <f>ROUND(B7*10000/$B$1,0)</f>
        <v>0</v>
      </c>
      <c r="D7" s="2738">
        <f>ROUND(B7*10000/$B$2,0)</f>
        <v>0</v>
      </c>
      <c r="E7" s="2914"/>
      <c r="F7" s="2915"/>
      <c r="G7" s="2915"/>
      <c r="H7" s="2916"/>
      <c r="I7" s="2916"/>
      <c r="J7" s="2916"/>
      <c r="K7" s="2916"/>
    </row>
    <row r="8" spans="1:11" ht="16.5">
      <c r="A8" s="2738" t="s">
        <v>1252</v>
      </c>
      <c r="B8" s="2738">
        <f ca="1">SUM(I14:I23)</f>
        <v>111767</v>
      </c>
      <c r="C8" s="2738">
        <f ca="1">ROUND(B8*10000/$B$1,0)</f>
        <v>11505</v>
      </c>
      <c r="D8" s="2738">
        <f ca="1">ROUND(B8*10000/$B$2,0)</f>
        <v>37069</v>
      </c>
      <c r="E8" s="2914"/>
      <c r="F8" s="2915"/>
      <c r="G8" s="2915"/>
      <c r="H8" s="2916"/>
      <c r="I8" s="2916"/>
      <c r="J8" s="2916"/>
      <c r="K8" s="2916"/>
    </row>
    <row r="9" spans="1:11" ht="16.5">
      <c r="A9" s="2738" t="s">
        <v>1321</v>
      </c>
      <c r="B9" s="2746"/>
      <c r="C9" s="2914"/>
      <c r="D9" s="2914"/>
      <c r="E9" s="2914"/>
      <c r="F9" s="2915"/>
      <c r="G9" s="2915"/>
      <c r="H9" s="2916"/>
      <c r="I9" s="2916"/>
      <c r="J9" s="2916"/>
      <c r="K9" s="2916"/>
    </row>
    <row r="10" spans="1:11" ht="16.5">
      <c r="A10" s="2738" t="s">
        <v>1320</v>
      </c>
      <c r="B10" s="2746"/>
      <c r="C10" s="2914"/>
      <c r="D10" s="2914"/>
      <c r="E10" s="2914"/>
      <c r="F10" s="2915"/>
      <c r="G10" s="2915"/>
      <c r="H10" s="2916"/>
      <c r="I10" s="2916"/>
      <c r="J10" s="2916"/>
      <c r="K10" s="2916"/>
    </row>
    <row r="11" spans="1:11" ht="16.5">
      <c r="A11" s="2738" t="s">
        <v>1336</v>
      </c>
      <c r="B11" s="2746"/>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1" t="s">
        <v>1335</v>
      </c>
      <c r="B13" s="2742" t="s">
        <v>1332</v>
      </c>
      <c r="C13" s="2742" t="s">
        <v>1334</v>
      </c>
      <c r="D13" s="2742" t="s">
        <v>1333</v>
      </c>
      <c r="E13" s="2738" t="s">
        <v>1325</v>
      </c>
      <c r="F13" s="2738" t="s">
        <v>1324</v>
      </c>
      <c r="G13" s="2742" t="s">
        <v>1318</v>
      </c>
      <c r="H13" s="2742" t="s">
        <v>1329</v>
      </c>
      <c r="I13" s="2742" t="s">
        <v>1317</v>
      </c>
      <c r="J13" s="2915"/>
      <c r="K13" s="2916"/>
    </row>
    <row r="14" spans="1:11" ht="16.5">
      <c r="A14" s="2743" t="s">
        <v>1316</v>
      </c>
      <c r="B14" s="2744">
        <f>结果表!B118</f>
        <v>97146.700000000012</v>
      </c>
      <c r="C14" s="2744">
        <f>结果表!C118</f>
        <v>30151.46</v>
      </c>
      <c r="D14" s="2744">
        <f ca="1">结果表!H118</f>
        <v>121794</v>
      </c>
      <c r="E14" s="2744">
        <f ca="1">ROUND(D14*10000/B14,0)</f>
        <v>12537</v>
      </c>
      <c r="F14" s="2744">
        <f ca="1">ROUND(D14*10000/C14,0)</f>
        <v>40394</v>
      </c>
      <c r="G14" s="2744">
        <f ca="1">结果表!D122</f>
        <v>121794</v>
      </c>
      <c r="H14" s="2744" t="str">
        <f>结果表!D124</f>
        <v>——</v>
      </c>
      <c r="I14" s="2744">
        <f ca="1">结果表!D126</f>
        <v>111767</v>
      </c>
      <c r="J14" s="2915"/>
      <c r="K14" s="2916"/>
    </row>
    <row r="15" spans="1:11" ht="16.5">
      <c r="A15" s="2743" t="s">
        <v>1315</v>
      </c>
      <c r="B15" s="2745"/>
      <c r="C15" s="2745"/>
      <c r="D15" s="2745"/>
      <c r="E15" s="2744" t="e">
        <f t="shared" ref="E15:E23" si="0">ROUND(D15*10000/B15,0)</f>
        <v>#DIV/0!</v>
      </c>
      <c r="F15" s="2744" t="e">
        <f t="shared" ref="F15:F23" si="1">ROUND(D15*10000/C15,0)</f>
        <v>#DIV/0!</v>
      </c>
      <c r="G15" s="1500"/>
      <c r="H15" s="1500"/>
      <c r="I15" s="2745"/>
      <c r="J15" s="2915"/>
      <c r="K15" s="2916"/>
    </row>
    <row r="16" spans="1:11" ht="16.5">
      <c r="A16" s="2743" t="s">
        <v>1314</v>
      </c>
      <c r="B16" s="2745"/>
      <c r="C16" s="2745"/>
      <c r="D16" s="2745"/>
      <c r="E16" s="2744" t="e">
        <f t="shared" si="0"/>
        <v>#DIV/0!</v>
      </c>
      <c r="F16" s="2744" t="e">
        <f t="shared" si="1"/>
        <v>#DIV/0!</v>
      </c>
      <c r="G16" s="1500"/>
      <c r="H16" s="1500"/>
      <c r="I16" s="2745"/>
      <c r="J16" s="2916"/>
      <c r="K16" s="2916"/>
    </row>
    <row r="17" spans="1:11" ht="16.5">
      <c r="A17" s="2743" t="s">
        <v>1313</v>
      </c>
      <c r="B17" s="2745"/>
      <c r="C17" s="2745"/>
      <c r="D17" s="2745"/>
      <c r="E17" s="2744" t="e">
        <f t="shared" si="0"/>
        <v>#DIV/0!</v>
      </c>
      <c r="F17" s="2744" t="e">
        <f t="shared" si="1"/>
        <v>#DIV/0!</v>
      </c>
      <c r="G17" s="1500"/>
      <c r="H17" s="1500"/>
      <c r="I17" s="2745"/>
      <c r="J17" s="2916"/>
      <c r="K17" s="2916"/>
    </row>
    <row r="18" spans="1:11" ht="16.5">
      <c r="A18" s="2743" t="s">
        <v>1312</v>
      </c>
      <c r="B18" s="2745"/>
      <c r="C18" s="2745"/>
      <c r="D18" s="2745"/>
      <c r="E18" s="2744" t="e">
        <f t="shared" si="0"/>
        <v>#DIV/0!</v>
      </c>
      <c r="F18" s="2744" t="e">
        <f t="shared" si="1"/>
        <v>#DIV/0!</v>
      </c>
      <c r="G18" s="2745"/>
      <c r="H18" s="2745"/>
      <c r="I18" s="2745"/>
      <c r="J18" s="2916"/>
      <c r="K18" s="2916"/>
    </row>
    <row r="19" spans="1:11" ht="16.5">
      <c r="A19" s="2743" t="s">
        <v>1311</v>
      </c>
      <c r="B19" s="2745"/>
      <c r="C19" s="2745"/>
      <c r="D19" s="2745"/>
      <c r="E19" s="2744" t="e">
        <f t="shared" si="0"/>
        <v>#DIV/0!</v>
      </c>
      <c r="F19" s="2744" t="e">
        <f t="shared" si="1"/>
        <v>#DIV/0!</v>
      </c>
      <c r="G19" s="2745"/>
      <c r="H19" s="2745"/>
      <c r="I19" s="2745"/>
      <c r="J19" s="2916"/>
      <c r="K19" s="2916"/>
    </row>
    <row r="20" spans="1:11" ht="16.5">
      <c r="A20" s="2743" t="s">
        <v>1310</v>
      </c>
      <c r="B20" s="2745"/>
      <c r="C20" s="2745"/>
      <c r="D20" s="2745"/>
      <c r="E20" s="2744" t="e">
        <f t="shared" si="0"/>
        <v>#DIV/0!</v>
      </c>
      <c r="F20" s="2744" t="e">
        <f t="shared" si="1"/>
        <v>#DIV/0!</v>
      </c>
      <c r="G20" s="2745"/>
      <c r="H20" s="2745"/>
      <c r="I20" s="2745"/>
      <c r="J20" s="2916"/>
      <c r="K20" s="2916"/>
    </row>
    <row r="21" spans="1:11" ht="16.5">
      <c r="A21" s="2743" t="s">
        <v>1309</v>
      </c>
      <c r="B21" s="2745"/>
      <c r="C21" s="2745"/>
      <c r="D21" s="2745"/>
      <c r="E21" s="2744" t="e">
        <f t="shared" si="0"/>
        <v>#DIV/0!</v>
      </c>
      <c r="F21" s="2744" t="e">
        <f t="shared" si="1"/>
        <v>#DIV/0!</v>
      </c>
      <c r="G21" s="2745"/>
      <c r="H21" s="2745"/>
      <c r="I21" s="2745"/>
      <c r="J21" s="2916"/>
      <c r="K21" s="2916"/>
    </row>
    <row r="22" spans="1:11" ht="16.5">
      <c r="A22" s="2743" t="s">
        <v>1308</v>
      </c>
      <c r="B22" s="2745"/>
      <c r="C22" s="2745"/>
      <c r="D22" s="2745"/>
      <c r="E22" s="2744" t="e">
        <f t="shared" si="0"/>
        <v>#DIV/0!</v>
      </c>
      <c r="F22" s="2744" t="e">
        <f t="shared" si="1"/>
        <v>#DIV/0!</v>
      </c>
      <c r="G22" s="2745"/>
      <c r="H22" s="2745"/>
      <c r="I22" s="2745"/>
      <c r="J22" s="2916"/>
      <c r="K22" s="2916"/>
    </row>
    <row r="23" spans="1:11" ht="16.5">
      <c r="A23" s="2743" t="s">
        <v>1307</v>
      </c>
      <c r="B23" s="2745"/>
      <c r="C23" s="2745"/>
      <c r="D23" s="2745"/>
      <c r="E23" s="2746" t="e">
        <f t="shared" si="0"/>
        <v>#DIV/0!</v>
      </c>
      <c r="F23" s="2746" t="e">
        <f t="shared" si="1"/>
        <v>#DIV/0!</v>
      </c>
      <c r="G23" s="2745"/>
      <c r="H23" s="2745"/>
      <c r="I23" s="2745"/>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88" sqref="E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t="s">
        <v>3407</v>
      </c>
      <c r="H1" s="1936" t="str">
        <f>IF(G1="现房","——","估价对象范围")</f>
        <v>——</v>
      </c>
      <c r="I1" s="1937" t="s">
        <v>3408</v>
      </c>
    </row>
    <row r="2" spans="1:12" ht="21.75" customHeight="1" thickBot="1">
      <c r="A2" s="3197" t="str">
        <f>项目基本情况!S2</f>
        <v>房地产</v>
      </c>
      <c r="B2" s="3198"/>
      <c r="C2" s="3198"/>
      <c r="D2" s="3198"/>
      <c r="E2" s="3198"/>
      <c r="F2" s="3198"/>
      <c r="G2" s="3198"/>
      <c r="H2" s="3198"/>
      <c r="I2" s="3199"/>
    </row>
    <row r="3" spans="1:12" ht="12.75">
      <c r="A3" s="3201" t="s">
        <v>1950</v>
      </c>
      <c r="B3" s="3202"/>
      <c r="C3" s="3202"/>
      <c r="D3" s="3202"/>
      <c r="E3" s="3202"/>
      <c r="F3" s="3202"/>
      <c r="G3" s="3202"/>
      <c r="H3" s="3202"/>
      <c r="I3" s="3202"/>
    </row>
    <row r="4" spans="1:12" ht="14.25">
      <c r="A4" s="1940" t="s">
        <v>1951</v>
      </c>
      <c r="B4" s="1941" t="s">
        <v>1952</v>
      </c>
      <c r="C4" s="1942" t="s">
        <v>3406</v>
      </c>
      <c r="D4" s="1942" t="s">
        <v>3073</v>
      </c>
      <c r="E4" s="3203" t="s">
        <v>1953</v>
      </c>
      <c r="F4" s="3204"/>
      <c r="G4" s="3204"/>
      <c r="H4" s="3204"/>
      <c r="I4" s="32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1954</v>
      </c>
      <c r="B5" s="3164">
        <v>25</v>
      </c>
      <c r="C5" s="3180"/>
      <c r="D5" s="3200"/>
      <c r="E5" s="136" t="s">
        <v>1955</v>
      </c>
      <c r="F5" s="1943"/>
      <c r="G5" s="1943"/>
      <c r="H5" s="1943"/>
      <c r="I5" s="1557"/>
    </row>
    <row r="6" spans="1:12" ht="12.75">
      <c r="A6" s="3177"/>
      <c r="B6" s="3164"/>
      <c r="C6" s="3181"/>
      <c r="D6" s="3200"/>
      <c r="E6" s="136" t="s">
        <v>1956</v>
      </c>
      <c r="F6" s="1943"/>
      <c r="G6" s="1943"/>
      <c r="H6" s="1943"/>
      <c r="I6" s="1557"/>
    </row>
    <row r="7" spans="1:12" ht="12.75">
      <c r="A7" s="3177"/>
      <c r="B7" s="3164"/>
      <c r="C7" s="3182"/>
      <c r="D7" s="3200"/>
      <c r="E7" s="136" t="s">
        <v>1957</v>
      </c>
      <c r="F7" s="1943"/>
      <c r="G7" s="1943"/>
      <c r="H7" s="1943"/>
      <c r="I7" s="1557"/>
    </row>
    <row r="8" spans="1:12" ht="12.75">
      <c r="A8" s="3177" t="s">
        <v>1958</v>
      </c>
      <c r="B8" s="3164">
        <v>15</v>
      </c>
      <c r="C8" s="3180"/>
      <c r="D8" s="3200"/>
      <c r="E8" s="136" t="s">
        <v>1959</v>
      </c>
      <c r="F8" s="1943"/>
      <c r="G8" s="1943"/>
      <c r="H8" s="1943"/>
      <c r="I8" s="1557"/>
    </row>
    <row r="9" spans="1:12" ht="12.75">
      <c r="A9" s="3177"/>
      <c r="B9" s="3164"/>
      <c r="C9" s="3182"/>
      <c r="D9" s="3200"/>
      <c r="E9" s="136" t="s">
        <v>1960</v>
      </c>
      <c r="F9" s="1943"/>
      <c r="G9" s="1943"/>
      <c r="H9" s="1943"/>
      <c r="I9" s="1557"/>
    </row>
    <row r="10" spans="1:12" ht="12.75">
      <c r="A10" s="3177" t="s">
        <v>1961</v>
      </c>
      <c r="B10" s="3164">
        <v>15</v>
      </c>
      <c r="C10" s="3180"/>
      <c r="D10" s="3200"/>
      <c r="E10" s="136" t="s">
        <v>1962</v>
      </c>
      <c r="F10" s="1943"/>
      <c r="G10" s="1943"/>
      <c r="H10" s="1943"/>
      <c r="I10" s="1557"/>
    </row>
    <row r="11" spans="1:12" ht="12.75">
      <c r="A11" s="3177"/>
      <c r="B11" s="3164"/>
      <c r="C11" s="3182"/>
      <c r="D11" s="3200"/>
      <c r="E11" s="136" t="s">
        <v>1963</v>
      </c>
      <c r="F11" s="1943"/>
      <c r="G11" s="1943"/>
      <c r="H11" s="1943"/>
      <c r="I11" s="1557"/>
    </row>
    <row r="12" spans="1:12" ht="12.75">
      <c r="A12" s="3177" t="s">
        <v>1964</v>
      </c>
      <c r="B12" s="3164">
        <v>15</v>
      </c>
      <c r="C12" s="3180"/>
      <c r="D12" s="3200"/>
      <c r="E12" s="136" t="s">
        <v>1965</v>
      </c>
      <c r="F12" s="1943"/>
      <c r="G12" s="1943"/>
      <c r="H12" s="1943"/>
      <c r="I12" s="1557"/>
    </row>
    <row r="13" spans="1:12" ht="12.75">
      <c r="A13" s="3177"/>
      <c r="B13" s="3164"/>
      <c r="C13" s="3182"/>
      <c r="D13" s="3200"/>
      <c r="E13" s="136" t="s">
        <v>1966</v>
      </c>
      <c r="F13" s="1943"/>
      <c r="G13" s="1943"/>
      <c r="H13" s="1943"/>
      <c r="I13" s="1557"/>
    </row>
    <row r="14" spans="1:12" ht="12.75">
      <c r="A14" s="3177" t="s">
        <v>1967</v>
      </c>
      <c r="B14" s="3164">
        <v>30</v>
      </c>
      <c r="C14" s="3180">
        <v>5</v>
      </c>
      <c r="D14" s="3200">
        <v>5</v>
      </c>
      <c r="E14" s="136" t="s">
        <v>1968</v>
      </c>
      <c r="F14" s="1943"/>
      <c r="G14" s="1943"/>
      <c r="H14" s="1943"/>
      <c r="I14" s="1557"/>
    </row>
    <row r="15" spans="1:12" ht="12.75">
      <c r="A15" s="3177"/>
      <c r="B15" s="3164"/>
      <c r="C15" s="3181"/>
      <c r="D15" s="3200"/>
      <c r="E15" s="136" t="s">
        <v>1969</v>
      </c>
      <c r="F15" s="1943"/>
      <c r="G15" s="1943"/>
      <c r="H15" s="1943"/>
      <c r="I15" s="1557"/>
    </row>
    <row r="16" spans="1:12" ht="12.75">
      <c r="A16" s="3177"/>
      <c r="B16" s="3164"/>
      <c r="C16" s="3182"/>
      <c r="D16" s="3200"/>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87" t="s">
        <v>2873</v>
      </c>
      <c r="F18" s="3188"/>
      <c r="G18" s="3188"/>
      <c r="H18" s="3188"/>
      <c r="I18" s="3188"/>
      <c r="K18" s="308" t="s">
        <v>1975</v>
      </c>
      <c r="L18" s="308">
        <f>IF(C1="",'数据-汇总表'!E3,SUMIF(项目类型,C1,'数据-汇总表'!E17:E26)+SUMIF(项目类型,C1,'数据-汇总表'!I17:I26))</f>
        <v>97146.700000000012</v>
      </c>
      <c r="M18" s="308">
        <f>IF(C1="",'数据-汇总表'!E3,SUMIF(项目类型,C1,'数据-汇总表'!E17:E26))</f>
        <v>97146.700000000012</v>
      </c>
    </row>
    <row r="19" spans="1:36" ht="15">
      <c r="A19" s="1947" t="s">
        <v>1976</v>
      </c>
      <c r="B19" s="1948" t="s">
        <v>1977</v>
      </c>
      <c r="C19" s="139">
        <f ca="1">SUMIF(INDIRECT("'"&amp;C4&amp;"'"&amp;"!A:A"),结果表!B19,INDIRECT("'"&amp;C4&amp;"'"&amp;"!B:B"))</f>
        <v>120889</v>
      </c>
      <c r="D19" s="140">
        <f ca="1">SUMIF(INDIRECT("'"&amp;D4&amp;"'"&amp;"!A:A"),结果表!B19,INDIRECT("'"&amp;D4&amp;"'"&amp;"!B:B"))</f>
        <v>122698</v>
      </c>
      <c r="E19" s="1947" t="s">
        <v>1978</v>
      </c>
      <c r="F19" s="1948" t="s">
        <v>1977</v>
      </c>
      <c r="G19" s="141">
        <f ca="1">ROUND(C19*$C$18+D19*$D$18,0)</f>
        <v>121794</v>
      </c>
      <c r="H19" s="1949" t="s">
        <v>1979</v>
      </c>
      <c r="I19" s="134"/>
      <c r="K19" s="308" t="s">
        <v>1980</v>
      </c>
      <c r="L19" s="308">
        <f>IF(C1="",'数据-汇总表'!D3,SUMIF(项目类型,C1,'数据-汇总表'!D17:D26)+SUMIF(项目类型,C1,'数据-汇总表'!H17:H27))</f>
        <v>30151.46</v>
      </c>
      <c r="M19" s="308">
        <f>IF(C1="",'数据-汇总表'!D3,SUMIF(项目类型,C1,'数据-汇总表'!D17:D26))</f>
        <v>30151.46</v>
      </c>
    </row>
    <row r="20" spans="1:36" ht="15">
      <c r="A20" s="1950"/>
      <c r="B20" s="1157" t="s">
        <v>1981</v>
      </c>
      <c r="C20" s="142">
        <f ca="1">SUMIF(INDIRECT("'"&amp;C4&amp;"'"&amp;"!A:A"),结果表!B20,INDIRECT("'"&amp;C4&amp;"'"&amp;"!B:B"))</f>
        <v>12444</v>
      </c>
      <c r="D20" s="143">
        <f ca="1">SUMIF(INDIRECT("'"&amp;D4&amp;"'"&amp;"!A:A"),结果表!B20,INDIRECT("'"&amp;D4&amp;"'"&amp;"!B:B"))</f>
        <v>12630</v>
      </c>
      <c r="E20" s="1950"/>
      <c r="F20" s="1157" t="s">
        <v>1981</v>
      </c>
      <c r="G20" s="144">
        <f ca="1">ROUND(C20*$C$18+D20*$D$18,0)</f>
        <v>12537</v>
      </c>
      <c r="H20" s="917" t="s">
        <v>1982</v>
      </c>
      <c r="I20" s="134"/>
    </row>
    <row r="21" spans="1:36" ht="15" customHeight="1" thickBot="1">
      <c r="A21" s="937"/>
      <c r="B21" s="1951" t="s">
        <v>1983</v>
      </c>
      <c r="C21" s="728">
        <f ca="1">ROUND(C19*10000/L19,0)</f>
        <v>40094</v>
      </c>
      <c r="D21" s="729">
        <f ca="1">ROUND(D19*10000/L19,0)</f>
        <v>40694</v>
      </c>
      <c r="E21" s="937"/>
      <c r="F21" s="1951" t="s">
        <v>1983</v>
      </c>
      <c r="G21" s="145">
        <f ca="1">ROUND(G19*10000/L19,0)</f>
        <v>40394</v>
      </c>
      <c r="H21" s="1952" t="s">
        <v>1982</v>
      </c>
      <c r="I21" s="134"/>
    </row>
    <row r="22" spans="1:36" ht="15" thickBot="1">
      <c r="A22" s="1874" t="s">
        <v>1984</v>
      </c>
      <c r="B22" s="1953"/>
      <c r="C22" s="1954"/>
      <c r="D22" s="730">
        <f ca="1">IF(C19&lt;D19,D19/C19-1,C19/D19-1)</f>
        <v>1.4964140657959035E-2</v>
      </c>
      <c r="E22" s="134"/>
      <c r="F22" s="134"/>
      <c r="G22" s="134"/>
      <c r="H22" s="134"/>
      <c r="I22" s="134"/>
    </row>
    <row r="23" spans="1:36" ht="13.5" hidden="1" thickBot="1">
      <c r="A23" s="1933"/>
      <c r="B23" s="1933"/>
      <c r="C23" s="1933"/>
      <c r="D23" s="1933"/>
      <c r="E23" s="134"/>
      <c r="F23" s="134"/>
      <c r="G23" s="134"/>
      <c r="H23" s="134"/>
      <c r="I23" s="134"/>
    </row>
    <row r="24" spans="1:36" ht="14.25" hidden="1">
      <c r="A24" s="3171" t="s">
        <v>1985</v>
      </c>
      <c r="B24" s="1948" t="s">
        <v>1977</v>
      </c>
      <c r="C24" s="141">
        <f>IF(B30=0,0,D30)</f>
        <v>0</v>
      </c>
      <c r="D24" s="1955"/>
      <c r="E24" s="134"/>
      <c r="F24" s="134"/>
      <c r="G24" s="134"/>
      <c r="H24" s="134"/>
      <c r="I24" s="134"/>
    </row>
    <row r="25" spans="1:36" ht="14.25" hidden="1">
      <c r="A25" s="3172"/>
      <c r="B25" s="1157" t="s">
        <v>1981</v>
      </c>
      <c r="C25" s="146">
        <f>IF(B30=0,0,C30)</f>
        <v>0</v>
      </c>
      <c r="D25" s="1956"/>
      <c r="E25" s="134"/>
      <c r="F25" s="134"/>
      <c r="G25" s="134"/>
      <c r="H25" s="134"/>
      <c r="I25" s="134"/>
    </row>
    <row r="26" spans="1:36" ht="13.5" hidden="1" customHeight="1">
      <c r="A26" s="1957" t="s">
        <v>1986</v>
      </c>
      <c r="B26" s="147" t="s">
        <v>1987</v>
      </c>
      <c r="C26" s="147" t="s">
        <v>1988</v>
      </c>
      <c r="D26" s="148" t="s">
        <v>1989</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1990</v>
      </c>
      <c r="B30" s="147"/>
      <c r="C30" s="147"/>
      <c r="D30" s="147"/>
      <c r="E30" s="2521" t="s">
        <v>2874</v>
      </c>
      <c r="F30" s="134"/>
      <c r="G30" s="134"/>
      <c r="H30" s="134"/>
      <c r="I30" s="134"/>
    </row>
    <row r="31" spans="1:36" s="2527" customFormat="1" ht="26.45" hidden="1" customHeight="1" thickTop="1" thickBot="1">
      <c r="A31" s="2522"/>
      <c r="B31" s="2523"/>
      <c r="C31" s="2523"/>
      <c r="D31" s="2523"/>
      <c r="E31" s="2523"/>
      <c r="F31" s="2523"/>
      <c r="G31" s="2523"/>
      <c r="H31" s="2523"/>
      <c r="I31" s="2524" t="s">
        <v>2875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75" thickBot="1">
      <c r="A32" s="1959" t="s">
        <v>1991</v>
      </c>
      <c r="B32" s="1960"/>
      <c r="C32" s="149">
        <f ca="1">IF(D32="总价",G19-C24,G20-C25)</f>
        <v>121794</v>
      </c>
      <c r="D32" s="1961" t="s">
        <v>3417</v>
      </c>
      <c r="E32" s="134"/>
      <c r="F32" s="134"/>
      <c r="G32" s="134"/>
      <c r="H32" s="134"/>
      <c r="I32" s="134"/>
    </row>
    <row r="33" spans="1:15" ht="15">
      <c r="A33" s="894" t="s">
        <v>1992</v>
      </c>
      <c r="B33" s="1962"/>
      <c r="C33" s="1963" t="s">
        <v>3418</v>
      </c>
      <c r="D33" s="1964" t="s">
        <v>3406</v>
      </c>
      <c r="E33" s="1965" t="s">
        <v>1993</v>
      </c>
      <c r="F33" s="1966" t="str">
        <f>IF(D32="楼面单价","取值（单价）","取值（总价）")</f>
        <v>取值（总价）</v>
      </c>
      <c r="G33" s="134"/>
      <c r="H33" s="134"/>
      <c r="I33" s="134"/>
    </row>
    <row r="34" spans="1:15" ht="15">
      <c r="A34" s="1967"/>
      <c r="B34" s="1968" t="s">
        <v>1994</v>
      </c>
      <c r="C34" s="153">
        <f ca="1">IF(C33="自定义",F34,C32-C35)</f>
        <v>50910</v>
      </c>
      <c r="D34" s="970">
        <f ca="1">IF(C33="自定义",ROUND(C34/C32,3),IF(C33="收益比率",SUMIF(INDIRECT("'"&amp;D33&amp;"'"&amp;"!b:b"),"土地收益比率",INDIRECT("'"&amp;D33&amp;"'"&amp;"!c:c")),SUMIF(INDIRECT("'"&amp;D33&amp;"'"&amp;"!b:b"),"土地成本比率",INDIRECT("'"&amp;D33&amp;"'"&amp;"!c:c"))))</f>
        <v>0.41800000000000004</v>
      </c>
      <c r="E34" s="1969" t="s">
        <v>1995</v>
      </c>
      <c r="F34" s="1498"/>
      <c r="G34" s="134"/>
      <c r="H34" s="134"/>
      <c r="I34" s="134"/>
    </row>
    <row r="35" spans="1:15" ht="15.75" thickBot="1">
      <c r="A35" s="1970"/>
      <c r="B35" s="1971" t="s">
        <v>1996</v>
      </c>
      <c r="C35" s="1332">
        <f ca="1">IF(C33="自定义",F35,ROUND(C32*D35,0))</f>
        <v>70884</v>
      </c>
      <c r="D35" s="1333">
        <f ca="1">IF(C33="自定义",ROUND(C35/C32,3),IF(C33="收益比率",SUMIF(INDIRECT("'"&amp;D33&amp;"'"&amp;"!b:b"),"建筑物收益比率",INDIRECT("'"&amp;D33&amp;"'"&amp;"!c:c")),SUMIF(INDIRECT("'"&amp;D33&amp;"'"&amp;"!b:b"),"建筑物成本比率",INDIRECT("'"&amp;D33&amp;"'"&amp;"!c:c"))))</f>
        <v>0.58199999999999996</v>
      </c>
      <c r="E35" s="1972" t="s">
        <v>1997</v>
      </c>
      <c r="F35" s="159"/>
      <c r="G35" s="134"/>
      <c r="H35" s="134"/>
      <c r="I35" s="134"/>
    </row>
    <row r="36" spans="1:15" ht="15.75" hidden="1" thickBot="1">
      <c r="A36" s="3191" t="s">
        <v>1998</v>
      </c>
      <c r="B36" s="1973" t="s">
        <v>1999</v>
      </c>
      <c r="C36" s="150"/>
      <c r="D36" s="1974"/>
      <c r="E36" s="1975"/>
      <c r="F36" s="1976"/>
      <c r="G36" s="134"/>
      <c r="H36" s="134"/>
      <c r="I36" s="134"/>
    </row>
    <row r="37" spans="1:15" ht="15.75" hidden="1" thickBot="1">
      <c r="A37" s="3192"/>
      <c r="B37" s="1860" t="s">
        <v>2000</v>
      </c>
      <c r="C37" s="152"/>
      <c r="D37" s="1301"/>
      <c r="E37" s="1301"/>
      <c r="F37" s="1976"/>
      <c r="G37" s="134"/>
      <c r="H37" s="134"/>
      <c r="I37" s="134"/>
    </row>
    <row r="38" spans="1:15" ht="15.75" hidden="1" thickBot="1">
      <c r="A38" s="3193"/>
      <c r="B38" s="1977" t="s">
        <v>2001</v>
      </c>
      <c r="C38" s="683"/>
      <c r="D38" s="1978" t="s">
        <v>2002</v>
      </c>
      <c r="E38" s="1301"/>
      <c r="F38" s="1976"/>
      <c r="G38" s="134"/>
      <c r="H38" s="134"/>
      <c r="I38" s="134"/>
    </row>
    <row r="39" spans="1:15" ht="15" hidden="1">
      <c r="A39" s="1950" t="s">
        <v>2003</v>
      </c>
      <c r="B39" s="1979" t="s">
        <v>2004</v>
      </c>
      <c r="C39" s="1980" t="s">
        <v>2005</v>
      </c>
      <c r="D39" s="1980" t="s">
        <v>2006</v>
      </c>
      <c r="E39" s="1981" t="s">
        <v>2007</v>
      </c>
      <c r="F39" s="1976"/>
      <c r="G39" s="134"/>
      <c r="H39" s="134"/>
      <c r="I39" s="134"/>
    </row>
    <row r="40" spans="1:15" ht="14.25" hidden="1">
      <c r="A40" s="1982" t="s">
        <v>2008</v>
      </c>
      <c r="B40" s="154"/>
      <c r="C40" s="155"/>
      <c r="D40" s="155"/>
      <c r="E40" s="156"/>
      <c r="F40" s="1976"/>
      <c r="G40" s="134"/>
      <c r="H40" s="134"/>
      <c r="I40" s="134"/>
    </row>
    <row r="41" spans="1:15" ht="14.25" hidden="1">
      <c r="A41" s="1982" t="s">
        <v>2009</v>
      </c>
      <c r="B41" s="154"/>
      <c r="C41" s="155"/>
      <c r="D41" s="155"/>
      <c r="E41" s="156"/>
      <c r="F41" s="1976"/>
      <c r="G41" s="134"/>
      <c r="H41" s="134"/>
      <c r="I41" s="134"/>
    </row>
    <row r="42" spans="1:15" ht="15" hidden="1" thickBot="1">
      <c r="A42" s="1983"/>
      <c r="B42" s="157"/>
      <c r="C42" s="158"/>
      <c r="D42" s="158"/>
      <c r="E42" s="159"/>
      <c r="F42" s="1976"/>
      <c r="G42" s="134"/>
      <c r="H42" s="134"/>
      <c r="I42" s="134"/>
    </row>
    <row r="43" spans="1:15" ht="12.75" hidden="1">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8" t="s">
        <v>2012</v>
      </c>
      <c r="B45" s="3169"/>
      <c r="C45" s="3170"/>
      <c r="D45" s="160">
        <f ca="1">ROUND(H101*F45,0)</f>
        <v>121794</v>
      </c>
      <c r="E45" s="161" t="s">
        <v>2013</v>
      </c>
      <c r="F45" s="162">
        <v>1</v>
      </c>
      <c r="G45" s="163" t="s">
        <v>2014</v>
      </c>
      <c r="H45" s="134"/>
      <c r="I45" s="134"/>
      <c r="J45" s="3249" t="s">
        <v>2015</v>
      </c>
      <c r="K45" s="3249"/>
      <c r="L45" s="3249"/>
      <c r="M45" s="3249"/>
      <c r="N45" s="3249"/>
      <c r="O45" s="3249"/>
    </row>
    <row r="46" spans="1:15" ht="14.25" customHeight="1">
      <c r="A46" s="3165" t="s">
        <v>2016</v>
      </c>
      <c r="B46" s="3166"/>
      <c r="C46" s="3166"/>
      <c r="D46" s="3166"/>
      <c r="E46" s="3166"/>
      <c r="F46" s="3166"/>
      <c r="G46" s="3167"/>
      <c r="H46" s="1992"/>
      <c r="I46" s="164"/>
      <c r="J46" s="2749">
        <v>1</v>
      </c>
      <c r="K46" s="3230" t="s">
        <v>2017</v>
      </c>
      <c r="L46" s="3230"/>
      <c r="M46" s="3250"/>
      <c r="N46" s="3250"/>
      <c r="O46" s="3250"/>
    </row>
    <row r="47" spans="1:15" ht="12" customHeight="1">
      <c r="A47" s="165" t="s">
        <v>2018</v>
      </c>
      <c r="B47" s="166"/>
      <c r="C47" s="167"/>
      <c r="D47" s="1247" t="s">
        <v>2019</v>
      </c>
      <c r="E47" s="308" t="s">
        <v>2020</v>
      </c>
      <c r="F47" s="168" t="s">
        <v>2021</v>
      </c>
      <c r="G47" s="2772" t="s">
        <v>2022</v>
      </c>
      <c r="H47" s="2773"/>
      <c r="I47" s="164"/>
      <c r="J47" s="2749">
        <v>2</v>
      </c>
      <c r="K47" s="3230" t="s">
        <v>2023</v>
      </c>
      <c r="L47" s="3230"/>
      <c r="M47" s="3251">
        <f>'数据-取费表'!B2</f>
        <v>44309</v>
      </c>
      <c r="N47" s="3251"/>
      <c r="O47" s="3251"/>
    </row>
    <row r="48" spans="1:15" ht="25.5">
      <c r="A48" s="3196" t="s">
        <v>2024</v>
      </c>
      <c r="B48" s="3179"/>
      <c r="C48" s="3179"/>
      <c r="D48" s="2547">
        <f ca="1">IF(H48="情况1",0,IF(H48="情况2",D52,IF(H48="情况3",D53,IF(H48="情况4",D54))))</f>
        <v>6496</v>
      </c>
      <c r="E48" s="2557" t="str">
        <f>IF(H48="情况4","(销售额-原购置价)×税（费）率","销售额×税（费）率")</f>
        <v>销售额×税（费）率</v>
      </c>
      <c r="F48" s="2774">
        <f>IF(H48="情况1","免征",'数据-取费表'!B41)</f>
        <v>5.6000000000000001E-2</v>
      </c>
      <c r="G48" s="2775" t="s">
        <v>2025</v>
      </c>
      <c r="H48" s="2776" t="s">
        <v>3419</v>
      </c>
      <c r="I48" s="1992"/>
      <c r="J48" s="2749">
        <v>3</v>
      </c>
      <c r="K48" s="3230" t="s">
        <v>2026</v>
      </c>
      <c r="L48" s="3230"/>
      <c r="M48" s="3252">
        <f ca="1">H101</f>
        <v>121794</v>
      </c>
      <c r="N48" s="3252"/>
      <c r="O48" s="3252"/>
    </row>
    <row r="49" spans="1:35" ht="25.5" customHeight="1">
      <c r="A49" s="2556" t="s">
        <v>2027</v>
      </c>
      <c r="B49" s="3163" t="s">
        <v>2028</v>
      </c>
      <c r="C49" s="3163"/>
      <c r="D49" s="1775">
        <v>0</v>
      </c>
      <c r="E49" s="330" t="s">
        <v>2029</v>
      </c>
      <c r="F49" s="2650" t="s">
        <v>34</v>
      </c>
      <c r="G49" s="3236"/>
      <c r="H49" s="2528" t="s">
        <v>2876</v>
      </c>
      <c r="I49" s="2529"/>
      <c r="J49" s="2749">
        <v>4</v>
      </c>
      <c r="K49" s="3230" t="str">
        <f>IF(项目基本情况!E8="房地产抵押价值","房地产抵押价值","抵押担保权已注销时的房地产抵押价值")</f>
        <v>房地产抵押价值</v>
      </c>
      <c r="L49" s="3230"/>
      <c r="M49" s="3252">
        <f ca="1">IF(项目基本情况!E8="房地产抵押价值",H107,H109)</f>
        <v>121794</v>
      </c>
      <c r="N49" s="3252"/>
      <c r="O49" s="3252"/>
    </row>
    <row r="50" spans="1:35" ht="25.5" customHeight="1">
      <c r="A50" s="2777"/>
      <c r="B50" s="3163" t="s">
        <v>2030</v>
      </c>
      <c r="C50" s="3163"/>
      <c r="D50" s="2778"/>
      <c r="E50" s="338"/>
      <c r="F50" s="2650"/>
      <c r="G50" s="3237"/>
      <c r="H50" s="2530" t="s">
        <v>2877</v>
      </c>
      <c r="I50" s="2529"/>
      <c r="J50" s="3249" t="s">
        <v>2031</v>
      </c>
      <c r="K50" s="3249"/>
      <c r="L50" s="3249"/>
      <c r="M50" s="3249"/>
      <c r="N50" s="3249"/>
      <c r="O50" s="3249"/>
    </row>
    <row r="51" spans="1:35" ht="20.45" customHeight="1">
      <c r="A51" s="2779"/>
      <c r="B51" s="3163" t="s">
        <v>2032</v>
      </c>
      <c r="C51" s="3163"/>
      <c r="D51" s="1247"/>
      <c r="E51" s="333"/>
      <c r="F51" s="2650"/>
      <c r="G51" s="3238"/>
      <c r="H51" s="2530" t="s">
        <v>2878</v>
      </c>
      <c r="I51" s="2529"/>
      <c r="J51" s="2750" t="s">
        <v>2033</v>
      </c>
      <c r="K51" s="3230" t="s">
        <v>2034</v>
      </c>
      <c r="L51" s="3230"/>
      <c r="M51" s="2750" t="s">
        <v>2035</v>
      </c>
      <c r="N51" s="2750" t="s">
        <v>2036</v>
      </c>
      <c r="O51" s="2750" t="s">
        <v>2037</v>
      </c>
    </row>
    <row r="52" spans="1:35" ht="24" customHeight="1">
      <c r="A52" s="2558" t="s">
        <v>2038</v>
      </c>
      <c r="B52" s="3163" t="s">
        <v>2039</v>
      </c>
      <c r="C52" s="3163"/>
      <c r="D52" s="1247">
        <f ca="1">ROUND(D45*'数据-取费表'!B41/(1+'数据-取费表'!C42),0)</f>
        <v>6496</v>
      </c>
      <c r="E52" s="2557" t="s">
        <v>2040</v>
      </c>
      <c r="F52" s="2780">
        <f>'数据-取费表'!B41</f>
        <v>5.6000000000000001E-2</v>
      </c>
      <c r="G52" s="2781"/>
      <c r="H52" s="2770"/>
      <c r="I52" s="1993"/>
      <c r="J52" s="2749">
        <v>1</v>
      </c>
      <c r="K52" s="3231" t="s">
        <v>2041</v>
      </c>
      <c r="L52" s="3231"/>
      <c r="M52" s="2751">
        <f ca="1">D48</f>
        <v>6496</v>
      </c>
      <c r="N52" s="2749" t="str">
        <f>E48</f>
        <v>销售额×税（费）率</v>
      </c>
      <c r="O52" s="2752">
        <f>F48</f>
        <v>5.6000000000000001E-2</v>
      </c>
    </row>
    <row r="53" spans="1:35" ht="12" customHeight="1">
      <c r="A53" s="2558" t="s">
        <v>2042</v>
      </c>
      <c r="B53" s="3189" t="s">
        <v>3037</v>
      </c>
      <c r="C53" s="3190"/>
      <c r="D53" s="1247">
        <f ca="1">ROUND(D45*'数据-取费表'!B41/(1+'数据-取费表'!C42),0)</f>
        <v>6496</v>
      </c>
      <c r="E53" s="2557" t="s">
        <v>2040</v>
      </c>
      <c r="F53" s="2780">
        <f>'数据-取费表'!B41</f>
        <v>5.6000000000000001E-2</v>
      </c>
      <c r="G53" s="2781"/>
      <c r="H53" s="2770"/>
      <c r="I53" s="1993"/>
      <c r="J53" s="2749">
        <v>2</v>
      </c>
      <c r="K53" s="3231" t="s">
        <v>2043</v>
      </c>
      <c r="L53" s="3231"/>
      <c r="M53" s="2751">
        <f t="shared" ref="M53:O54" ca="1" si="0">D55</f>
        <v>61</v>
      </c>
      <c r="N53" s="2749" t="str">
        <f t="shared" si="0"/>
        <v>销售额×税（费）率</v>
      </c>
      <c r="O53" s="2752">
        <f t="shared" si="0"/>
        <v>5.0000000000000001E-4</v>
      </c>
    </row>
    <row r="54" spans="1:35" ht="12" customHeight="1">
      <c r="A54" s="2558" t="s">
        <v>2044</v>
      </c>
      <c r="B54" s="3189" t="s">
        <v>3038</v>
      </c>
      <c r="C54" s="3190"/>
      <c r="D54" s="1247">
        <f ca="1">C68</f>
        <v>6496</v>
      </c>
      <c r="E54" s="333" t="s">
        <v>2045</v>
      </c>
      <c r="F54" s="2780">
        <f>'数据-取费表'!B41</f>
        <v>5.6000000000000001E-2</v>
      </c>
      <c r="G54" s="2781"/>
      <c r="H54" s="2782"/>
      <c r="I54" s="1993"/>
      <c r="J54" s="2749">
        <v>3</v>
      </c>
      <c r="K54" s="3231" t="s">
        <v>2046</v>
      </c>
      <c r="L54" s="3231"/>
      <c r="M54" s="2751">
        <f t="shared" ca="1" si="0"/>
        <v>3470</v>
      </c>
      <c r="N54" s="2749" t="str">
        <f t="shared" si="0"/>
        <v>增值额×税（费）率</v>
      </c>
      <c r="O54" s="2753" t="str">
        <f t="shared" si="0"/>
        <v>——</v>
      </c>
    </row>
    <row r="55" spans="1:35" ht="24" customHeight="1">
      <c r="A55" s="3178" t="s">
        <v>2047</v>
      </c>
      <c r="B55" s="3179"/>
      <c r="C55" s="3179"/>
      <c r="D55" s="2547">
        <f ca="1">IF(H55="个人住宅",0,ROUND(D45*I55,0))</f>
        <v>61</v>
      </c>
      <c r="E55" s="2557" t="s">
        <v>2048</v>
      </c>
      <c r="F55" s="2780">
        <f>IF(H55="正常",I55,"免征")</f>
        <v>5.0000000000000001E-4</v>
      </c>
      <c r="G55" s="2781"/>
      <c r="H55" s="2776" t="s">
        <v>3401</v>
      </c>
      <c r="I55" s="170">
        <f>'数据-取费表'!B49</f>
        <v>5.0000000000000001E-4</v>
      </c>
      <c r="J55" s="2749" t="str">
        <f>IF(H59="非个人房产","",4)</f>
        <v/>
      </c>
      <c r="K55" s="3231" t="str">
        <f>IF(H59="非个人房产","——","个人所得税")</f>
        <v>——</v>
      </c>
      <c r="L55" s="3231"/>
      <c r="M55" s="2754" t="str">
        <f>D59</f>
        <v>——</v>
      </c>
      <c r="N55" s="2228" t="str">
        <f>E59</f>
        <v>——</v>
      </c>
      <c r="O55" s="2755" t="str">
        <f>F59</f>
        <v>——</v>
      </c>
    </row>
    <row r="56" spans="1:35" ht="24.75">
      <c r="A56" s="3178" t="s">
        <v>2049</v>
      </c>
      <c r="B56" s="3179"/>
      <c r="C56" s="3179"/>
      <c r="D56" s="2547">
        <f ca="1">IF(H56="个人住宅",D57,D58)</f>
        <v>3470</v>
      </c>
      <c r="E56" s="2557" t="s">
        <v>2050</v>
      </c>
      <c r="F56" s="2780" t="str">
        <f>IF(H56="正常",F58,"免征")</f>
        <v>——</v>
      </c>
      <c r="G56" s="2783" t="s">
        <v>2051</v>
      </c>
      <c r="H56" s="2784" t="s">
        <v>3401</v>
      </c>
      <c r="I56" s="1994"/>
      <c r="J56" s="2749" t="str">
        <f>IF(项目基本情况!K6="上海银行",IF(J55="",4,J55+1),"")</f>
        <v/>
      </c>
      <c r="K56" s="3254" t="str">
        <f>IF(项目基本情况!K6="上海银行","其他处置费用","")</f>
        <v/>
      </c>
      <c r="L56" s="3255"/>
      <c r="M56" s="2751" t="str">
        <f>IF(项目基本情况!K6="上海银行",M69,"")</f>
        <v/>
      </c>
      <c r="N56" s="3254" t="str">
        <f>IF(项目基本情况!K6="上海银行","包含处置中涉及的律师、诉讼、拍卖、评估等费用","")</f>
        <v/>
      </c>
      <c r="O56" s="3257"/>
    </row>
    <row r="57" spans="1:35" ht="12.75">
      <c r="A57" s="2558" t="s">
        <v>2027</v>
      </c>
      <c r="B57" s="3189" t="s">
        <v>2052</v>
      </c>
      <c r="C57" s="3190"/>
      <c r="D57" s="1775">
        <v>0</v>
      </c>
      <c r="E57" s="330" t="s">
        <v>2029</v>
      </c>
      <c r="F57" s="308"/>
      <c r="G57" s="2781"/>
      <c r="H57" s="2785"/>
      <c r="I57" s="1994"/>
      <c r="J57" s="3231">
        <f>IF(AND(J55="",J56=""),4,IF(项目基本情况!K6="上海银行",结果表!J56+1,结果表!J55+1))</f>
        <v>4</v>
      </c>
      <c r="K57" s="3231" t="s">
        <v>2053</v>
      </c>
      <c r="L57" s="2756" t="s">
        <v>2054</v>
      </c>
      <c r="M57" s="2757"/>
      <c r="N57" s="2758">
        <f ca="1">SUMIF(M52:M56,"&lt;9e307")</f>
        <v>10027</v>
      </c>
      <c r="O57" s="2759"/>
      <c r="P57" s="2918">
        <f ca="1">N57/M49</f>
        <v>8.2327536660262407E-2</v>
      </c>
    </row>
    <row r="58" spans="1:35" ht="24.75">
      <c r="A58" s="2558" t="s">
        <v>2038</v>
      </c>
      <c r="B58" s="3189" t="s">
        <v>2055</v>
      </c>
      <c r="C58" s="3163"/>
      <c r="D58" s="2547">
        <f ca="1">IF(H58="转让取得",C81,C97)</f>
        <v>3470</v>
      </c>
      <c r="E58" s="2557" t="s">
        <v>2050</v>
      </c>
      <c r="F58" s="308" t="s">
        <v>34</v>
      </c>
      <c r="G58" s="2781"/>
      <c r="H58" s="2784" t="s">
        <v>3420</v>
      </c>
      <c r="I58" s="1994"/>
      <c r="J58" s="3231"/>
      <c r="K58" s="3231"/>
      <c r="L58" s="2756" t="s">
        <v>2056</v>
      </c>
      <c r="M58" s="2760"/>
      <c r="N58" s="2761" t="str">
        <f ca="1">NUMBERSTRING(INT(N57*10000),2)&amp;"元整"</f>
        <v>壹亿零贰拾柒万元整</v>
      </c>
      <c r="O58" s="2762"/>
    </row>
    <row r="59" spans="1:35" ht="24.75" thickBot="1">
      <c r="A59" s="3234" t="s">
        <v>2057</v>
      </c>
      <c r="B59" s="3235"/>
      <c r="C59" s="3235"/>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3421</v>
      </c>
      <c r="I59" s="2531" t="s">
        <v>2879</v>
      </c>
      <c r="J59" s="3232">
        <f>J57+1</f>
        <v>5</v>
      </c>
      <c r="K59" s="3231" t="s">
        <v>2058</v>
      </c>
      <c r="L59" s="2749" t="s">
        <v>2054</v>
      </c>
      <c r="M59" s="2763"/>
      <c r="N59" s="2764">
        <f ca="1">M49-N57</f>
        <v>111767</v>
      </c>
      <c r="O59" s="2765"/>
    </row>
    <row r="60" spans="1:35" ht="12" customHeight="1">
      <c r="A60" s="1995"/>
      <c r="B60" s="1933"/>
      <c r="C60" s="1933"/>
      <c r="D60" s="1933"/>
      <c r="E60" s="1763"/>
      <c r="F60" s="1994"/>
      <c r="G60" s="1994"/>
      <c r="H60" s="1996"/>
      <c r="I60" s="134"/>
      <c r="J60" s="3233"/>
      <c r="K60" s="3231"/>
      <c r="L60" s="2756" t="s">
        <v>2056</v>
      </c>
      <c r="M60" s="2760"/>
      <c r="N60" s="2761" t="str">
        <f ca="1">NUMBERSTRING(INT(N59*10000),2)&amp;"元整"</f>
        <v>壹拾壹亿壹仟柒佰陆拾柒万元整</v>
      </c>
      <c r="O60" s="2762"/>
    </row>
    <row r="61" spans="1:35" ht="13.5" thickBot="1">
      <c r="A61" s="3176" t="s">
        <v>2059</v>
      </c>
      <c r="B61" s="3176"/>
      <c r="C61" s="3176"/>
      <c r="D61" s="3176"/>
      <c r="E61" s="3176"/>
      <c r="F61" s="1994"/>
      <c r="G61" s="1994"/>
      <c r="H61" s="1996"/>
      <c r="I61" s="134"/>
      <c r="J61" s="2749">
        <f>J59+1</f>
        <v>6</v>
      </c>
      <c r="K61" s="3231" t="s">
        <v>2060</v>
      </c>
      <c r="L61" s="3231"/>
      <c r="M61" s="2766"/>
      <c r="N61" s="2767">
        <f ca="1">ROUND(N59*10000/'数据-汇总表'!E3,0)</f>
        <v>11505</v>
      </c>
      <c r="O61" s="2768"/>
    </row>
    <row r="62" spans="1:35" ht="12.75" hidden="1">
      <c r="A62" s="3194" t="s">
        <v>2061</v>
      </c>
      <c r="B62" s="3195"/>
      <c r="C62" s="2209"/>
      <c r="D62" s="2209" t="s">
        <v>2062</v>
      </c>
      <c r="E62" s="171" t="s">
        <v>2063</v>
      </c>
      <c r="F62" s="1994"/>
      <c r="G62" s="1994"/>
      <c r="H62" s="1996"/>
      <c r="I62" s="134"/>
    </row>
    <row r="63" spans="1:35" ht="12.75" hidden="1">
      <c r="A63" s="178" t="s">
        <v>775</v>
      </c>
      <c r="B63" s="172" t="s">
        <v>2064</v>
      </c>
      <c r="C63" s="2790">
        <f ca="1">ROUND((C64+C65)/(1+'数据-取费表'!C42),0)</f>
        <v>115994</v>
      </c>
      <c r="D63" s="172"/>
      <c r="E63" s="173"/>
      <c r="F63" s="1994"/>
      <c r="G63" s="1994"/>
      <c r="H63" s="1996"/>
      <c r="I63" s="134"/>
      <c r="J63" s="3256" t="s">
        <v>2065</v>
      </c>
      <c r="K63" s="1501" t="s">
        <v>2066</v>
      </c>
      <c r="L63" s="1501">
        <f ca="1">IF(M49&gt;10000,M49*0.5%,IF(AND(M49&gt;1000,M49&lt;=10000),M49*1%,IF(AND(M49&gt;100,M49&lt;=1000),M49*3%,IF(AND(M49&gt;10,M49&lt;=100),M49*5%,M49*8%))))</f>
        <v>608.97</v>
      </c>
      <c r="M63" s="308">
        <f ca="1">ROUND(L63,1)</f>
        <v>609</v>
      </c>
      <c r="N63" s="2769"/>
      <c r="Z63" s="1938"/>
      <c r="AI63" s="1939"/>
    </row>
    <row r="64" spans="1:35" ht="14.25" hidden="1" customHeight="1">
      <c r="A64" s="174" t="s">
        <v>770</v>
      </c>
      <c r="B64" s="175" t="s">
        <v>2067</v>
      </c>
      <c r="C64" s="2791">
        <f ca="1">D45</f>
        <v>121794</v>
      </c>
      <c r="D64" s="175" t="s">
        <v>32</v>
      </c>
      <c r="E64" s="177"/>
      <c r="F64" s="1994"/>
      <c r="G64" s="1994"/>
      <c r="H64" s="1996"/>
      <c r="I64" s="134"/>
      <c r="J64" s="3256"/>
      <c r="K64" s="1501" t="s">
        <v>2068</v>
      </c>
      <c r="L64" s="1501">
        <f ca="1">IF(M49&gt;2000,M49*0.5%,IF(AND(M49&gt;1000,M49&lt;=2000),M49*0.6%,IF(AND(M49&gt;500,M49&lt;=1000),M49*0.7%,IF(AND(M49&gt;200,M49&lt;=500),M49*0.8%,IF(AND(M49&gt;100,M49&lt;=200),M49*0.9%,IF(AND(M49&gt;50,M49&lt;=100),M49*1%,IF(AND(M49&gt;20,M49&lt;=50),M49*1.5%,IF(AND(M49&gt;10,M49&lt;=20),M49*2%,IF(AND(M49&gt;1,M49&lt;=10),M49*2.5%)))))))))</f>
        <v>608.97</v>
      </c>
      <c r="M64" s="308">
        <f t="shared" ref="M64:M65" ca="1" si="1">ROUND(L64,1)</f>
        <v>609</v>
      </c>
      <c r="N64" s="2770" t="s">
        <v>2069</v>
      </c>
      <c r="Z64" s="1938"/>
      <c r="AI64" s="1939"/>
    </row>
    <row r="65" spans="1:35" ht="14.25" hidden="1" customHeight="1">
      <c r="A65" s="174" t="s">
        <v>771</v>
      </c>
      <c r="B65" s="175" t="s">
        <v>2070</v>
      </c>
      <c r="C65" s="2792"/>
      <c r="D65" s="175"/>
      <c r="E65" s="177"/>
      <c r="F65" s="1994"/>
      <c r="G65" s="1994"/>
      <c r="H65" s="1996"/>
      <c r="I65" s="134"/>
      <c r="J65" s="3256"/>
      <c r="K65" s="1501" t="s">
        <v>2071</v>
      </c>
      <c r="L65" s="1501">
        <f ca="1">IF(M49&gt;1000,M49*0.1%,IF(AND(M49&gt;500,M49&lt;=1000),M49*0.5%,IF(AND(M49&gt;50,M49&lt;=500),M49*1%,IF(AND(M49&gt;1,M49&lt;=50),M49*1.5%))))</f>
        <v>121.794</v>
      </c>
      <c r="M65" s="308">
        <f t="shared" ca="1" si="1"/>
        <v>121.8</v>
      </c>
      <c r="N65" s="2770" t="s">
        <v>2069</v>
      </c>
      <c r="Z65" s="1938"/>
      <c r="AI65" s="1939"/>
    </row>
    <row r="66" spans="1:35" ht="14.25" hidden="1" customHeight="1">
      <c r="A66" s="178" t="s">
        <v>772</v>
      </c>
      <c r="B66" s="179" t="s">
        <v>2072</v>
      </c>
      <c r="C66" s="3061"/>
      <c r="D66" s="179" t="s">
        <v>32</v>
      </c>
      <c r="E66" s="1509" t="s">
        <v>1337</v>
      </c>
      <c r="F66" s="1994"/>
      <c r="G66" s="1994"/>
      <c r="H66" s="1996"/>
      <c r="I66" s="134"/>
      <c r="J66" s="3256"/>
      <c r="K66" s="1501" t="s">
        <v>2073</v>
      </c>
      <c r="L66" s="1501">
        <f ca="1">M49*0.5%</f>
        <v>608.97</v>
      </c>
      <c r="M66" s="308">
        <f ca="1">IF(L66&gt;0.5,0.5,ROUND(L66,0))</f>
        <v>0.5</v>
      </c>
      <c r="N66" s="2770" t="s">
        <v>2074</v>
      </c>
      <c r="Z66" s="1938"/>
      <c r="AI66" s="1939"/>
    </row>
    <row r="67" spans="1:35" ht="14.25" hidden="1" customHeight="1">
      <c r="A67" s="178" t="s">
        <v>773</v>
      </c>
      <c r="B67" s="179" t="s">
        <v>2075</v>
      </c>
      <c r="C67" s="2793">
        <f ca="1">C63-C66</f>
        <v>115994</v>
      </c>
      <c r="D67" s="175" t="s">
        <v>32</v>
      </c>
      <c r="E67" s="177"/>
      <c r="F67" s="1994"/>
      <c r="G67" s="1994"/>
      <c r="H67" s="1996"/>
      <c r="I67" s="134"/>
      <c r="J67" s="3256"/>
      <c r="K67" s="1501" t="s">
        <v>2076</v>
      </c>
      <c r="L67" s="1501">
        <f ca="1">IF(M49&gt;=10000,(8.25+(M49-10000)*0.01%),IF(AND(M49&gt;=8000,M49&lt;10000),(7.85+(M49-8000)*0.02%),IF(AND(M49&gt;=5000,M49&lt;8000),(6.65+(M49-5000)*0.04%),IF(AND(M49&gt;=2000,M49&lt;5000),(4.25+(PM49-2000)*0.08%),IF(AND(M49&gt;=1000,M49&lt;2000),(2.75+(M49-1000)*0.15%),IF(AND(M49&gt;=100,M49&lt;1000),(0.5+(M49-100)*0.25%),IF(AND(M49&gt;0,M49&lt;100),M49*0.5%)))))))</f>
        <v>19.429400000000001</v>
      </c>
      <c r="M67" s="308">
        <f ca="1">ROUND(L67*0.9,1)</f>
        <v>17.5</v>
      </c>
      <c r="N67" s="2769"/>
      <c r="Z67" s="1938"/>
      <c r="AI67" s="1939"/>
    </row>
    <row r="68" spans="1:35" ht="14.25" hidden="1" customHeight="1" thickBot="1">
      <c r="A68" s="181" t="s">
        <v>774</v>
      </c>
      <c r="B68" s="182" t="s">
        <v>2077</v>
      </c>
      <c r="C68" s="2794">
        <f ca="1">IF(C67&lt;=0,0,ROUND(C67*D68,0))</f>
        <v>6496</v>
      </c>
      <c r="D68" s="2795">
        <f>'数据-取费表'!B41</f>
        <v>5.6000000000000001E-2</v>
      </c>
      <c r="E68" s="184"/>
      <c r="F68" s="1994"/>
      <c r="G68" s="1994"/>
      <c r="H68" s="1996"/>
      <c r="I68" s="134"/>
      <c r="J68" s="3256"/>
      <c r="K68" s="1501" t="s">
        <v>2078</v>
      </c>
      <c r="L68" s="1501">
        <f ca="1">IF(M49&gt;10000,M49*0.5%,IF(AND(M49&gt;5000,M49&lt;=10000),M49*1%,IF(AND(M49&gt;1000,M49&lt;=5000),M49*2%,IF(AND(M49&gt;200,M49&lt;=1000),M49*3%,M49*5%))))</f>
        <v>608.97</v>
      </c>
      <c r="M68" s="308">
        <f ca="1">ROUND(L68,1)</f>
        <v>609</v>
      </c>
      <c r="N68" s="2769"/>
      <c r="Z68" s="1938"/>
      <c r="AI68" s="1939"/>
    </row>
    <row r="69" spans="1:35" s="1958" customFormat="1" ht="16.5" hidden="1" customHeight="1">
      <c r="A69" s="1997"/>
      <c r="B69" s="1998"/>
      <c r="C69" s="1999"/>
      <c r="D69" s="2000"/>
      <c r="E69" s="2001"/>
      <c r="F69" s="1763"/>
      <c r="G69" s="1763"/>
      <c r="H69" s="1762"/>
      <c r="I69" s="1933"/>
      <c r="J69" s="3256"/>
      <c r="K69" s="1501" t="s">
        <v>2079</v>
      </c>
      <c r="L69" s="1501"/>
      <c r="M69" s="308">
        <f ca="1">ROUND(SUM(M63:M68),0)</f>
        <v>1967</v>
      </c>
      <c r="N69" s="2771">
        <f ca="1">M69/M49</f>
        <v>1.6150220864738822E-2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hidden="1" thickBot="1">
      <c r="A70" s="3215" t="s">
        <v>2080</v>
      </c>
      <c r="B70" s="3216"/>
      <c r="C70" s="3216"/>
      <c r="D70" s="3216"/>
      <c r="E70" s="3216"/>
      <c r="F70" s="3216"/>
      <c r="G70" s="3216"/>
      <c r="H70" s="3216"/>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hidden="1">
      <c r="A71" s="3194" t="s">
        <v>2061</v>
      </c>
      <c r="B71" s="3195"/>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hidden="1">
      <c r="A72" s="178" t="s">
        <v>775</v>
      </c>
      <c r="B72" s="179" t="s">
        <v>2081</v>
      </c>
      <c r="C72" s="2793">
        <f ca="1">ROUND(D45/(1+'数据-取费表'!C42),0)</f>
        <v>115994</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hidden="1">
      <c r="A73" s="178" t="s">
        <v>772</v>
      </c>
      <c r="B73" s="168" t="s">
        <v>2082</v>
      </c>
      <c r="C73" s="2793">
        <f ca="1">C74+C78</f>
        <v>696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hidden="1">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hidden="1">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hidden="1" customHeight="1">
      <c r="A76" s="174" t="s">
        <v>777</v>
      </c>
      <c r="B76" s="191" t="s">
        <v>2087</v>
      </c>
      <c r="C76" s="175">
        <f>IF(F75="购房发票",ROUND(C75*H75*D76,0),0)</f>
        <v>0</v>
      </c>
      <c r="D76" s="2799">
        <v>0.05</v>
      </c>
      <c r="E76" s="3189" t="s">
        <v>2088</v>
      </c>
      <c r="F76" s="3163"/>
      <c r="G76" s="3163"/>
      <c r="H76" s="321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hidden="1" customHeight="1">
      <c r="A77" s="174" t="s">
        <v>778</v>
      </c>
      <c r="B77" s="175" t="s">
        <v>2089</v>
      </c>
      <c r="C77" s="175">
        <f>ROUND(IF(G77="个人住宅",0,IF(G77="2016年5月1日前购买",C75*D77,C75*D77/(1+'数据-取费表'!C42))),0)</f>
        <v>0</v>
      </c>
      <c r="D77" s="2800">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hidden="1" customHeight="1">
      <c r="A78" s="174" t="s">
        <v>771</v>
      </c>
      <c r="B78" s="175" t="s">
        <v>2091</v>
      </c>
      <c r="C78" s="2801">
        <f ca="1">ROUND(D45*D78/(1+'数据-取费表'!C42),0)</f>
        <v>696</v>
      </c>
      <c r="D78" s="2802">
        <f>'数据-取费表'!B43</f>
        <v>6.000000000000001E-3</v>
      </c>
      <c r="E78" s="3173" t="s">
        <v>2092</v>
      </c>
      <c r="F78" s="3174"/>
      <c r="G78" s="3174"/>
      <c r="H78" s="318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hidden="1">
      <c r="A79" s="178" t="s">
        <v>779</v>
      </c>
      <c r="B79" s="179" t="s">
        <v>2093</v>
      </c>
      <c r="C79" s="2793">
        <f ca="1">C72-C73</f>
        <v>115298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hidden="1">
      <c r="A80" s="178" t="s">
        <v>780</v>
      </c>
      <c r="B80" s="179" t="s">
        <v>2094</v>
      </c>
      <c r="C80" s="2803">
        <f ca="1">IF(C79&lt;=0,0,C79/C73)</f>
        <v>165.65804597701148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hidden="1" thickBot="1">
      <c r="A81" s="181" t="s">
        <v>781</v>
      </c>
      <c r="B81" s="182" t="s">
        <v>2095</v>
      </c>
      <c r="C81" s="2804">
        <f ca="1">ROUND(IF(C79&lt;=0,0,IF(C80&gt;=200%,C79*60%-C73*35%,IF(C80&gt;=100%,C79*50%-C73*15%,IF(C80&gt;=50%,C79*40%-C73*5%,IF(C80&lt;50%,C79*30%,0))))),0)</f>
        <v>68935</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hidden="1"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5" t="s">
        <v>2096</v>
      </c>
      <c r="B83" s="3216"/>
      <c r="C83" s="3216"/>
      <c r="D83" s="3216"/>
      <c r="E83" s="3216"/>
      <c r="F83" s="3216"/>
      <c r="G83" s="3216"/>
      <c r="H83" s="321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4" t="s">
        <v>2061</v>
      </c>
      <c r="B84" s="319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115994</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104425.64139799999</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28604.622556999999</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f>277576225.57/10000</f>
        <v>27757.622556999999</v>
      </c>
      <c r="D88" s="2802"/>
      <c r="E88" s="199" t="s">
        <v>2099</v>
      </c>
      <c r="F88" s="2550"/>
      <c r="G88" s="200" t="s">
        <v>2100</v>
      </c>
      <c r="H88" s="2010" t="s">
        <v>3422</v>
      </c>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847</v>
      </c>
      <c r="D89" s="2802">
        <f>'数据-取费表'!B48+'数据-取费表'!B49</f>
        <v>3.0499999999999999E-2</v>
      </c>
      <c r="E89" s="199" t="s">
        <v>2101</v>
      </c>
      <c r="F89" s="2550"/>
      <c r="G89" s="2550"/>
      <c r="H89" s="2551"/>
      <c r="I89" s="2007"/>
      <c r="J89" s="2004">
        <f>C88/'数据-汇总表'!F19*10000</f>
        <v>3183.8193249151414</v>
      </c>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50"/>
      <c r="G90" s="3258" t="s">
        <v>2871</v>
      </c>
      <c r="H90" s="3259"/>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57837.018840999997</v>
      </c>
      <c r="D91" s="2802"/>
      <c r="E91" s="3173" t="s">
        <v>2105</v>
      </c>
      <c r="F91" s="3174"/>
      <c r="G91" s="3174"/>
      <c r="H91" s="2011" t="s">
        <v>3423</v>
      </c>
      <c r="I91" s="2012">
        <f>578370188.41/10000</f>
        <v>57837.018840999997</v>
      </c>
      <c r="J91" s="2004">
        <f>I91/'数据-汇总表'!E19*10000</f>
        <v>5953.5752466115664</v>
      </c>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v>0</v>
      </c>
      <c r="E92" s="3173" t="s">
        <v>2108</v>
      </c>
      <c r="F92" s="3174"/>
      <c r="G92" s="3174"/>
      <c r="H92" s="3183"/>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696</v>
      </c>
      <c r="D93" s="2802">
        <f>'数据-取费表'!B43</f>
        <v>6.000000000000001E-3</v>
      </c>
      <c r="E93" s="3173" t="s">
        <v>2092</v>
      </c>
      <c r="F93" s="3174"/>
      <c r="G93" s="3174"/>
      <c r="H93" s="318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17288</v>
      </c>
      <c r="D94" s="2802">
        <v>0.2</v>
      </c>
      <c r="E94" s="3184" t="s">
        <v>2112</v>
      </c>
      <c r="F94" s="3185"/>
      <c r="G94" s="3185"/>
      <c r="H94" s="318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11568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0.11077738996986956</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3470</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7" t="s">
        <v>2114</v>
      </c>
      <c r="B100" s="3158"/>
      <c r="C100" s="3158"/>
      <c r="D100" s="3175"/>
      <c r="E100" s="3158" t="s">
        <v>2115</v>
      </c>
      <c r="F100" s="3158"/>
      <c r="G100" s="3158"/>
      <c r="H100" s="3175"/>
      <c r="I100" s="134"/>
    </row>
    <row r="101" spans="1:35" ht="18.75" customHeight="1">
      <c r="A101" s="3239" t="s">
        <v>2116</v>
      </c>
      <c r="B101" s="3240"/>
      <c r="C101" s="2810" t="str">
        <f>C4</f>
        <v>成本法</v>
      </c>
      <c r="D101" s="2811" t="str">
        <f>D4</f>
        <v>收益法</v>
      </c>
      <c r="E101" s="3253" t="s">
        <v>2117</v>
      </c>
      <c r="F101" s="3207"/>
      <c r="G101" s="2013" t="s">
        <v>2118</v>
      </c>
      <c r="H101" s="2820">
        <f ca="1">H118</f>
        <v>121794</v>
      </c>
      <c r="I101" s="134"/>
    </row>
    <row r="102" spans="1:35" ht="18.75" customHeight="1">
      <c r="A102" s="3209" t="s">
        <v>2119</v>
      </c>
      <c r="B102" s="2809" t="s">
        <v>2118</v>
      </c>
      <c r="C102" s="2810">
        <f ca="1">C19</f>
        <v>120889</v>
      </c>
      <c r="D102" s="2811">
        <f ca="1">D19</f>
        <v>122698</v>
      </c>
      <c r="E102" s="3253"/>
      <c r="F102" s="3207"/>
      <c r="G102" s="2013" t="s">
        <v>2120</v>
      </c>
      <c r="H102" s="2781">
        <f ca="1">I118</f>
        <v>12537</v>
      </c>
      <c r="I102" s="134"/>
    </row>
    <row r="103" spans="1:35" ht="42.75" customHeight="1">
      <c r="A103" s="3209"/>
      <c r="B103" s="2809" t="s">
        <v>2120</v>
      </c>
      <c r="C103" s="2812">
        <f ca="1">C20</f>
        <v>12444</v>
      </c>
      <c r="D103" s="2813">
        <f ca="1">D20</f>
        <v>12630</v>
      </c>
      <c r="E103" s="3247" t="s">
        <v>2121</v>
      </c>
      <c r="F103" s="3248"/>
      <c r="G103" s="2014" t="s">
        <v>2122</v>
      </c>
      <c r="H103" s="2820">
        <f>IF(D36="正常操作",H104+H105+H106,H105+H106)</f>
        <v>0</v>
      </c>
      <c r="I103" s="134"/>
    </row>
    <row r="104" spans="1:35" ht="18.75" customHeight="1">
      <c r="A104" s="3209" t="s">
        <v>2123</v>
      </c>
      <c r="B104" s="2814" t="s">
        <v>2118</v>
      </c>
      <c r="C104" s="2815">
        <f ca="1">H118</f>
        <v>121794</v>
      </c>
      <c r="D104" s="2816"/>
      <c r="E104" s="1860" t="s">
        <v>2124</v>
      </c>
      <c r="F104" s="1851"/>
      <c r="G104" s="2014" t="s">
        <v>2122</v>
      </c>
      <c r="H104" s="2821">
        <f>IF(D36="同一抵押权人同一抵押物续贷",C36&amp;"（续贷，未扣减，详见特别提示）",C36)</f>
        <v>0</v>
      </c>
      <c r="I104" s="134"/>
    </row>
    <row r="105" spans="1:35" ht="18.75" customHeight="1" thickBot="1">
      <c r="A105" s="3210"/>
      <c r="B105" s="2817" t="s">
        <v>2120</v>
      </c>
      <c r="C105" s="2818">
        <f ca="1">I118</f>
        <v>12537</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6" t="str">
        <f>IF(项目基本情况!E8="已注销","——","3.房地产抵押价值")</f>
        <v>3.房地产抵押价值</v>
      </c>
      <c r="F107" s="3207"/>
      <c r="G107" s="2013" t="s">
        <v>2118</v>
      </c>
      <c r="H107" s="2820">
        <f ca="1">IF(E107="——","——",H101-H103)</f>
        <v>121794</v>
      </c>
      <c r="I107" s="134"/>
    </row>
    <row r="108" spans="1:35" ht="18.75" customHeight="1">
      <c r="A108" s="134"/>
      <c r="B108" s="134"/>
      <c r="C108" s="134"/>
      <c r="D108" s="134"/>
      <c r="E108" s="3206"/>
      <c r="F108" s="3207"/>
      <c r="G108" s="2013" t="s">
        <v>2120</v>
      </c>
      <c r="H108" s="2781">
        <f ca="1">ROUND(H107*10000/'数据-汇总表'!E3,0)</f>
        <v>12537</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207"/>
      <c r="G109" s="2013" t="s">
        <v>2118</v>
      </c>
      <c r="H109" s="2823" t="str">
        <f>IF(E109="——","——",H101-H105-H106)</f>
        <v>——</v>
      </c>
      <c r="I109" s="134"/>
    </row>
    <row r="110" spans="1:35" ht="18.75" customHeight="1">
      <c r="A110" s="134"/>
      <c r="B110" s="134"/>
      <c r="C110" s="134"/>
      <c r="D110" s="134"/>
      <c r="E110" s="3206"/>
      <c r="F110" s="3207"/>
      <c r="G110" s="2013" t="s">
        <v>2120</v>
      </c>
      <c r="H110" s="2781" t="str">
        <f>IF(H109="——","——",ROUND(H109*10000/'数据-汇总表'!E3,0))</f>
        <v>——</v>
      </c>
      <c r="I110" s="134"/>
    </row>
    <row r="111" spans="1:35" ht="18.75" customHeight="1">
      <c r="A111" s="134"/>
      <c r="B111" s="134"/>
      <c r="C111" s="134"/>
      <c r="D111" s="134"/>
      <c r="E111" s="3241" t="str">
        <f>IF(项目基本情况!E9="抵押净值",IF(OR(项目基本情况!E8="已注销",项目基本情况!E8="房地产抵押价值"),"4.抵押净值","5.抵押净值"),"——")</f>
        <v>4.抵押净值</v>
      </c>
      <c r="F111" s="3208"/>
      <c r="G111" s="2013" t="s">
        <v>2118</v>
      </c>
      <c r="H111" s="2820">
        <f ca="1">IF(E111="——","——",N59)</f>
        <v>111767</v>
      </c>
      <c r="I111" s="134"/>
    </row>
    <row r="112" spans="1:35" ht="18.75" customHeight="1" thickBot="1">
      <c r="A112" s="134"/>
      <c r="B112" s="134"/>
      <c r="C112" s="134"/>
      <c r="D112" s="134"/>
      <c r="E112" s="3242"/>
      <c r="F112" s="3243"/>
      <c r="G112" s="2016" t="s">
        <v>2120</v>
      </c>
      <c r="H112" s="2824">
        <f ca="1">IF(E111="——","——",N61)</f>
        <v>11505</v>
      </c>
      <c r="I112" s="134"/>
    </row>
    <row r="113" spans="1:27" ht="18.75" customHeight="1">
      <c r="A113" s="134"/>
      <c r="B113" s="134"/>
      <c r="C113" s="134"/>
      <c r="D113" s="134"/>
      <c r="E113" s="3211" t="s">
        <v>2126</v>
      </c>
      <c r="F113" s="3211"/>
      <c r="G113" s="3211"/>
      <c r="H113" s="3211"/>
      <c r="I113" s="134"/>
    </row>
    <row r="114" spans="1:27" ht="3.75" customHeight="1">
      <c r="A114" s="1933"/>
      <c r="B114" s="1933"/>
      <c r="C114" s="1933"/>
      <c r="D114" s="1933"/>
      <c r="E114" s="1995"/>
      <c r="F114" s="1995"/>
      <c r="G114" s="1995"/>
      <c r="H114" s="1995"/>
      <c r="I114" s="1933"/>
    </row>
    <row r="115" spans="1:27" ht="18.75" customHeight="1">
      <c r="A115" s="3224" t="s">
        <v>2128</v>
      </c>
      <c r="B115" s="3225"/>
      <c r="C115" s="3225"/>
      <c r="D115" s="3225"/>
      <c r="E115" s="3225"/>
      <c r="F115" s="3225"/>
      <c r="G115" s="3225"/>
      <c r="H115" s="3225"/>
      <c r="I115" s="3226"/>
    </row>
    <row r="116" spans="1:27" ht="27" customHeight="1">
      <c r="A116" s="3177" t="s">
        <v>2129</v>
      </c>
      <c r="B116" s="3212" t="s">
        <v>2130</v>
      </c>
      <c r="C116" s="3212" t="s">
        <v>2131</v>
      </c>
      <c r="D116" s="3228" t="s">
        <v>2132</v>
      </c>
      <c r="E116" s="3229"/>
      <c r="F116" s="3220" t="s">
        <v>2133</v>
      </c>
      <c r="G116" s="3220"/>
      <c r="H116" s="3177" t="s">
        <v>2134</v>
      </c>
      <c r="I116" s="3177"/>
    </row>
    <row r="117" spans="1:27" ht="18.75" customHeight="1">
      <c r="A117" s="3177"/>
      <c r="B117" s="3213"/>
      <c r="C117" s="3213"/>
      <c r="D117" s="2552" t="s">
        <v>2135</v>
      </c>
      <c r="E117" s="2552" t="s">
        <v>2136</v>
      </c>
      <c r="F117" s="2552" t="s">
        <v>2135</v>
      </c>
      <c r="G117" s="2552" t="s">
        <v>2137</v>
      </c>
      <c r="H117" s="2552" t="s">
        <v>2135</v>
      </c>
      <c r="I117" s="2552" t="s">
        <v>2137</v>
      </c>
    </row>
    <row r="118" spans="1:27" ht="24.75" customHeight="1">
      <c r="A118" s="2825" t="str">
        <f>项目基本情况!S2</f>
        <v>房地产</v>
      </c>
      <c r="B118" s="2552">
        <f>M18</f>
        <v>97146.700000000012</v>
      </c>
      <c r="C118" s="2552">
        <f>M19</f>
        <v>30151.46</v>
      </c>
      <c r="D118" s="2552">
        <f ca="1">ROUND(IF(D32="总价",C34,E118*B118/10000),0)</f>
        <v>50910</v>
      </c>
      <c r="E118" s="2552">
        <f ca="1">ROUND(IF(C33="自定义",IF(D32="楼面单价",C34,D118*10000/B118),I118-G118),0)</f>
        <v>5240</v>
      </c>
      <c r="F118" s="2552">
        <f ca="1">ROUND(IF(D32="总价",C35,G118*B118/10000),0)</f>
        <v>70884</v>
      </c>
      <c r="G118" s="2552">
        <f ca="1">ROUND(IF(D32="楼面单价",C35,F118*10000/B118),0)</f>
        <v>7297</v>
      </c>
      <c r="H118" s="2552">
        <f ca="1">ROUND(IF(D32="总价",C32,I118*B118/10000),0)</f>
        <v>121794</v>
      </c>
      <c r="I118" s="2552">
        <f ca="1">ROUND(IF(D32="楼面单价",C32,H118*10000/B118),0)</f>
        <v>12537</v>
      </c>
    </row>
    <row r="119" spans="1:27" ht="18.75" customHeight="1">
      <c r="A119" s="3177" t="s">
        <v>2138</v>
      </c>
      <c r="B119" s="3177"/>
      <c r="C119" s="3177"/>
      <c r="D119" s="3217" t="str">
        <f ca="1">NUMBERSTRING(INT(D118*10000),2)&amp;"元整"</f>
        <v>伍亿零玖佰壹拾万元整</v>
      </c>
      <c r="E119" s="3219"/>
      <c r="F119" s="3217" t="str">
        <f ca="1">NUMBERSTRING(INT(F118*10000),2)&amp;"元整"</f>
        <v>柒亿零捌佰捌拾肆万元整</v>
      </c>
      <c r="G119" s="3219"/>
      <c r="H119" s="3217" t="str">
        <f ca="1">NUMBERSTRING(INT(H118*10000),2)&amp;"元整"</f>
        <v>壹拾贰亿壹仟柒佰玖拾肆万元整</v>
      </c>
      <c r="I119" s="3219"/>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1" t="s">
        <v>2138</v>
      </c>
      <c r="B121" s="3222"/>
      <c r="C121" s="3223"/>
      <c r="D121" s="3217" t="str">
        <f>IF(D120=0,"零元整",NUMBERSTRING(INT(D120*10000),2)&amp;"元整")</f>
        <v>零元整</v>
      </c>
      <c r="E121" s="3218"/>
      <c r="F121" s="3218"/>
      <c r="G121" s="3218"/>
      <c r="H121" s="3218"/>
      <c r="I121" s="3219"/>
      <c r="AA121" s="734"/>
    </row>
    <row r="122" spans="1:27" ht="18.75" customHeight="1">
      <c r="A122" s="3208" t="str">
        <f>IF(项目基本情况!B9="房地产市场价值","",MID(E107,3,LEN(E107)-2))</f>
        <v>房地产抵押价值</v>
      </c>
      <c r="B122" s="3208"/>
      <c r="C122" s="3208"/>
      <c r="D122" s="3244">
        <f ca="1">H107</f>
        <v>121794</v>
      </c>
      <c r="E122" s="3245"/>
      <c r="F122" s="3245"/>
      <c r="G122" s="3245"/>
      <c r="H122" s="3245"/>
      <c r="I122" s="3246"/>
      <c r="AA122" s="734"/>
    </row>
    <row r="123" spans="1:27" ht="18.75" customHeight="1">
      <c r="A123" s="3177" t="s">
        <v>2138</v>
      </c>
      <c r="B123" s="3177"/>
      <c r="C123" s="3177"/>
      <c r="D123" s="3217" t="str">
        <f ca="1">NUMBERSTRING(INT(D122*10000),2)&amp;"元整"</f>
        <v>壹拾贰亿壹仟柒佰玖拾肆万元整</v>
      </c>
      <c r="E123" s="3218"/>
      <c r="F123" s="3218"/>
      <c r="G123" s="3218"/>
      <c r="H123" s="3218"/>
      <c r="I123" s="3219"/>
      <c r="AA123" s="734"/>
    </row>
    <row r="124" spans="1:27" ht="18.75" customHeight="1">
      <c r="A124" s="3208" t="str">
        <f>IF(项目基本情况!B9="房地产市场价值","",MID(E109,3,LEN(E109)-2))</f>
        <v/>
      </c>
      <c r="B124" s="3208"/>
      <c r="C124" s="3208"/>
      <c r="D124" s="3244" t="str">
        <f>H109</f>
        <v>——</v>
      </c>
      <c r="E124" s="3245"/>
      <c r="F124" s="3245"/>
      <c r="G124" s="3245"/>
      <c r="H124" s="3245"/>
      <c r="I124" s="3246"/>
      <c r="AA124" s="734"/>
    </row>
    <row r="125" spans="1:27" ht="18.75" customHeight="1">
      <c r="A125" s="3177" t="s">
        <v>2138</v>
      </c>
      <c r="B125" s="3177"/>
      <c r="C125" s="3177"/>
      <c r="D125" s="3217" t="e">
        <f>NUMBERSTRING(INT(D124*10000),2)&amp;"元整"</f>
        <v>#VALUE!</v>
      </c>
      <c r="E125" s="3218"/>
      <c r="F125" s="3218"/>
      <c r="G125" s="3218"/>
      <c r="H125" s="3218"/>
      <c r="I125" s="3219"/>
      <c r="AA125" s="734"/>
    </row>
    <row r="126" spans="1:27" ht="18.75" customHeight="1">
      <c r="A126" s="3208" t="str">
        <f>IF(项目基本情况!B9="房地产市场价值","",MID(E111,3,LEN(E111)-2))</f>
        <v>抵押净值</v>
      </c>
      <c r="B126" s="3208"/>
      <c r="C126" s="3208"/>
      <c r="D126" s="3244">
        <f ca="1">H111</f>
        <v>111767</v>
      </c>
      <c r="E126" s="3245"/>
      <c r="F126" s="3245"/>
      <c r="G126" s="3245"/>
      <c r="H126" s="3245"/>
      <c r="I126" s="3246"/>
      <c r="AA126" s="734"/>
    </row>
    <row r="127" spans="1:27" ht="18.75" customHeight="1">
      <c r="A127" s="3177" t="s">
        <v>2138</v>
      </c>
      <c r="B127" s="3177"/>
      <c r="C127" s="3177"/>
      <c r="D127" s="3217" t="str">
        <f ca="1">NUMBERSTRING(INT(D126*10000),2)&amp;"元整"</f>
        <v>壹拾壹亿壹仟柒佰陆拾柒万元整</v>
      </c>
      <c r="E127" s="3218"/>
      <c r="F127" s="3218"/>
      <c r="G127" s="3218"/>
      <c r="H127" s="3218"/>
      <c r="I127" s="3219"/>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6" orientation="portrait" r:id="rId1"/>
  <rowBreaks count="3" manualBreakCount="3">
    <brk id="43" max="14" man="1"/>
    <brk id="97" max="14" man="1"/>
    <brk id="142" max="8" man="1"/>
  </rowBreaks>
  <colBreaks count="1" manualBreakCount="1">
    <brk id="10" max="126"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5" zoomScaleNormal="70" zoomScaleSheetLayoutView="85"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120889</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12444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35749</v>
      </c>
      <c r="D5" s="217" t="s">
        <v>2155</v>
      </c>
      <c r="E5" s="218" t="s">
        <v>2156</v>
      </c>
      <c r="F5" s="218" t="s">
        <v>2157</v>
      </c>
      <c r="G5" s="219"/>
    </row>
    <row r="6" spans="1:9" s="220" customFormat="1" ht="13.5" customHeight="1">
      <c r="A6" s="886" t="s">
        <v>2158</v>
      </c>
      <c r="B6" s="221" t="s">
        <v>2159</v>
      </c>
      <c r="C6" s="222">
        <f>'土地比较法-住宅、综合'!F56</f>
        <v>33757</v>
      </c>
      <c r="D6" s="223"/>
      <c r="E6" s="224"/>
      <c r="F6" s="224"/>
      <c r="G6" s="225"/>
    </row>
    <row r="7" spans="1:9" s="220" customFormat="1" ht="13.5" customHeight="1">
      <c r="A7" s="886" t="s">
        <v>2160</v>
      </c>
      <c r="B7" s="221" t="s">
        <v>2161</v>
      </c>
      <c r="C7" s="226">
        <f>ROUND(C6*F7,0)</f>
        <v>1030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962</v>
      </c>
      <c r="D8" s="228"/>
      <c r="E8" s="226"/>
      <c r="F8" s="227"/>
      <c r="G8" s="2042" t="s">
        <v>3404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962</v>
      </c>
      <c r="D10" s="954">
        <f ca="1">IF(B1="",'数据-汇总表'!E6,IF(INDIRECT("'数据-取费表'!c"&amp;$G$1)="住宅",INDIRECT("'数据-取费表'!s"&amp;$G$1),INDIRECT("'数据-取费表'!k"&amp;$G$1)+INDIRECT("'数据-取费表'!s"&amp;$G$1)))</f>
        <v>97146.700000000012</v>
      </c>
      <c r="E10" s="231">
        <f>'数据-取费表'!B28</f>
        <v>99</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97146.700000000012</v>
      </c>
      <c r="E19" s="217">
        <f>'数据-取费表'!B31</f>
        <v>200</v>
      </c>
      <c r="F19" s="237"/>
      <c r="G19" s="2042" t="s">
        <v>3405</v>
      </c>
    </row>
    <row r="20" spans="1:7" s="220" customFormat="1" ht="13.5" customHeight="1">
      <c r="A20" s="261" t="s">
        <v>2179</v>
      </c>
      <c r="B20" s="216" t="s">
        <v>2180</v>
      </c>
      <c r="C20" s="238">
        <f ca="1">ROUND((C5+C19)*F20,0)</f>
        <v>1072</v>
      </c>
      <c r="D20" s="238"/>
      <c r="E20" s="238"/>
      <c r="F20" s="239">
        <f>'数据-取费表'!B37</f>
        <v>0.03</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2393</v>
      </c>
      <c r="D22" s="241">
        <f ca="1">C26</f>
        <v>5.9999999999999995E-4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2358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35</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7364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7364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50513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52702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48573</v>
      </c>
      <c r="D34" s="223"/>
      <c r="E34" s="226"/>
      <c r="F34" s="263">
        <f ca="1">IF('数据-取费表'!B24=0,1,IF(B1="",'数据-取费表'!N16,INDIRECT("'数据-取费表'!n"&amp;$G$1)))</f>
        <v>1</v>
      </c>
      <c r="G34" s="225" t="s">
        <v>2212</v>
      </c>
    </row>
    <row r="35" spans="1:7" ht="13.5" customHeight="1">
      <c r="A35" s="888" t="s">
        <v>796</v>
      </c>
      <c r="B35" s="221" t="s">
        <v>2213</v>
      </c>
      <c r="C35" s="226">
        <f ca="1">ROUND(C34*F35,0)</f>
        <v>1457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1943</v>
      </c>
      <c r="D37" s="223">
        <f ca="1">D19</f>
        <v>97146.700000000012</v>
      </c>
      <c r="E37" s="255">
        <f>'数据-取费表'!B35</f>
        <v>200</v>
      </c>
      <c r="F37" s="265"/>
      <c r="G37" s="267" t="s">
        <v>2218</v>
      </c>
    </row>
    <row r="38" spans="1:7" ht="13.5" customHeight="1">
      <c r="A38" s="888" t="s">
        <v>799</v>
      </c>
      <c r="B38" s="221" t="s">
        <v>2219</v>
      </c>
      <c r="C38" s="226">
        <f ca="1">ROUND(C34*F38,0)</f>
        <v>729</v>
      </c>
      <c r="D38" s="226"/>
      <c r="E38" s="226"/>
      <c r="F38" s="265">
        <f>'数据-取费表'!B36</f>
        <v>1.4999999999999999E-2</v>
      </c>
      <c r="G38" s="225" t="s">
        <v>2214</v>
      </c>
    </row>
    <row r="39" spans="1:7" s="220" customFormat="1" ht="13.5" customHeight="1">
      <c r="A39" s="261" t="s">
        <v>2220</v>
      </c>
      <c r="B39" s="216" t="s">
        <v>2221</v>
      </c>
      <c r="C39" s="238">
        <f ca="1">ROUND(C33*F20,0)</f>
        <v>1581</v>
      </c>
      <c r="D39" s="238"/>
      <c r="E39" s="238"/>
      <c r="F39" s="2535">
        <f>F20</f>
        <v>0.03</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1761</v>
      </c>
      <c r="D41" s="241">
        <f ca="1">C44</f>
        <v>5.9999999999999995E-4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1710</v>
      </c>
      <c r="D42" s="244"/>
      <c r="E42" s="244"/>
      <c r="F42" s="245"/>
      <c r="G42" s="3260" t="s">
        <v>2230</v>
      </c>
    </row>
    <row r="43" spans="1:7" ht="13.5" customHeight="1">
      <c r="A43" s="888" t="s">
        <v>792</v>
      </c>
      <c r="B43" s="221" t="s">
        <v>2231</v>
      </c>
      <c r="C43" s="244">
        <f ca="1">ROUND(IF('数据-取费表'!B22&lt;=1,C39*F22*'数据-取费表'!B21/2,C39*(POWER((1+F22),'数据-取费表'!B21/2)-1)),0)</f>
        <v>51</v>
      </c>
      <c r="D43" s="244"/>
      <c r="E43" s="244"/>
      <c r="F43" s="245"/>
      <c r="G43" s="3261"/>
    </row>
    <row r="44" spans="1:7" ht="13.5" customHeight="1">
      <c r="A44" s="888" t="s">
        <v>793</v>
      </c>
      <c r="B44" s="221" t="s">
        <v>2232</v>
      </c>
      <c r="C44" s="244">
        <f ca="1">ROUND(IF('数据-取费表'!B22&lt;=1,C40*F22*'数据-取费表'!B21/2,C40*(POWER((1+F22),'数据-取费表'!B21/2)-1)),4)</f>
        <v>5.9999999999999995E-4</v>
      </c>
      <c r="D44" s="244"/>
      <c r="E44" s="244"/>
      <c r="F44" s="245"/>
      <c r="G44" s="3262"/>
    </row>
    <row r="45" spans="1:7" s="220" customFormat="1" ht="13.5" customHeight="1">
      <c r="A45" s="261" t="s">
        <v>2233</v>
      </c>
      <c r="B45" s="250" t="s">
        <v>2199</v>
      </c>
      <c r="C45" s="251">
        <f ca="1">C46</f>
        <v>10857</v>
      </c>
      <c r="D45" s="241">
        <f ca="1">C47</f>
        <v>4.0000000000000001E-3</v>
      </c>
      <c r="E45" s="242" t="s">
        <v>2225</v>
      </c>
      <c r="F45" s="2537">
        <f ca="1">F27</f>
        <v>0.2</v>
      </c>
      <c r="G45" s="253" t="s">
        <v>2234</v>
      </c>
    </row>
    <row r="46" spans="1:7" s="220" customFormat="1" ht="13.5" customHeight="1">
      <c r="A46" s="888" t="s">
        <v>791</v>
      </c>
      <c r="B46" s="254" t="s">
        <v>2235</v>
      </c>
      <c r="C46" s="255">
        <f ca="1">ROUND((C33+C39)*F27,0)</f>
        <v>10857</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72553</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70376</v>
      </c>
      <c r="D51" s="238"/>
      <c r="E51" s="238"/>
      <c r="F51" s="270"/>
      <c r="G51" s="240" t="s">
        <v>2246</v>
      </c>
    </row>
    <row r="52" spans="1:7" s="214" customFormat="1" ht="16.5" thickBot="1">
      <c r="A52" s="271" t="s">
        <v>2247</v>
      </c>
      <c r="B52" s="272"/>
      <c r="C52" s="273">
        <f ca="1">C31+C51</f>
        <v>120889</v>
      </c>
      <c r="D52" s="272"/>
      <c r="E52" s="272"/>
      <c r="F52" s="272"/>
      <c r="G52" s="274"/>
    </row>
    <row r="55" spans="1:7" ht="15">
      <c r="B55" s="276" t="s">
        <v>2248</v>
      </c>
      <c r="C55" s="277"/>
    </row>
    <row r="56" spans="1:7">
      <c r="B56" s="279" t="s">
        <v>1478</v>
      </c>
      <c r="C56" s="281">
        <f ca="1">1-C57</f>
        <v>0.41800000000000004</v>
      </c>
    </row>
    <row r="57" spans="1:7">
      <c r="B57" s="279" t="s">
        <v>1479</v>
      </c>
      <c r="C57" s="280">
        <f ca="1">ROUND(C51/C52,3)</f>
        <v>0.58199999999999996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房地产抵押价值预评估</v>
      </c>
      <c r="C37" s="3071"/>
      <c r="D37" s="3071"/>
      <c r="E37" s="3071"/>
      <c r="F37" s="3071"/>
      <c r="G37" s="3071"/>
      <c r="H37" s="3071"/>
      <c r="I37" s="307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74481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7667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9617523</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9617523</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9617523</v>
      </c>
      <c r="D10" s="954">
        <f ca="1">IF(B1="",'数据-汇总表'!E6,IF(INDIRECT("'数据-取费表'!c"&amp;$G$1)="住宅",INDIRECT("'数据-取费表'!s"&amp;$G$1),INDIRECT("'数据-取费表'!k"&amp;$G$1)+INDIRECT("'数据-取费表'!s"&amp;$G$1)))</f>
        <v>97146.700000000012</v>
      </c>
      <c r="E10" s="231">
        <f>'数据-取费表'!B28</f>
        <v>99</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19429340</v>
      </c>
      <c r="D19" s="958">
        <f ca="1">D9+D10</f>
        <v>97146.700000000012</v>
      </c>
      <c r="E19" s="217">
        <f>'数据-取费表'!B31</f>
        <v>200</v>
      </c>
      <c r="F19" s="237"/>
      <c r="G19" s="2042"/>
    </row>
    <row r="20" spans="1:7" s="220" customFormat="1" ht="13.5" customHeight="1">
      <c r="A20" s="261" t="s">
        <v>2260</v>
      </c>
      <c r="B20" s="216" t="s">
        <v>2261</v>
      </c>
      <c r="C20" s="238">
        <f ca="1">ROUND((C5+C19)*F20,0)</f>
        <v>871406</v>
      </c>
      <c r="D20" s="238"/>
      <c r="E20" s="238"/>
      <c r="F20" s="239">
        <f>'数据-取费表'!B37</f>
        <v>0.03</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1944050</v>
      </c>
      <c r="D22" s="241">
        <f ca="1">C26</f>
        <v>5.9999999999999995E-4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634319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1281453</v>
      </c>
      <c r="D24" s="244"/>
      <c r="E24" s="244"/>
      <c r="F24" s="245"/>
      <c r="G24" s="246" t="s">
        <v>2272</v>
      </c>
    </row>
    <row r="25" spans="1:7" s="220" customFormat="1" ht="24">
      <c r="A25" s="888" t="s">
        <v>2162</v>
      </c>
      <c r="B25" s="221" t="s">
        <v>2273</v>
      </c>
      <c r="C25" s="1290">
        <f ca="1">ROUND(IF('数据-取费表'!B22&lt;=1,C20*F22*'数据-取费表'!B22/2,C20*(POWER((1+F22),'数据-取费表'!B22/2)-1)),0)</f>
        <v>28278</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5983654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5983654</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41043242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527020848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485733500</v>
      </c>
      <c r="D34" s="223"/>
      <c r="E34" s="226"/>
      <c r="F34" s="263"/>
      <c r="G34" s="225"/>
    </row>
    <row r="35" spans="1:7" ht="13.5" customHeight="1">
      <c r="A35" s="888" t="s">
        <v>796</v>
      </c>
      <c r="B35" s="221" t="s">
        <v>2213</v>
      </c>
      <c r="C35" s="226">
        <f ca="1">ROUND(C34*F35,0)</f>
        <v>14572005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19429340</v>
      </c>
      <c r="D37" s="223">
        <f ca="1">D19</f>
        <v>97146.700000000012</v>
      </c>
      <c r="E37" s="255">
        <f>'数据-取费表'!B35</f>
        <v>200</v>
      </c>
      <c r="F37" s="265"/>
      <c r="G37" s="267"/>
    </row>
    <row r="38" spans="1:7" ht="13.5" customHeight="1">
      <c r="A38" s="888" t="s">
        <v>799</v>
      </c>
      <c r="B38" s="221" t="s">
        <v>2219</v>
      </c>
      <c r="C38" s="226">
        <f ca="1">ROUND(C34*F38,0)</f>
        <v>7286003</v>
      </c>
      <c r="D38" s="226"/>
      <c r="E38" s="226"/>
      <c r="F38" s="265">
        <f>'数据-取费表'!B36</f>
        <v>1.4999999999999999E-2</v>
      </c>
      <c r="G38" s="225" t="s">
        <v>2214</v>
      </c>
    </row>
    <row r="39" spans="1:7" s="220" customFormat="1" ht="13.5" customHeight="1">
      <c r="A39" s="261" t="s">
        <v>2220</v>
      </c>
      <c r="B39" s="216" t="s">
        <v>2221</v>
      </c>
      <c r="C39" s="238">
        <f ca="1">ROUND(C33*F20,0)</f>
        <v>15810625</v>
      </c>
      <c r="D39" s="238"/>
      <c r="E39" s="238"/>
      <c r="F39" s="2535">
        <f>F20</f>
        <v>0.03</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17615283</v>
      </c>
      <c r="D41" s="241">
        <f ca="1">C44</f>
        <v>5.9999999999999995E-4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17102217</v>
      </c>
      <c r="D42" s="244"/>
      <c r="E42" s="244"/>
      <c r="F42" s="245"/>
      <c r="G42" s="3260" t="s">
        <v>2277</v>
      </c>
    </row>
    <row r="43" spans="1:7" ht="13.5" customHeight="1">
      <c r="A43" s="888" t="s">
        <v>792</v>
      </c>
      <c r="B43" s="221" t="s">
        <v>2231</v>
      </c>
      <c r="C43" s="244">
        <f ca="1">ROUND(IF('数据-取费表'!B22&lt;=1,C39*F22*'数据-取费表'!B20/2,C39*(POWER((1+F22),'数据-取费表'!B20/2)-1)),0)</f>
        <v>513066</v>
      </c>
      <c r="D43" s="244"/>
      <c r="E43" s="244"/>
      <c r="F43" s="245"/>
      <c r="G43" s="3261"/>
    </row>
    <row r="44" spans="1:7" ht="13.5" customHeight="1">
      <c r="A44" s="888" t="s">
        <v>793</v>
      </c>
      <c r="B44" s="221" t="s">
        <v>2232</v>
      </c>
      <c r="C44" s="244">
        <f ca="1">ROUND(IF('数据-取费表'!B22&lt;=1,C40*F22*'数据-取费表'!B20/2,C40*(POWER((1+F22),'数据-取费表'!B20/2)-1)),4)</f>
        <v>5.9999999999999995E-4</v>
      </c>
      <c r="D44" s="244"/>
      <c r="E44" s="244"/>
      <c r="F44" s="245"/>
      <c r="G44" s="3262"/>
    </row>
    <row r="45" spans="1:7" s="220" customFormat="1" ht="13.5" customHeight="1">
      <c r="A45" s="261" t="s">
        <v>2233</v>
      </c>
      <c r="B45" s="250" t="s">
        <v>2199</v>
      </c>
      <c r="C45" s="251">
        <f ca="1">C46</f>
        <v>108566295</v>
      </c>
      <c r="D45" s="241">
        <f ca="1">C47</f>
        <v>4.0000000000000001E-3</v>
      </c>
      <c r="E45" s="242" t="s">
        <v>2225</v>
      </c>
      <c r="F45" s="2537">
        <f ca="1">F27</f>
        <v>0.2</v>
      </c>
      <c r="G45" s="253" t="s">
        <v>2234</v>
      </c>
    </row>
    <row r="46" spans="1:7" s="220" customFormat="1" ht="13.5" customHeight="1">
      <c r="A46" s="888" t="s">
        <v>791</v>
      </c>
      <c r="B46" s="254" t="s">
        <v>2235</v>
      </c>
      <c r="C46" s="255">
        <f ca="1">ROUND((C33+C39)*F27,0)</f>
        <v>108566295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725531993</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703766033</v>
      </c>
      <c r="D51" s="238"/>
      <c r="E51" s="238"/>
      <c r="F51" s="270"/>
      <c r="G51" s="240" t="s">
        <v>2246</v>
      </c>
    </row>
    <row r="52" spans="1:7" s="214" customFormat="1" ht="16.5" thickBot="1">
      <c r="A52" s="271" t="s">
        <v>2247</v>
      </c>
      <c r="B52" s="272"/>
      <c r="C52" s="273">
        <f ca="1">C31+C51</f>
        <v>744809275</v>
      </c>
      <c r="D52" s="272"/>
      <c r="E52" s="272"/>
      <c r="F52" s="272"/>
      <c r="G52" s="274"/>
    </row>
    <row r="55" spans="1:7" ht="15">
      <c r="B55" s="276" t="s">
        <v>2248</v>
      </c>
      <c r="C55" s="277"/>
    </row>
    <row r="56" spans="1:7">
      <c r="B56" s="279" t="s">
        <v>1478</v>
      </c>
      <c r="C56" s="281">
        <f ca="1">1-C57</f>
        <v>5.5000000000000049E-2</v>
      </c>
    </row>
    <row r="57" spans="1:7">
      <c r="B57" s="279" t="s">
        <v>1479</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97146.700000000012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97146.700000000012</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962</v>
      </c>
      <c r="D20" s="955">
        <f ca="1">IF(C1="",'数据-汇总表'!E6,IF(INDIRECT("'数据-取费表'!c"&amp;$K$1)="住宅",INDIRECT("'数据-取费表'!s"&amp;$K$1),INDIRECT("'数据-取费表'!k"&amp;$K$1)+INDIRECT("'数据-取费表'!s"&amp;$K$1)))</f>
        <v>97146.700000000012</v>
      </c>
      <c r="E20" s="24">
        <f>'数据-取费表'!B28</f>
        <v>99</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36.93</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122698</v>
      </c>
      <c r="C2" s="1571" t="s">
        <v>1481</v>
      </c>
      <c r="D2" s="1571"/>
      <c r="E2" s="1572"/>
      <c r="F2" s="1573"/>
      <c r="G2" s="2934"/>
      <c r="H2" s="2923"/>
      <c r="I2" s="2923"/>
      <c r="J2" s="2923"/>
      <c r="K2" s="2924"/>
      <c r="L2" s="2923"/>
      <c r="M2" s="2923"/>
    </row>
    <row r="3" spans="1:37" ht="18" customHeight="1" thickBot="1">
      <c r="A3" s="1574" t="s">
        <v>1482</v>
      </c>
      <c r="B3" s="1575">
        <f ca="1">IF(ISERROR(B2*10000/F43),0,ROUND(B2*10000/F43,0))</f>
        <v>12630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7988</v>
      </c>
      <c r="D5" s="1548" t="s">
        <v>1367</v>
      </c>
      <c r="E5" s="1203"/>
      <c r="F5" s="1204"/>
      <c r="G5" s="1568"/>
      <c r="H5" s="305">
        <v>1</v>
      </c>
      <c r="I5" s="306" t="s">
        <v>1366</v>
      </c>
      <c r="J5" s="1202">
        <f ca="1">J6+J10+J12</f>
        <v>0</v>
      </c>
      <c r="K5" s="1548" t="s">
        <v>1367</v>
      </c>
      <c r="L5" s="1203"/>
      <c r="M5" s="1204"/>
    </row>
    <row r="6" spans="1:37" ht="18" customHeight="1">
      <c r="A6" s="1201" t="s">
        <v>1003</v>
      </c>
      <c r="B6" s="3265" t="s">
        <v>1368</v>
      </c>
      <c r="C6" s="1206">
        <f ca="1">ROUND(F6*F8*F7*(1-F9)/10000,0)</f>
        <v>7978</v>
      </c>
      <c r="D6" s="160" t="s">
        <v>2850</v>
      </c>
      <c r="E6" s="308" t="s">
        <v>1370</v>
      </c>
      <c r="F6" s="309">
        <f ca="1">INDIRECT("'数据-取费表'!u"&amp;$G$1)</f>
        <v>2.5</v>
      </c>
      <c r="G6" s="1568"/>
      <c r="H6" s="1201" t="s">
        <v>1003</v>
      </c>
      <c r="I6" s="3265" t="s">
        <v>1368</v>
      </c>
      <c r="J6" s="307">
        <f ca="1">ROUND(M6*M8*M7*(1-M9)/10000,0)</f>
        <v>0</v>
      </c>
      <c r="K6" s="160" t="s">
        <v>2849</v>
      </c>
      <c r="L6" s="308" t="s">
        <v>1370</v>
      </c>
      <c r="M6" s="309">
        <f ca="1">INDIRECT("'数据-取费表'!z"&amp;$G$1)</f>
        <v>0</v>
      </c>
    </row>
    <row r="7" spans="1:37" ht="18" customHeight="1">
      <c r="A7" s="1205"/>
      <c r="B7" s="3266"/>
      <c r="C7" s="1207"/>
      <c r="D7" s="313"/>
      <c r="E7" s="1208" t="s">
        <v>1371</v>
      </c>
      <c r="F7" s="309">
        <f ca="1">IF(INDIRECT("'数据-取费表'!ah"&amp;$G$1)="",INDIRECT("'数据-取费表'!k"&amp;$G$1),INDIRECT("'数据-取费表'!ah"&amp;$G$1))</f>
        <v>97146.700000000012</v>
      </c>
      <c r="G7" s="1568"/>
      <c r="H7" s="310"/>
      <c r="I7" s="3266"/>
      <c r="J7" s="312"/>
      <c r="K7" s="313"/>
      <c r="L7" s="308" t="s">
        <v>1371</v>
      </c>
      <c r="M7" s="309">
        <f ca="1">F7</f>
        <v>97146.700000000012</v>
      </c>
    </row>
    <row r="8" spans="1:37" ht="18" customHeight="1">
      <c r="A8" s="310"/>
      <c r="B8" s="3266"/>
      <c r="C8" s="312"/>
      <c r="D8" s="313"/>
      <c r="E8" s="308" t="s">
        <v>1372</v>
      </c>
      <c r="F8" s="309">
        <f ca="1">INDIRECT("'数据-取费表'!ai"&amp;$G$1)</f>
        <v>365</v>
      </c>
      <c r="G8" s="1568"/>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68"/>
      <c r="H9" s="310"/>
      <c r="I9" s="3267"/>
      <c r="J9" s="312"/>
      <c r="K9" s="313"/>
      <c r="L9" s="319" t="s">
        <v>1373</v>
      </c>
      <c r="M9" s="320">
        <f ca="1">INDIRECT("'数据-取费表'!ab"&amp;$G$1)</f>
        <v>0</v>
      </c>
    </row>
    <row r="10" spans="1:37" ht="18" customHeight="1">
      <c r="A10" s="1201" t="s">
        <v>1007</v>
      </c>
      <c r="B10" s="1549" t="s">
        <v>1374</v>
      </c>
      <c r="C10" s="322">
        <f ca="1">ROUND(IF(F10="押一",C6/12*F11,IF(F10="押二",C6/12*2*F11,IF(F10="押三",C6/12*3*F11,C11*F11))),0)</f>
        <v>10</v>
      </c>
      <c r="D10" s="1550" t="s">
        <v>2858</v>
      </c>
      <c r="E10" s="319" t="s">
        <v>1375</v>
      </c>
      <c r="F10" s="1276" t="s">
        <v>3077</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70376</v>
      </c>
      <c r="D13" s="1241" t="s">
        <v>1380</v>
      </c>
      <c r="E13" s="1241" t="s">
        <v>1381</v>
      </c>
      <c r="F13" s="1242">
        <f ca="1">INDIRECT("'数据-取费表'!y"&amp;$G$1)</f>
        <v>0.97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48573</v>
      </c>
      <c r="D14" s="1529" t="s">
        <v>1383</v>
      </c>
      <c r="E14" s="1526"/>
      <c r="F14" s="325"/>
      <c r="G14" s="1568"/>
      <c r="H14" s="1113" t="s">
        <v>1003</v>
      </c>
      <c r="I14" s="308" t="s">
        <v>1384</v>
      </c>
      <c r="J14" s="24">
        <f ca="1">C29</f>
        <v>72553</v>
      </c>
      <c r="K14" s="15"/>
      <c r="L14" s="916"/>
      <c r="M14" s="917"/>
    </row>
    <row r="15" spans="1:37" s="1581" customFormat="1" ht="18" customHeight="1" thickBot="1">
      <c r="A15" s="1113" t="s">
        <v>1004</v>
      </c>
      <c r="B15" s="308" t="s">
        <v>1385</v>
      </c>
      <c r="C15" s="24">
        <f ca="1">ROUND(C14*F15,0)</f>
        <v>1457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1729</v>
      </c>
      <c r="K16" s="1247" t="s">
        <v>1390</v>
      </c>
      <c r="L16" s="1248"/>
      <c r="M16" s="1204"/>
    </row>
    <row r="17" spans="1:37" s="1581" customFormat="1" ht="18" customHeight="1">
      <c r="A17" s="1113" t="s">
        <v>1355</v>
      </c>
      <c r="B17" s="308" t="s">
        <v>1391</v>
      </c>
      <c r="C17" s="24">
        <f ca="1">ROUND(F17*(F43+INDIRECT("'数据-取费表'!S"&amp;$G$1))/10000,0)</f>
        <v>1943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641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729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52702</v>
      </c>
      <c r="D19" s="136" t="s">
        <v>1401</v>
      </c>
      <c r="E19" s="1544"/>
      <c r="F19" s="26"/>
      <c r="G19" s="1568"/>
      <c r="H19" s="1113" t="s">
        <v>1004</v>
      </c>
      <c r="I19" s="308" t="s">
        <v>1402</v>
      </c>
      <c r="J19" s="24">
        <f ca="1">IF(K19="按租金收入计税",ROUND(J6*M19/(1+'数据-取费表'!C42),2),ROUND(C29*M19*0.7,2))</f>
        <v>609.45000000000005</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1581</v>
      </c>
      <c r="D20" s="329" t="s">
        <v>1405</v>
      </c>
      <c r="E20" s="308" t="s">
        <v>1387</v>
      </c>
      <c r="F20" s="328">
        <f>'数据-取费表'!B37</f>
        <v>0.03</v>
      </c>
      <c r="G20" s="1580"/>
      <c r="H20" s="1113" t="s">
        <v>1354</v>
      </c>
      <c r="I20" s="160" t="s">
        <v>1406</v>
      </c>
      <c r="J20" s="25">
        <f ca="1">ROUND(M20*M21/10000,2)</f>
        <v>31.66</v>
      </c>
      <c r="K20" s="330" t="s">
        <v>1407</v>
      </c>
      <c r="L20" s="308" t="s">
        <v>1408</v>
      </c>
      <c r="M20" s="331">
        <f>'数据-取费表'!B52</f>
        <v>10.5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30151.46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1088.3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1761</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3.0000000000000001E-3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-1729</v>
      </c>
      <c r="K25" s="1255" t="s">
        <v>1429</v>
      </c>
      <c r="L25" s="1256"/>
      <c r="M25" s="1257"/>
    </row>
    <row r="26" spans="1:37">
      <c r="A26" s="1113" t="s">
        <v>1002</v>
      </c>
      <c r="B26" s="308" t="s">
        <v>1430</v>
      </c>
      <c r="C26" s="24">
        <f ca="1">ROUND((C19+C20)*F26,0)</f>
        <v>10857</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72553</v>
      </c>
      <c r="D29" s="1252"/>
      <c r="E29" s="1250"/>
      <c r="F29" s="1253"/>
      <c r="G29" s="1580"/>
      <c r="H29" s="340" t="s">
        <v>1001</v>
      </c>
      <c r="I29" s="341" t="s">
        <v>1444</v>
      </c>
      <c r="J29" s="342">
        <f ca="1">ROUND(J26/(1+F40)^F41,0)</f>
        <v>0</v>
      </c>
      <c r="K29" s="343" t="s">
        <v>1445</v>
      </c>
      <c r="L29" s="344"/>
      <c r="M29" s="345">
        <f ca="1">INDIRECT("'数据-取费表'!k"&amp;$G$1)</f>
        <v>97146.700000000012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2828</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1369</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1"/>
      <c r="L31" s="2926"/>
      <c r="M31" s="2927"/>
    </row>
    <row r="32" spans="1:37" ht="18" customHeight="1">
      <c r="A32" s="1113" t="s">
        <v>1002</v>
      </c>
      <c r="B32" s="308" t="s">
        <v>1398</v>
      </c>
      <c r="C32" s="24">
        <f ca="1">IF(项目基本情况!B11="自然人","——",ROUND(C6*F32/(1+'数据-取费表'!C42),2))</f>
        <v>425.49</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911.77</v>
      </c>
      <c r="D33" s="1554" t="s">
        <v>3078</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31.66</v>
      </c>
      <c r="D34" s="330" t="s">
        <v>1407</v>
      </c>
      <c r="E34" s="308" t="s">
        <v>1408</v>
      </c>
      <c r="F34" s="331">
        <f>'数据-取费表'!B52</f>
        <v>10.5</v>
      </c>
      <c r="G34" s="1568"/>
      <c r="H34" s="2925"/>
      <c r="I34" s="1582"/>
      <c r="J34" s="1583"/>
      <c r="K34" s="2930"/>
      <c r="L34" s="2931"/>
      <c r="M34" s="2931"/>
    </row>
    <row r="35" spans="1:18" ht="18" customHeight="1">
      <c r="A35" s="1263"/>
      <c r="B35" s="1261"/>
      <c r="C35" s="29"/>
      <c r="D35" s="333"/>
      <c r="E35" s="308" t="s">
        <v>1412</v>
      </c>
      <c r="F35" s="309">
        <f ca="1">INDIRECT("'数据-取费表'!r"&amp;$G$1)</f>
        <v>30151.46</v>
      </c>
      <c r="G35" s="1568"/>
      <c r="H35" s="2925"/>
      <c r="I35" s="1582"/>
      <c r="J35" s="1583"/>
      <c r="K35" s="2929"/>
      <c r="L35" s="2928"/>
      <c r="M35" s="2928"/>
    </row>
    <row r="36" spans="1:18" ht="18" customHeight="1">
      <c r="A36" s="1262" t="s">
        <v>1007</v>
      </c>
      <c r="B36" s="308" t="s">
        <v>1414</v>
      </c>
      <c r="C36" s="24">
        <f ca="1">ROUND(C29*F36,1)</f>
        <v>1088.3</v>
      </c>
      <c r="D36" s="1528" t="s">
        <v>1447</v>
      </c>
      <c r="E36" s="308" t="s">
        <v>1387</v>
      </c>
      <c r="F36" s="334">
        <f ca="1">INDIRECT("'数据-取费表'!Ak"&amp;$G$1)</f>
        <v>1.4999999999999999E-2</v>
      </c>
      <c r="G36" s="1568"/>
      <c r="H36" s="2928"/>
      <c r="I36" s="1582"/>
      <c r="J36" s="1583"/>
      <c r="K36" s="2770"/>
      <c r="L36" s="2928"/>
      <c r="M36" s="2928"/>
    </row>
    <row r="37" spans="1:18" ht="18" customHeight="1">
      <c r="A37" s="1113" t="s">
        <v>1043</v>
      </c>
      <c r="B37" s="308" t="s">
        <v>1418</v>
      </c>
      <c r="C37" s="24">
        <f ca="1">ROUND(C13*F37,1)</f>
        <v>211.1</v>
      </c>
      <c r="D37" s="1528" t="s">
        <v>1419</v>
      </c>
      <c r="E37" s="308" t="s">
        <v>1420</v>
      </c>
      <c r="F37" s="336">
        <f ca="1">INDIRECT("'数据-取费表'!Al"&amp;$G$1)</f>
        <v>3.0000000000000001E-3</v>
      </c>
      <c r="G37" s="1568"/>
      <c r="H37" s="2928"/>
      <c r="I37" s="1582"/>
      <c r="J37" s="1583"/>
      <c r="K37" s="2770"/>
      <c r="L37" s="2928"/>
      <c r="M37" s="2928"/>
    </row>
    <row r="38" spans="1:18" ht="18" customHeight="1" thickBot="1">
      <c r="A38" s="1249" t="s">
        <v>1358</v>
      </c>
      <c r="B38" s="1250" t="s">
        <v>1404</v>
      </c>
      <c r="C38" s="1251">
        <f ca="1">ROUND(C5*F38,1)</f>
        <v>159.80000000000001</v>
      </c>
      <c r="D38" s="1252" t="s">
        <v>1424</v>
      </c>
      <c r="E38" s="1250" t="s">
        <v>1420</v>
      </c>
      <c r="F38" s="1246">
        <f ca="1">INDIRECT("'数据-取费表'!Am"&amp;$G$1)</f>
        <v>0.02</v>
      </c>
      <c r="G38" s="1568"/>
      <c r="H38" s="2928"/>
      <c r="I38" s="1582"/>
      <c r="J38" s="1583"/>
      <c r="K38" s="2932"/>
      <c r="L38" s="2928"/>
      <c r="M38" s="2928"/>
    </row>
    <row r="39" spans="1:18" ht="24.6" customHeight="1" thickTop="1">
      <c r="A39" s="1239" t="s">
        <v>999</v>
      </c>
      <c r="B39" s="1254" t="s">
        <v>1448</v>
      </c>
      <c r="C39" s="316">
        <f ca="1">C5-C30</f>
        <v>5160</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121271</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36.93</v>
      </c>
      <c r="G41" s="1568"/>
      <c r="H41" s="1352"/>
      <c r="I41" s="1582"/>
      <c r="J41" s="1583"/>
      <c r="K41" s="2770"/>
      <c r="L41" s="1352"/>
      <c r="M41" s="1352"/>
    </row>
    <row r="42" spans="1:18" ht="18" customHeight="1">
      <c r="A42" s="314"/>
      <c r="B42" s="315"/>
      <c r="C42" s="316"/>
      <c r="D42" s="333"/>
      <c r="E42" s="308" t="s">
        <v>1442</v>
      </c>
      <c r="F42" s="318">
        <f ca="1">INDIRECT("'数据-取费表'!v"&amp;$G$1)</f>
        <v>0.03</v>
      </c>
      <c r="G42" s="1568"/>
      <c r="H42" s="1352"/>
      <c r="I42" s="1582"/>
      <c r="J42" s="1583"/>
      <c r="K42" s="2770"/>
      <c r="L42" s="1352"/>
      <c r="M42" s="1352"/>
    </row>
    <row r="43" spans="1:18" ht="18" customHeight="1" thickBot="1">
      <c r="A43" s="340" t="s">
        <v>1001</v>
      </c>
      <c r="B43" s="341" t="s">
        <v>1452</v>
      </c>
      <c r="C43" s="342">
        <f ca="1">ROUND(C40*10000/F43,0)</f>
        <v>12483</v>
      </c>
      <c r="D43" s="343" t="s">
        <v>1453</v>
      </c>
      <c r="E43" s="344" t="s">
        <v>1454</v>
      </c>
      <c r="F43" s="345">
        <f ca="1">INDIRECT("'数据-取费表'!k"&amp;$G$1)</f>
        <v>97146.700000000012</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-237581</v>
      </c>
      <c r="D46" s="1590" t="str">
        <f>C2</f>
        <v>万元</v>
      </c>
      <c r="E46" s="1584"/>
      <c r="F46" s="1584"/>
      <c r="I46" s="1591" t="s">
        <v>1486</v>
      </c>
      <c r="J46" s="1592"/>
      <c r="K46" s="1593"/>
      <c r="L46" s="1594">
        <f ca="1">IF(M47="住宅",0,IF(L48&gt;J51,L60,J60))</f>
        <v>1427</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121271</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36.93</v>
      </c>
      <c r="O48" s="1602" t="s">
        <v>1009</v>
      </c>
      <c r="P48" s="1603" t="s">
        <v>1497</v>
      </c>
      <c r="Q48" s="1604">
        <f ca="1">J60</f>
        <v>1427</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2019</v>
      </c>
      <c r="K49" s="1607" t="s">
        <v>1500</v>
      </c>
      <c r="L49" s="1611"/>
      <c r="O49" s="1612" t="s">
        <v>1010</v>
      </c>
      <c r="P49" s="1603" t="s">
        <v>1501</v>
      </c>
      <c r="Q49" s="1604">
        <f ca="1">C29</f>
        <v>72553</v>
      </c>
      <c r="R49" s="1604" t="s">
        <v>1494</v>
      </c>
    </row>
    <row r="50" spans="1:18" s="1568" customFormat="1" ht="13.5" thickBot="1">
      <c r="A50" s="1107"/>
      <c r="B50" s="1110"/>
      <c r="C50" s="1278"/>
      <c r="D50" s="1084"/>
      <c r="E50" s="1187" t="s">
        <v>1371</v>
      </c>
      <c r="F50" s="1188">
        <f ca="1">F7</f>
        <v>97146.700000000012</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58</v>
      </c>
      <c r="K51" s="1618" t="s">
        <v>1506</v>
      </c>
      <c r="L51" s="1619">
        <f ca="1">ROUND(-PV(INDIRECT("'数据-取费表'!h"&amp;$G$1),J51,(C39-C13*C76),0),0)</f>
        <v>-8847</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36.93</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36.93</v>
      </c>
      <c r="K53" s="3263" t="s">
        <v>1513</v>
      </c>
      <c r="L53" s="3264"/>
      <c r="O53" s="1602" t="s">
        <v>1014</v>
      </c>
      <c r="P53" s="1603" t="s">
        <v>1514</v>
      </c>
      <c r="Q53" s="1604">
        <f ca="1">Q47+Q48</f>
        <v>122698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0.35099999999999998</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70376</v>
      </c>
      <c r="D56" s="1631"/>
      <c r="E56" s="1632"/>
      <c r="F56" s="1624"/>
      <c r="I56" s="1633" t="s">
        <v>1519</v>
      </c>
      <c r="J56" s="1634" t="s">
        <v>3081</v>
      </c>
      <c r="K56" s="1605" t="s">
        <v>1520</v>
      </c>
      <c r="L56" s="1608" t="str">
        <f ca="1">IF(L48&lt;J51,"——",L48-J53)</f>
        <v>——</v>
      </c>
      <c r="O56" s="1602" t="s">
        <v>1008</v>
      </c>
      <c r="P56" s="1603" t="s">
        <v>1493</v>
      </c>
      <c r="Q56" s="1604">
        <f ca="1">C40+J29</f>
        <v>121271</v>
      </c>
      <c r="R56" s="1604" t="s">
        <v>1494</v>
      </c>
    </row>
    <row r="57" spans="1:18" s="1568" customFormat="1" ht="24.75" thickBot="1">
      <c r="A57" s="1635"/>
      <c r="B57" s="1081" t="s">
        <v>1443</v>
      </c>
      <c r="C57" s="244">
        <f ca="1">C29</f>
        <v>72553</v>
      </c>
      <c r="D57" s="1636"/>
      <c r="E57" s="1637"/>
      <c r="F57" s="1638"/>
      <c r="I57" s="1639" t="s">
        <v>1521</v>
      </c>
      <c r="J57" s="1640">
        <f ca="1">IF(OR(M47="住宅",J51&lt;L48,J56="是"),"——",J51-L48)</f>
        <v>21.07</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7425</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6126</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29021</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1427</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6094.45</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31.66</v>
      </c>
      <c r="D62" s="1096" t="s">
        <v>1462</v>
      </c>
      <c r="E62" s="1081" t="s">
        <v>1463</v>
      </c>
      <c r="F62" s="331">
        <f t="shared" si="0"/>
        <v>10.5</v>
      </c>
      <c r="I62" s="1646" t="s">
        <v>1535</v>
      </c>
      <c r="J62" s="1647" t="s">
        <v>1536</v>
      </c>
      <c r="K62" s="1647" t="s">
        <v>1537</v>
      </c>
      <c r="L62" s="1647" t="s">
        <v>1538</v>
      </c>
      <c r="M62" s="1648" t="s">
        <v>1539</v>
      </c>
      <c r="O62" s="1602" t="s">
        <v>1014</v>
      </c>
      <c r="P62" s="1603" t="s">
        <v>1540</v>
      </c>
      <c r="Q62" s="1604">
        <f ca="1">Q56+Q57</f>
        <v>121271</v>
      </c>
      <c r="R62" s="1604" t="s">
        <v>1015</v>
      </c>
    </row>
    <row r="63" spans="1:18" s="1568" customFormat="1" ht="13.5" thickBot="1">
      <c r="A63" s="332"/>
      <c r="B63" s="1087"/>
      <c r="C63" s="29"/>
      <c r="D63" s="1097"/>
      <c r="E63" s="1081" t="s">
        <v>1464</v>
      </c>
      <c r="F63" s="309">
        <f t="shared" ca="1" si="0"/>
        <v>30151.46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1088.3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211.1</v>
      </c>
      <c r="D65" s="1095" t="s">
        <v>1419</v>
      </c>
      <c r="E65" s="1081" t="s">
        <v>1420</v>
      </c>
      <c r="F65" s="336">
        <f t="shared" ca="1" si="0"/>
        <v>3.0000000000000001E-3</v>
      </c>
      <c r="I65" s="1646" t="s">
        <v>1544</v>
      </c>
      <c r="J65" s="1647">
        <v>40</v>
      </c>
      <c r="K65" s="1647">
        <v>30</v>
      </c>
      <c r="L65" s="1647">
        <v>50</v>
      </c>
      <c r="M65" s="1649">
        <v>0.02</v>
      </c>
      <c r="O65" s="1602" t="s">
        <v>1008</v>
      </c>
      <c r="P65" s="1603" t="s">
        <v>1545</v>
      </c>
      <c r="Q65" s="1604">
        <f ca="1">C40+J29</f>
        <v>121271</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-7425</v>
      </c>
      <c r="D67" s="1094" t="s">
        <v>1429</v>
      </c>
      <c r="E67" s="1099"/>
      <c r="F67" s="1100"/>
      <c r="O67" s="1612" t="s">
        <v>1010</v>
      </c>
      <c r="P67" s="1603" t="s">
        <v>1527</v>
      </c>
      <c r="Q67" s="1650">
        <f ca="1">L51</f>
        <v>-8847</v>
      </c>
      <c r="R67" s="1604" t="s">
        <v>1547</v>
      </c>
    </row>
    <row r="68" spans="1:18" s="1568" customFormat="1" ht="16.5" thickBot="1">
      <c r="A68" s="1078" t="s">
        <v>1000</v>
      </c>
      <c r="B68" s="1079" t="s">
        <v>1450</v>
      </c>
      <c r="C68" s="307">
        <f ca="1">ROUND(C67*(1-((1+F70)/(1+F68))^F69)/(F68-F70),0)</f>
        <v>-116310</v>
      </c>
      <c r="D68" s="1096" t="s">
        <v>1434</v>
      </c>
      <c r="E68" s="1081" t="s">
        <v>1435</v>
      </c>
      <c r="F68" s="318">
        <f ca="1">F40</f>
        <v>5.5E-2</v>
      </c>
      <c r="O68" s="1612" t="s">
        <v>1011</v>
      </c>
      <c r="P68" s="1651" t="s">
        <v>1548</v>
      </c>
      <c r="Q68" s="1604">
        <f ca="1">ROUND(Q69-Q70*Q71,0)</f>
        <v>-470</v>
      </c>
      <c r="R68" s="1604" t="s">
        <v>1019</v>
      </c>
    </row>
    <row r="69" spans="1:18" s="1568" customFormat="1" ht="13.5" thickBot="1">
      <c r="A69" s="1082"/>
      <c r="B69" s="1083"/>
      <c r="C69" s="312"/>
      <c r="D69" s="1101" t="s">
        <v>1438</v>
      </c>
      <c r="E69" s="1081" t="s">
        <v>1439</v>
      </c>
      <c r="F69" s="339">
        <f ca="1">F41</f>
        <v>36.93</v>
      </c>
      <c r="O69" s="1612" t="s">
        <v>1016</v>
      </c>
      <c r="P69" s="1651" t="s">
        <v>1549</v>
      </c>
      <c r="Q69" s="1604">
        <f ca="1">C39</f>
        <v>5160</v>
      </c>
      <c r="R69" s="1604" t="s">
        <v>1494</v>
      </c>
    </row>
    <row r="70" spans="1:18" s="1568" customFormat="1" ht="13.5" thickBot="1">
      <c r="A70" s="1085"/>
      <c r="B70" s="1086"/>
      <c r="C70" s="316"/>
      <c r="D70" s="1097"/>
      <c r="E70" s="1081" t="s">
        <v>1442</v>
      </c>
      <c r="F70" s="1185"/>
      <c r="O70" s="1612" t="s">
        <v>1017</v>
      </c>
      <c r="P70" s="1651" t="s">
        <v>1550</v>
      </c>
      <c r="Q70" s="1604">
        <f ca="1">C13</f>
        <v>70376</v>
      </c>
      <c r="R70" s="1604" t="s">
        <v>1494</v>
      </c>
    </row>
    <row r="71" spans="1:18" s="1568" customFormat="1" ht="13.5" thickBot="1">
      <c r="A71" s="1102" t="s">
        <v>1001</v>
      </c>
      <c r="B71" s="1103" t="s">
        <v>1452</v>
      </c>
      <c r="C71" s="342">
        <f ca="1">ROUND(C68*10000/F71,0)</f>
        <v>-11973</v>
      </c>
      <c r="D71" s="1104" t="s">
        <v>1453</v>
      </c>
      <c r="E71" s="1105" t="s">
        <v>1454</v>
      </c>
      <c r="F71" s="345">
        <f ca="1">F43</f>
        <v>97146.700000000012</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5630</v>
      </c>
      <c r="D75" s="1568"/>
      <c r="E75" s="1568"/>
      <c r="F75" s="1568"/>
      <c r="K75" s="1586"/>
      <c r="L75" s="1568"/>
      <c r="O75" s="1602" t="s">
        <v>1014</v>
      </c>
      <c r="P75" s="1603" t="s">
        <v>1514</v>
      </c>
      <c r="Q75" s="1604">
        <f ca="1">Q65+Q66</f>
        <v>121271</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-9.099999999999997E-2</v>
      </c>
    </row>
    <row r="80" spans="1:18">
      <c r="B80" s="346" t="s">
        <v>1476</v>
      </c>
      <c r="C80" s="280">
        <f ca="1">ROUND(C75/C39,3)</f>
        <v>1.091</v>
      </c>
    </row>
    <row r="81" spans="2:3">
      <c r="B81" s="276" t="s">
        <v>1477</v>
      </c>
      <c r="C81" s="244"/>
    </row>
    <row r="82" spans="2:3">
      <c r="B82" s="279" t="s">
        <v>1478</v>
      </c>
      <c r="C82" s="281">
        <f ca="1">1-C83</f>
        <v>0.42000000000000004</v>
      </c>
    </row>
    <row r="83" spans="2:3">
      <c r="B83" s="279" t="s">
        <v>1479</v>
      </c>
      <c r="C83" s="280">
        <f ca="1">ROUND(C13/C40,3)</f>
        <v>0.57999999999999996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5" t="s">
        <v>1368</v>
      </c>
      <c r="C6" s="1206">
        <f ca="1">ROUND(F6*F8*F7*(1-F9),0)</f>
        <v>0</v>
      </c>
      <c r="D6" s="160" t="s">
        <v>2847</v>
      </c>
      <c r="E6" s="308" t="s">
        <v>1370</v>
      </c>
      <c r="F6" s="309">
        <f ca="1">INDIRECT("'数据-取费表'!u"&amp;$G$1)</f>
        <v>0</v>
      </c>
      <c r="G6" s="1568"/>
      <c r="H6" s="1201" t="s">
        <v>1003</v>
      </c>
      <c r="I6" s="3265" t="s">
        <v>1368</v>
      </c>
      <c r="J6" s="307">
        <f ca="1">ROUND(M6*M8*M7*(1-M9),0)</f>
        <v>0</v>
      </c>
      <c r="K6" s="1560" t="s">
        <v>2848</v>
      </c>
      <c r="L6" s="308" t="s">
        <v>1370</v>
      </c>
      <c r="M6" s="309">
        <f ca="1">INDIRECT("'数据-取费表'!z"&amp;$G$1)</f>
        <v>0</v>
      </c>
    </row>
    <row r="7" spans="1:37" ht="18" customHeight="1">
      <c r="A7" s="1205"/>
      <c r="B7" s="3266"/>
      <c r="C7" s="1207"/>
      <c r="D7" s="313"/>
      <c r="E7" s="1208" t="s">
        <v>1371</v>
      </c>
      <c r="F7" s="309">
        <f ca="1">IF(INDIRECT("'数据-取费表'!ah"&amp;$G$1)="",INDIRECT("'数据-取费表'!k"&amp;$G$1),INDIRECT("'数据-取费表'!ah"&amp;$G$1))</f>
        <v>0</v>
      </c>
      <c r="G7" s="1568"/>
      <c r="H7" s="310"/>
      <c r="I7" s="3266"/>
      <c r="J7" s="312"/>
      <c r="K7" s="313"/>
      <c r="L7" s="308" t="s">
        <v>1371</v>
      </c>
      <c r="M7" s="309">
        <f ca="1">F7</f>
        <v>0</v>
      </c>
    </row>
    <row r="8" spans="1:37" ht="18" customHeight="1">
      <c r="A8" s="310"/>
      <c r="B8" s="3266"/>
      <c r="C8" s="312"/>
      <c r="D8" s="313"/>
      <c r="E8" s="308" t="s">
        <v>1372</v>
      </c>
      <c r="F8" s="309">
        <f ca="1">INDIRECT("'数据-取费表'!ai"&amp;$G$1)</f>
        <v>0</v>
      </c>
      <c r="G8" s="1568"/>
      <c r="H8" s="310"/>
      <c r="I8" s="3266"/>
      <c r="J8" s="312"/>
      <c r="K8" s="313"/>
      <c r="L8" s="308" t="s">
        <v>1372</v>
      </c>
      <c r="M8" s="309">
        <f ca="1">INDIRECT("'数据-取费表'!ai"&amp;$G$1)</f>
        <v>0</v>
      </c>
    </row>
    <row r="9" spans="1:37" ht="18" customHeight="1">
      <c r="A9" s="310"/>
      <c r="B9" s="3267"/>
      <c r="C9" s="312"/>
      <c r="D9" s="313"/>
      <c r="E9" s="308" t="s">
        <v>1373</v>
      </c>
      <c r="F9" s="318">
        <f ca="1">INDIRECT("'数据-取费表'!w"&amp;$G$1)</f>
        <v>0</v>
      </c>
      <c r="G9" s="1568"/>
      <c r="H9" s="310"/>
      <c r="I9" s="326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10.5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1"/>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1"/>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1"/>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10.5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70"/>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70"/>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70"/>
      <c r="L41" s="1352"/>
      <c r="M41" s="1352"/>
    </row>
    <row r="42" spans="1:18" ht="18" customHeight="1">
      <c r="A42" s="314"/>
      <c r="B42" s="315"/>
      <c r="C42" s="316"/>
      <c r="D42" s="333"/>
      <c r="E42" s="308" t="s">
        <v>1442</v>
      </c>
      <c r="F42" s="318">
        <f ca="1">INDIRECT("'数据-取费表'!v"&amp;$G$1)</f>
        <v>0</v>
      </c>
      <c r="G42" s="1568"/>
      <c r="H42" s="1352"/>
      <c r="I42" s="1582"/>
      <c r="J42" s="1583"/>
      <c r="K42" s="2770"/>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63" t="s">
        <v>1513</v>
      </c>
      <c r="L53" s="326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10.5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122698</v>
      </c>
      <c r="C2" s="2058" t="s">
        <v>2340</v>
      </c>
      <c r="D2" s="2059" t="s">
        <v>2341</v>
      </c>
      <c r="E2" s="2832">
        <f>SUM(E6:E13)</f>
        <v>97146.700000000012</v>
      </c>
      <c r="F2" s="2935"/>
      <c r="G2" s="1674"/>
      <c r="H2" s="1674"/>
      <c r="I2" s="1674"/>
      <c r="J2" s="1674"/>
      <c r="K2" s="1674"/>
      <c r="L2" s="1674"/>
      <c r="M2" s="1674"/>
      <c r="N2" s="1674"/>
      <c r="O2" s="1674"/>
      <c r="P2" s="1674"/>
      <c r="Q2" s="1674"/>
      <c r="R2" s="1674"/>
      <c r="S2" s="1674"/>
    </row>
    <row r="3" spans="1:22" ht="15.75">
      <c r="A3" s="2056" t="s">
        <v>1360</v>
      </c>
      <c r="B3" s="2826">
        <f ca="1">ROUND(B2*10000/E2,0)</f>
        <v>12630</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68" t="s">
        <v>2343</v>
      </c>
      <c r="C5" s="3269"/>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122698</v>
      </c>
      <c r="C6" s="2058" t="s">
        <v>2340</v>
      </c>
      <c r="D6" s="2937"/>
      <c r="E6" s="2831">
        <f>IF(OR(A6=0,F6="否"),0,'数据-取费表'!K6+'数据-取费表'!S6)</f>
        <v>97146.700000000012</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286" t="s">
        <v>1044</v>
      </c>
      <c r="B1" s="3287"/>
      <c r="C1" s="3288"/>
      <c r="D1" s="3289">
        <f>SUM(I10,I15,I20,I21,I23)</f>
        <v>0</v>
      </c>
      <c r="E1" s="3289"/>
      <c r="F1" s="3289"/>
      <c r="G1" s="3289"/>
      <c r="H1" s="3289"/>
      <c r="I1" s="3290"/>
    </row>
    <row r="2" spans="1:9">
      <c r="A2" s="3276" t="s">
        <v>1045</v>
      </c>
      <c r="B2" s="3277" t="s">
        <v>1046</v>
      </c>
      <c r="C2" s="3277"/>
      <c r="D2" s="1211" t="s">
        <v>1047</v>
      </c>
      <c r="E2" s="1211" t="s">
        <v>1048</v>
      </c>
      <c r="F2" s="1211" t="s">
        <v>1049</v>
      </c>
      <c r="G2" s="1211" t="s">
        <v>1050</v>
      </c>
      <c r="H2" s="1211" t="s">
        <v>1051</v>
      </c>
      <c r="I2" s="1212" t="s">
        <v>1052</v>
      </c>
    </row>
    <row r="3" spans="1:9">
      <c r="A3" s="3276"/>
      <c r="B3" s="3277" t="s">
        <v>1053</v>
      </c>
      <c r="C3" s="3277"/>
      <c r="D3" s="1213"/>
      <c r="E3" s="1211"/>
      <c r="F3" s="1214"/>
      <c r="G3" s="1214"/>
      <c r="H3" s="1215"/>
      <c r="I3" s="1216">
        <f>ROUND(D3*E3*F3*G3*H3/10000,0)</f>
        <v>0</v>
      </c>
    </row>
    <row r="4" spans="1:9">
      <c r="A4" s="3276"/>
      <c r="B4" s="3277" t="s">
        <v>1054</v>
      </c>
      <c r="C4" s="3277"/>
      <c r="D4" s="1213"/>
      <c r="E4" s="1211"/>
      <c r="F4" s="1214"/>
      <c r="G4" s="1214"/>
      <c r="H4" s="1215"/>
      <c r="I4" s="1216">
        <f t="shared" ref="I4:I9" si="0">ROUND(D4*E4*F4*G4*H4/10000,0)</f>
        <v>0</v>
      </c>
    </row>
    <row r="5" spans="1:9">
      <c r="A5" s="3276"/>
      <c r="B5" s="3277" t="s">
        <v>1055</v>
      </c>
      <c r="C5" s="3277"/>
      <c r="D5" s="1213"/>
      <c r="E5" s="1211"/>
      <c r="F5" s="1214"/>
      <c r="G5" s="1214"/>
      <c r="H5" s="1215"/>
      <c r="I5" s="1216">
        <f t="shared" si="0"/>
        <v>0</v>
      </c>
    </row>
    <row r="6" spans="1:9">
      <c r="A6" s="3276"/>
      <c r="B6" s="3277" t="s">
        <v>1056</v>
      </c>
      <c r="C6" s="3277"/>
      <c r="D6" s="1213"/>
      <c r="E6" s="1211"/>
      <c r="F6" s="1214"/>
      <c r="G6" s="1214"/>
      <c r="H6" s="1215"/>
      <c r="I6" s="1216">
        <f t="shared" si="0"/>
        <v>0</v>
      </c>
    </row>
    <row r="7" spans="1:9">
      <c r="A7" s="3276"/>
      <c r="B7" s="3277" t="s">
        <v>1057</v>
      </c>
      <c r="C7" s="3277"/>
      <c r="D7" s="1213"/>
      <c r="E7" s="1211"/>
      <c r="F7" s="1214"/>
      <c r="G7" s="1214"/>
      <c r="H7" s="1215"/>
      <c r="I7" s="1216">
        <f t="shared" si="0"/>
        <v>0</v>
      </c>
    </row>
    <row r="8" spans="1:9">
      <c r="A8" s="3276"/>
      <c r="B8" s="3277" t="s">
        <v>1058</v>
      </c>
      <c r="C8" s="3277"/>
      <c r="D8" s="1213"/>
      <c r="E8" s="1211"/>
      <c r="F8" s="1214"/>
      <c r="G8" s="1214"/>
      <c r="H8" s="1215"/>
      <c r="I8" s="1216">
        <f t="shared" si="0"/>
        <v>0</v>
      </c>
    </row>
    <row r="9" spans="1:9">
      <c r="A9" s="3276"/>
      <c r="B9" s="3277" t="s">
        <v>1059</v>
      </c>
      <c r="C9" s="3277"/>
      <c r="D9" s="1213"/>
      <c r="E9" s="1211"/>
      <c r="F9" s="1214"/>
      <c r="G9" s="1214"/>
      <c r="H9" s="1215"/>
      <c r="I9" s="1216">
        <f t="shared" si="0"/>
        <v>0</v>
      </c>
    </row>
    <row r="10" spans="1:9">
      <c r="A10" s="3276"/>
      <c r="B10" s="3278" t="s">
        <v>1060</v>
      </c>
      <c r="C10" s="3278"/>
      <c r="D10" s="1217"/>
      <c r="E10" s="1217" t="e">
        <f>ROUND(D1*10000/D10/H9,0)</f>
        <v>#DIV/0!</v>
      </c>
      <c r="F10" s="1218"/>
      <c r="G10" s="1218"/>
      <c r="H10" s="1219"/>
      <c r="I10" s="1220">
        <f>SUM(I3:I9)</f>
        <v>0</v>
      </c>
    </row>
    <row r="11" spans="1:9" ht="14.25">
      <c r="A11" s="3276" t="s">
        <v>1061</v>
      </c>
      <c r="B11" s="3277" t="s">
        <v>1062</v>
      </c>
      <c r="C11" s="3277"/>
      <c r="D11" s="1213" t="s">
        <v>1063</v>
      </c>
      <c r="E11" s="1213" t="s">
        <v>1064</v>
      </c>
      <c r="F11" s="1214" t="s">
        <v>1065</v>
      </c>
      <c r="G11" s="1214" t="s">
        <v>1051</v>
      </c>
      <c r="H11" s="1221" t="s">
        <v>1066</v>
      </c>
      <c r="I11" s="1212" t="s">
        <v>1052</v>
      </c>
    </row>
    <row r="12" spans="1:9">
      <c r="A12" s="3276"/>
      <c r="B12" s="3277" t="s">
        <v>1067</v>
      </c>
      <c r="C12" s="3277"/>
      <c r="D12" s="1213"/>
      <c r="E12" s="1213"/>
      <c r="F12" s="1214"/>
      <c r="G12" s="1215"/>
      <c r="H12" s="1222"/>
      <c r="I12" s="1212">
        <f>ROUND(D12*E12*F12*G12/10000,0)</f>
        <v>0</v>
      </c>
    </row>
    <row r="13" spans="1:9">
      <c r="A13" s="3276"/>
      <c r="B13" s="3277" t="s">
        <v>1068</v>
      </c>
      <c r="C13" s="3277"/>
      <c r="D13" s="1213"/>
      <c r="E13" s="1213"/>
      <c r="F13" s="1214"/>
      <c r="G13" s="1215"/>
      <c r="H13" s="1222"/>
      <c r="I13" s="1212">
        <f>ROUND(D13*E13*F13*G13/10000,0)</f>
        <v>0</v>
      </c>
    </row>
    <row r="14" spans="1:9">
      <c r="A14" s="3276"/>
      <c r="B14" s="3277" t="s">
        <v>1069</v>
      </c>
      <c r="C14" s="3277"/>
      <c r="D14" s="1213"/>
      <c r="E14" s="1213"/>
      <c r="F14" s="1214"/>
      <c r="G14" s="1215"/>
      <c r="H14" s="1222"/>
      <c r="I14" s="1212">
        <f>ROUND(D14*E14*F14*G14/10000,0)</f>
        <v>0</v>
      </c>
    </row>
    <row r="15" spans="1:9">
      <c r="A15" s="3276"/>
      <c r="B15" s="3278" t="s">
        <v>1060</v>
      </c>
      <c r="C15" s="3278"/>
      <c r="D15" s="1217"/>
      <c r="E15" s="1217">
        <f>SUM(E12:E14)</f>
        <v>0</v>
      </c>
      <c r="F15" s="1218"/>
      <c r="G15" s="1215"/>
      <c r="H15" s="1222"/>
      <c r="I15" s="1223">
        <f>SUM(I12:I14)</f>
        <v>0</v>
      </c>
    </row>
    <row r="16" spans="1:9" ht="24">
      <c r="A16" s="3276" t="s">
        <v>1070</v>
      </c>
      <c r="B16" s="3277" t="s">
        <v>1071</v>
      </c>
      <c r="C16" s="3277"/>
      <c r="D16" s="1213" t="s">
        <v>1047</v>
      </c>
      <c r="E16" s="1224" t="s">
        <v>1072</v>
      </c>
      <c r="F16" s="1214" t="s">
        <v>1073</v>
      </c>
      <c r="G16" s="1215" t="s">
        <v>1051</v>
      </c>
      <c r="H16" s="1221" t="s">
        <v>1066</v>
      </c>
      <c r="I16" s="1212" t="s">
        <v>1052</v>
      </c>
    </row>
    <row r="17" spans="1:9" ht="14.25">
      <c r="A17" s="3276"/>
      <c r="B17" s="3277" t="s">
        <v>1074</v>
      </c>
      <c r="C17" s="3277"/>
      <c r="D17" s="1213"/>
      <c r="E17" s="1213"/>
      <c r="F17" s="1214"/>
      <c r="G17" s="1215"/>
      <c r="H17" s="1225"/>
      <c r="I17" s="1226">
        <f>ROUND(D17*E17*F17*G17/10000,0)</f>
        <v>0</v>
      </c>
    </row>
    <row r="18" spans="1:9" ht="14.25">
      <c r="A18" s="3276"/>
      <c r="B18" s="3277" t="s">
        <v>1075</v>
      </c>
      <c r="C18" s="3277"/>
      <c r="D18" s="1213"/>
      <c r="E18" s="1213"/>
      <c r="F18" s="1214"/>
      <c r="G18" s="1215"/>
      <c r="H18" s="1225"/>
      <c r="I18" s="1226">
        <f>ROUND(D18*E18*F18*G18/10000,0)</f>
        <v>0</v>
      </c>
    </row>
    <row r="19" spans="1:9" ht="14.25">
      <c r="A19" s="3276"/>
      <c r="B19" s="3277" t="s">
        <v>1076</v>
      </c>
      <c r="C19" s="3277"/>
      <c r="D19" s="1213"/>
      <c r="E19" s="1213"/>
      <c r="F19" s="1214"/>
      <c r="G19" s="1215"/>
      <c r="H19" s="1225"/>
      <c r="I19" s="1226">
        <f>ROUND(D19*E19*F19*G19/10000,0)</f>
        <v>0</v>
      </c>
    </row>
    <row r="20" spans="1:9">
      <c r="A20" s="3276"/>
      <c r="B20" s="3278" t="s">
        <v>1060</v>
      </c>
      <c r="C20" s="3278"/>
      <c r="D20" s="1217">
        <f>SUM(D17:D19)</f>
        <v>0</v>
      </c>
      <c r="E20" s="1217"/>
      <c r="F20" s="1218"/>
      <c r="G20" s="1215"/>
      <c r="H20" s="1222"/>
      <c r="I20" s="1223">
        <f>SUM(I17:I19)</f>
        <v>0</v>
      </c>
    </row>
    <row r="21" spans="1:9">
      <c r="A21" s="3276" t="s">
        <v>1077</v>
      </c>
      <c r="B21" s="3279"/>
      <c r="C21" s="3279"/>
      <c r="D21" s="3279"/>
      <c r="E21" s="3279"/>
      <c r="F21" s="3279"/>
      <c r="G21" s="3279"/>
      <c r="H21" s="1502">
        <v>0.1</v>
      </c>
      <c r="I21" s="1220">
        <f>ROUND(I10*H21,0)</f>
        <v>0</v>
      </c>
    </row>
    <row r="22" spans="1:9" ht="14.25">
      <c r="A22" s="3280" t="s">
        <v>1078</v>
      </c>
      <c r="B22" s="3281"/>
      <c r="C22" s="3282"/>
      <c r="D22" s="1227" t="s">
        <v>1079</v>
      </c>
      <c r="E22" s="1227" t="s">
        <v>1080</v>
      </c>
      <c r="F22" s="1228" t="s">
        <v>1081</v>
      </c>
      <c r="G22" s="1228" t="s">
        <v>1082</v>
      </c>
      <c r="H22" s="1221" t="s">
        <v>1083</v>
      </c>
      <c r="I22" s="1212" t="s">
        <v>1084</v>
      </c>
    </row>
    <row r="23" spans="1:9" ht="14.25" thickBot="1">
      <c r="A23" s="3283"/>
      <c r="B23" s="3284"/>
      <c r="C23" s="3285"/>
      <c r="D23" s="1229"/>
      <c r="E23" s="1229"/>
      <c r="F23" s="1229"/>
      <c r="G23" s="1230"/>
      <c r="H23" s="1231"/>
      <c r="I23" s="1232">
        <f>ROUND(E23*D23*F23*(1-G23)/10000,0)</f>
        <v>0</v>
      </c>
    </row>
    <row r="26" spans="1:9">
      <c r="A26" s="1233" t="s">
        <v>1085</v>
      </c>
      <c r="B26" s="1233"/>
      <c r="C26" s="1233"/>
      <c r="D26" s="1233"/>
      <c r="E26" s="3273">
        <f>C27-C30-C31-C32</f>
        <v>0</v>
      </c>
      <c r="F26" s="3273"/>
      <c r="G26" s="3273"/>
      <c r="H26" s="1499" t="s">
        <v>1306</v>
      </c>
    </row>
    <row r="27" spans="1:9">
      <c r="A27" s="1234">
        <v>1</v>
      </c>
      <c r="B27" s="1235" t="s">
        <v>1086</v>
      </c>
      <c r="C27" s="1235">
        <f>C28+C29</f>
        <v>0</v>
      </c>
      <c r="D27" s="1235"/>
      <c r="E27" s="3274"/>
      <c r="F27" s="3274"/>
      <c r="G27" s="3274"/>
    </row>
    <row r="28" spans="1:9">
      <c r="A28" s="1236" t="s">
        <v>1087</v>
      </c>
      <c r="B28" s="1235" t="s">
        <v>1088</v>
      </c>
      <c r="C28" s="1235"/>
      <c r="D28" s="1235"/>
      <c r="E28" s="3274"/>
      <c r="F28" s="3274"/>
      <c r="G28" s="327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5"/>
      <c r="F32" s="3275"/>
      <c r="G32" s="3275"/>
    </row>
    <row r="33" spans="1:7" hidden="1">
      <c r="A33" s="3270" t="s">
        <v>1097</v>
      </c>
      <c r="B33" s="3271"/>
      <c r="C33" s="3271"/>
      <c r="D33" s="3272"/>
      <c r="E33" s="3273"/>
      <c r="F33" s="3273"/>
      <c r="G33" s="3273"/>
    </row>
    <row r="34" spans="1:7" hidden="1">
      <c r="A34" s="1238">
        <v>1</v>
      </c>
      <c r="B34" s="1235" t="s">
        <v>1098</v>
      </c>
      <c r="C34" s="1235"/>
      <c r="D34" s="1235"/>
      <c r="E34" s="3274"/>
      <c r="F34" s="3274"/>
      <c r="G34" s="3274"/>
    </row>
    <row r="35" spans="1:7" hidden="1">
      <c r="A35" s="1238">
        <v>2</v>
      </c>
      <c r="B35" s="1235" t="s">
        <v>1099</v>
      </c>
      <c r="C35" s="1235"/>
      <c r="D35" s="1235"/>
      <c r="E35" s="3274"/>
      <c r="F35" s="3274"/>
      <c r="G35" s="3274"/>
    </row>
    <row r="36" spans="1:7" hidden="1">
      <c r="A36" s="1238">
        <v>3</v>
      </c>
      <c r="B36" s="1235" t="s">
        <v>1100</v>
      </c>
      <c r="C36" s="1235"/>
      <c r="D36" s="1235"/>
      <c r="E36" s="3274"/>
      <c r="F36" s="3274"/>
      <c r="G36" s="3274"/>
    </row>
    <row r="37" spans="1:7" hidden="1">
      <c r="A37" s="1238">
        <v>4</v>
      </c>
      <c r="B37" s="1235" t="s">
        <v>1101</v>
      </c>
      <c r="C37" s="1235"/>
      <c r="D37" s="1235"/>
      <c r="E37" s="3274"/>
      <c r="F37" s="3274"/>
      <c r="G37" s="3274"/>
    </row>
    <row r="38" spans="1:7" hidden="1">
      <c r="A38" s="3270" t="s">
        <v>1102</v>
      </c>
      <c r="B38" s="3271"/>
      <c r="C38" s="3271"/>
      <c r="D38" s="3272"/>
      <c r="E38" s="3273"/>
      <c r="F38" s="3273"/>
      <c r="G38" s="32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44"/>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97146.700000000012</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09" t="s">
        <v>2357</v>
      </c>
      <c r="D4" s="3310"/>
      <c r="E4" s="3311" t="s">
        <v>2358</v>
      </c>
      <c r="F4" s="3312"/>
      <c r="G4" s="3309" t="s">
        <v>2359</v>
      </c>
      <c r="H4" s="3310"/>
      <c r="I4" s="3309" t="s">
        <v>2360</v>
      </c>
      <c r="J4" s="3310"/>
      <c r="K4" s="2075" t="s">
        <v>2361</v>
      </c>
      <c r="L4" s="2943"/>
      <c r="M4" s="2944"/>
      <c r="N4" s="2944"/>
      <c r="O4" s="2944"/>
      <c r="P4" s="3313" t="s">
        <v>2362</v>
      </c>
      <c r="Q4" s="3314"/>
      <c r="R4" s="3319" t="s">
        <v>2358</v>
      </c>
      <c r="S4" s="3320"/>
      <c r="T4" s="3319" t="s">
        <v>2359</v>
      </c>
      <c r="U4" s="3320"/>
      <c r="V4" s="3325" t="s">
        <v>2360</v>
      </c>
      <c r="W4" s="3325"/>
      <c r="X4" s="1539"/>
      <c r="Y4" s="3319" t="s">
        <v>2362</v>
      </c>
      <c r="Z4" s="3320"/>
      <c r="AA4" s="3306" t="s">
        <v>2358</v>
      </c>
      <c r="AB4" s="3306" t="s">
        <v>2359</v>
      </c>
      <c r="AC4" s="3306" t="s">
        <v>2360</v>
      </c>
    </row>
    <row r="5" spans="1:29" ht="15">
      <c r="A5" s="364"/>
      <c r="B5" s="365"/>
      <c r="C5" s="3328" t="s">
        <v>2363</v>
      </c>
      <c r="D5" s="3329"/>
      <c r="E5" s="3335" t="s">
        <v>2364</v>
      </c>
      <c r="F5" s="3336"/>
      <c r="G5" s="3328" t="s">
        <v>2365</v>
      </c>
      <c r="H5" s="3329"/>
      <c r="I5" s="3328" t="s">
        <v>2366</v>
      </c>
      <c r="J5" s="3329"/>
      <c r="K5" s="2076"/>
      <c r="L5" s="2943"/>
      <c r="M5" s="2944"/>
      <c r="N5" s="2944"/>
      <c r="O5" s="2944"/>
      <c r="P5" s="3315"/>
      <c r="Q5" s="3316"/>
      <c r="R5" s="3321"/>
      <c r="S5" s="3322"/>
      <c r="T5" s="3321"/>
      <c r="U5" s="3322"/>
      <c r="V5" s="3325"/>
      <c r="W5" s="3325"/>
      <c r="X5" s="1539"/>
      <c r="Y5" s="3321"/>
      <c r="Z5" s="3322"/>
      <c r="AA5" s="3307"/>
      <c r="AB5" s="3307"/>
      <c r="AC5" s="3307"/>
    </row>
    <row r="6" spans="1:29" ht="15.75" thickBot="1">
      <c r="A6" s="366"/>
      <c r="B6" s="367"/>
      <c r="C6" s="3326" t="s">
        <v>2367</v>
      </c>
      <c r="D6" s="3327"/>
      <c r="E6" s="3333" t="s">
        <v>2367</v>
      </c>
      <c r="F6" s="3334"/>
      <c r="G6" s="3326" t="s">
        <v>2367</v>
      </c>
      <c r="H6" s="3327"/>
      <c r="I6" s="3326" t="s">
        <v>2367</v>
      </c>
      <c r="J6" s="3327"/>
      <c r="K6" s="2076" t="s">
        <v>2368</v>
      </c>
      <c r="L6" s="2943"/>
      <c r="M6" s="2944"/>
      <c r="N6" s="2944"/>
      <c r="O6" s="2944"/>
      <c r="P6" s="3317"/>
      <c r="Q6" s="3318"/>
      <c r="R6" s="3321"/>
      <c r="S6" s="3322"/>
      <c r="T6" s="3323"/>
      <c r="U6" s="3324"/>
      <c r="V6" s="3325"/>
      <c r="W6" s="3325"/>
      <c r="X6" s="1539"/>
      <c r="Y6" s="3323"/>
      <c r="Z6" s="3324"/>
      <c r="AA6" s="3308"/>
      <c r="AB6" s="3308"/>
      <c r="AC6" s="3308"/>
    </row>
    <row r="7" spans="1:29" s="113" customFormat="1" ht="15.75" thickBot="1">
      <c r="A7" s="368" t="s">
        <v>2369</v>
      </c>
      <c r="B7" s="369"/>
      <c r="C7" s="370">
        <f>'数据-取费表'!B2</f>
        <v>44309</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30" t="s">
        <v>2370</v>
      </c>
      <c r="Q7" s="3332"/>
      <c r="R7" s="710" t="s">
        <v>23</v>
      </c>
      <c r="S7" s="711">
        <f t="shared" ref="S7:S15" si="0">F7</f>
        <v>0</v>
      </c>
      <c r="T7" s="710" t="s">
        <v>23</v>
      </c>
      <c r="U7" s="711">
        <f t="shared" ref="U7:U15" si="1">H7</f>
        <v>0</v>
      </c>
      <c r="V7" s="710" t="s">
        <v>23</v>
      </c>
      <c r="W7" s="711">
        <f t="shared" ref="W7:W15" si="2">J7</f>
        <v>0</v>
      </c>
      <c r="X7" s="712"/>
      <c r="Y7" s="3330" t="s">
        <v>2370</v>
      </c>
      <c r="Z7" s="333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30" t="s">
        <v>2373</v>
      </c>
      <c r="Q8" s="3331"/>
      <c r="R8" s="710" t="s">
        <v>23</v>
      </c>
      <c r="S8" s="711">
        <f t="shared" si="0"/>
        <v>0</v>
      </c>
      <c r="T8" s="710" t="s">
        <v>23</v>
      </c>
      <c r="U8" s="711">
        <f t="shared" si="1"/>
        <v>0</v>
      </c>
      <c r="V8" s="710" t="s">
        <v>23</v>
      </c>
      <c r="W8" s="711">
        <f t="shared" si="2"/>
        <v>0</v>
      </c>
      <c r="X8" s="712"/>
      <c r="Y8" s="3330" t="s">
        <v>2373</v>
      </c>
      <c r="Z8" s="333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05"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5"/>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5"/>
      <c r="Q11" s="1527" t="str">
        <f t="shared" si="6"/>
        <v>容积率</v>
      </c>
      <c r="R11" s="710" t="s">
        <v>21</v>
      </c>
      <c r="S11" s="711" t="e">
        <f t="shared" si="0"/>
        <v>#N/A</v>
      </c>
      <c r="T11" s="710" t="s">
        <v>21</v>
      </c>
      <c r="U11" s="711" t="e">
        <f t="shared" si="1"/>
        <v>#N/A</v>
      </c>
      <c r="V11" s="710" t="s">
        <v>21</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05"/>
      <c r="Q12" s="1527">
        <f t="shared" si="6"/>
        <v>111</v>
      </c>
      <c r="R12" s="710" t="s">
        <v>21</v>
      </c>
      <c r="S12" s="711">
        <f t="shared" si="0"/>
        <v>100</v>
      </c>
      <c r="T12" s="710" t="s">
        <v>21</v>
      </c>
      <c r="U12" s="711">
        <f t="shared" si="1"/>
        <v>100</v>
      </c>
      <c r="V12" s="710" t="s">
        <v>21</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05"/>
      <c r="Q13" s="1527">
        <f t="shared" si="6"/>
        <v>111</v>
      </c>
      <c r="R13" s="710" t="s">
        <v>21</v>
      </c>
      <c r="S13" s="711">
        <f t="shared" si="0"/>
        <v>100</v>
      </c>
      <c r="T13" s="710" t="s">
        <v>21</v>
      </c>
      <c r="U13" s="711">
        <f t="shared" si="1"/>
        <v>100</v>
      </c>
      <c r="V13" s="710" t="s">
        <v>21</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05"/>
      <c r="Q14" s="1527">
        <f t="shared" si="6"/>
        <v>111</v>
      </c>
      <c r="R14" s="710" t="s">
        <v>21</v>
      </c>
      <c r="S14" s="711">
        <f t="shared" si="0"/>
        <v>100</v>
      </c>
      <c r="T14" s="710" t="s">
        <v>21</v>
      </c>
      <c r="U14" s="711">
        <f t="shared" si="1"/>
        <v>100</v>
      </c>
      <c r="V14" s="710" t="s">
        <v>21</v>
      </c>
      <c r="W14" s="711">
        <f t="shared" si="2"/>
        <v>100</v>
      </c>
      <c r="X14" s="712"/>
      <c r="Y14" s="316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3" t="s">
        <v>2381</v>
      </c>
      <c r="Q15" s="1536" t="str">
        <f t="shared" si="6"/>
        <v>居住社区成熟度</v>
      </c>
      <c r="R15" s="714" t="s">
        <v>21</v>
      </c>
      <c r="S15" s="715">
        <f t="shared" si="0"/>
        <v>100</v>
      </c>
      <c r="T15" s="714" t="s">
        <v>21</v>
      </c>
      <c r="U15" s="715">
        <f t="shared" si="1"/>
        <v>100</v>
      </c>
      <c r="V15" s="714" t="s">
        <v>21</v>
      </c>
      <c r="W15" s="715">
        <f t="shared" si="2"/>
        <v>100</v>
      </c>
      <c r="X15" s="1539"/>
      <c r="Y15" s="329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04"/>
      <c r="Q16" s="1536"/>
      <c r="R16" s="714"/>
      <c r="S16" s="715"/>
      <c r="T16" s="714"/>
      <c r="U16" s="715"/>
      <c r="V16" s="714"/>
      <c r="W16" s="715"/>
      <c r="X16" s="1539"/>
      <c r="Y16" s="329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04"/>
      <c r="Q17" s="1536" t="str">
        <f>B17</f>
        <v>交通便捷度</v>
      </c>
      <c r="R17" s="714" t="s">
        <v>21</v>
      </c>
      <c r="S17" s="715">
        <f>F17</f>
        <v>100</v>
      </c>
      <c r="T17" s="714" t="s">
        <v>21</v>
      </c>
      <c r="U17" s="715">
        <f>H17</f>
        <v>100</v>
      </c>
      <c r="V17" s="714" t="s">
        <v>21</v>
      </c>
      <c r="W17" s="715">
        <f>J17</f>
        <v>100</v>
      </c>
      <c r="X17" s="1539"/>
      <c r="Y17" s="329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04"/>
      <c r="Q18" s="1536"/>
      <c r="R18" s="714"/>
      <c r="S18" s="715"/>
      <c r="T18" s="714"/>
      <c r="U18" s="715"/>
      <c r="V18" s="714"/>
      <c r="W18" s="715"/>
      <c r="X18" s="1539"/>
      <c r="Y18" s="329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04"/>
      <c r="Q19" s="1536" t="str">
        <f>B19</f>
        <v>公共配套设施</v>
      </c>
      <c r="R19" s="714" t="s">
        <v>21</v>
      </c>
      <c r="S19" s="715">
        <f>F19</f>
        <v>100</v>
      </c>
      <c r="T19" s="714" t="s">
        <v>21</v>
      </c>
      <c r="U19" s="715">
        <f>H19</f>
        <v>100</v>
      </c>
      <c r="V19" s="714" t="s">
        <v>21</v>
      </c>
      <c r="W19" s="715">
        <f>J19</f>
        <v>100</v>
      </c>
      <c r="X19" s="1539"/>
      <c r="Y19" s="329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04"/>
      <c r="Q20" s="1536"/>
      <c r="R20" s="714"/>
      <c r="S20" s="715"/>
      <c r="T20" s="714"/>
      <c r="U20" s="715"/>
      <c r="V20" s="714"/>
      <c r="W20" s="715"/>
      <c r="X20" s="1539"/>
      <c r="Y20" s="329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04"/>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04"/>
      <c r="Q22" s="1536"/>
      <c r="R22" s="714"/>
      <c r="S22" s="715"/>
      <c r="T22" s="714"/>
      <c r="U22" s="715"/>
      <c r="V22" s="714"/>
      <c r="W22" s="715"/>
      <c r="X22" s="1539"/>
      <c r="Y22" s="329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04"/>
      <c r="Q23" s="1536" t="str">
        <f>B23</f>
        <v>自然及人文环境</v>
      </c>
      <c r="R23" s="714" t="s">
        <v>21</v>
      </c>
      <c r="S23" s="715">
        <f>F23</f>
        <v>100</v>
      </c>
      <c r="T23" s="714" t="s">
        <v>21</v>
      </c>
      <c r="U23" s="715">
        <f>H23</f>
        <v>100</v>
      </c>
      <c r="V23" s="714" t="s">
        <v>21</v>
      </c>
      <c r="W23" s="715">
        <f>J23</f>
        <v>100</v>
      </c>
      <c r="X23" s="1539"/>
      <c r="Y23" s="329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04"/>
      <c r="Q24" s="1536"/>
      <c r="R24" s="714"/>
      <c r="S24" s="715"/>
      <c r="T24" s="714"/>
      <c r="U24" s="715"/>
      <c r="V24" s="714"/>
      <c r="W24" s="715"/>
      <c r="X24" s="1539"/>
      <c r="Y24" s="329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0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04"/>
      <c r="Q26" s="1536" t="str">
        <f t="shared" si="11"/>
        <v>朝向</v>
      </c>
      <c r="R26" s="714" t="s">
        <v>21</v>
      </c>
      <c r="S26" s="715">
        <f t="shared" si="12"/>
        <v>100</v>
      </c>
      <c r="T26" s="714" t="s">
        <v>21</v>
      </c>
      <c r="U26" s="715">
        <f t="shared" si="13"/>
        <v>100</v>
      </c>
      <c r="V26" s="714" t="s">
        <v>21</v>
      </c>
      <c r="W26" s="715">
        <f t="shared" si="14"/>
        <v>100</v>
      </c>
      <c r="X26" s="1539"/>
      <c r="Y26" s="329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04"/>
      <c r="Q27" s="1527">
        <f t="shared" si="11"/>
        <v>111</v>
      </c>
      <c r="R27" s="710" t="s">
        <v>21</v>
      </c>
      <c r="S27" s="711">
        <f t="shared" si="12"/>
        <v>100</v>
      </c>
      <c r="T27" s="710" t="s">
        <v>21</v>
      </c>
      <c r="U27" s="711">
        <f t="shared" si="13"/>
        <v>100</v>
      </c>
      <c r="V27" s="710" t="s">
        <v>21</v>
      </c>
      <c r="W27" s="711">
        <f t="shared" si="14"/>
        <v>100</v>
      </c>
      <c r="X27" s="712"/>
      <c r="Y27" s="329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04"/>
      <c r="Q28" s="1536">
        <f t="shared" si="11"/>
        <v>111</v>
      </c>
      <c r="R28" s="714" t="s">
        <v>21</v>
      </c>
      <c r="S28" s="715">
        <f t="shared" si="12"/>
        <v>100</v>
      </c>
      <c r="T28" s="714" t="s">
        <v>21</v>
      </c>
      <c r="U28" s="715">
        <f t="shared" si="13"/>
        <v>100</v>
      </c>
      <c r="V28" s="714" t="s">
        <v>21</v>
      </c>
      <c r="W28" s="715">
        <f t="shared" si="14"/>
        <v>100</v>
      </c>
      <c r="X28" s="1539"/>
      <c r="Y28" s="329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04"/>
      <c r="Q29" s="1536">
        <f t="shared" si="11"/>
        <v>111</v>
      </c>
      <c r="R29" s="714" t="s">
        <v>21</v>
      </c>
      <c r="S29" s="715">
        <f t="shared" si="12"/>
        <v>100</v>
      </c>
      <c r="T29" s="714" t="s">
        <v>21</v>
      </c>
      <c r="U29" s="715">
        <f t="shared" si="13"/>
        <v>100</v>
      </c>
      <c r="V29" s="714" t="s">
        <v>21</v>
      </c>
      <c r="W29" s="715">
        <f t="shared" si="14"/>
        <v>100</v>
      </c>
      <c r="X29" s="1539"/>
      <c r="Y29" s="329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04"/>
      <c r="Q30" s="1536">
        <f t="shared" si="11"/>
        <v>111</v>
      </c>
      <c r="R30" s="714" t="s">
        <v>21</v>
      </c>
      <c r="S30" s="715">
        <f t="shared" si="12"/>
        <v>100</v>
      </c>
      <c r="T30" s="714" t="s">
        <v>21</v>
      </c>
      <c r="U30" s="715">
        <f t="shared" si="13"/>
        <v>100</v>
      </c>
      <c r="V30" s="714" t="s">
        <v>21</v>
      </c>
      <c r="W30" s="715">
        <f t="shared" si="14"/>
        <v>100</v>
      </c>
      <c r="X30" s="1539"/>
      <c r="Y30" s="329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04"/>
      <c r="Q31" s="1536">
        <f t="shared" si="11"/>
        <v>111</v>
      </c>
      <c r="R31" s="714" t="s">
        <v>21</v>
      </c>
      <c r="S31" s="715">
        <f t="shared" si="12"/>
        <v>100</v>
      </c>
      <c r="T31" s="714" t="s">
        <v>21</v>
      </c>
      <c r="U31" s="715">
        <f t="shared" si="13"/>
        <v>100</v>
      </c>
      <c r="V31" s="714" t="s">
        <v>21</v>
      </c>
      <c r="W31" s="715">
        <f t="shared" si="14"/>
        <v>100</v>
      </c>
      <c r="X31" s="1539"/>
      <c r="Y31" s="329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298" t="s">
        <v>2386</v>
      </c>
      <c r="Q32" s="1536" t="str">
        <f t="shared" si="11"/>
        <v>建筑类型</v>
      </c>
      <c r="R32" s="714" t="s">
        <v>21</v>
      </c>
      <c r="S32" s="715">
        <f t="shared" si="12"/>
        <v>100</v>
      </c>
      <c r="T32" s="714" t="s">
        <v>21</v>
      </c>
      <c r="U32" s="715">
        <f t="shared" si="13"/>
        <v>100</v>
      </c>
      <c r="V32" s="714" t="s">
        <v>21</v>
      </c>
      <c r="W32" s="715">
        <f t="shared" si="14"/>
        <v>100</v>
      </c>
      <c r="X32" s="1539"/>
      <c r="Y32" s="330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299"/>
      <c r="Q33" s="716" t="str">
        <f t="shared" si="11"/>
        <v>项目建筑规模</v>
      </c>
      <c r="R33" s="717" t="s">
        <v>21</v>
      </c>
      <c r="S33" s="718" t="e">
        <f t="shared" si="12"/>
        <v>#N/A</v>
      </c>
      <c r="T33" s="717" t="s">
        <v>21</v>
      </c>
      <c r="U33" s="718" t="e">
        <f t="shared" si="13"/>
        <v>#N/A</v>
      </c>
      <c r="V33" s="717" t="s">
        <v>21</v>
      </c>
      <c r="W33" s="718" t="e">
        <f t="shared" si="14"/>
        <v>#N/A</v>
      </c>
      <c r="X33" s="719"/>
      <c r="Y33" s="330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299"/>
      <c r="Q34" s="1536" t="str">
        <f t="shared" si="11"/>
        <v>建筑结构</v>
      </c>
      <c r="R34" s="714" t="s">
        <v>21</v>
      </c>
      <c r="S34" s="715">
        <f t="shared" si="12"/>
        <v>100</v>
      </c>
      <c r="T34" s="714" t="s">
        <v>21</v>
      </c>
      <c r="U34" s="715">
        <f t="shared" si="13"/>
        <v>100</v>
      </c>
      <c r="V34" s="714" t="s">
        <v>21</v>
      </c>
      <c r="W34" s="715">
        <f t="shared" si="14"/>
        <v>100</v>
      </c>
      <c r="X34" s="1539"/>
      <c r="Y34" s="330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299"/>
      <c r="Q35" s="1536" t="str">
        <f t="shared" si="11"/>
        <v>建筑品质</v>
      </c>
      <c r="R35" s="714" t="s">
        <v>21</v>
      </c>
      <c r="S35" s="715">
        <f t="shared" si="12"/>
        <v>100</v>
      </c>
      <c r="T35" s="714" t="s">
        <v>21</v>
      </c>
      <c r="U35" s="715">
        <f t="shared" si="13"/>
        <v>100</v>
      </c>
      <c r="V35" s="714" t="s">
        <v>21</v>
      </c>
      <c r="W35" s="715">
        <f t="shared" si="14"/>
        <v>100</v>
      </c>
      <c r="X35" s="1539"/>
      <c r="Y35" s="330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299"/>
      <c r="Q36" s="1536" t="str">
        <f t="shared" si="11"/>
        <v>公共部分装修</v>
      </c>
      <c r="R36" s="714" t="s">
        <v>21</v>
      </c>
      <c r="S36" s="715">
        <f t="shared" si="12"/>
        <v>100</v>
      </c>
      <c r="T36" s="714" t="s">
        <v>21</v>
      </c>
      <c r="U36" s="715">
        <f t="shared" si="13"/>
        <v>100</v>
      </c>
      <c r="V36" s="714" t="s">
        <v>21</v>
      </c>
      <c r="W36" s="715">
        <f t="shared" si="14"/>
        <v>100</v>
      </c>
      <c r="X36" s="1539"/>
      <c r="Y36" s="330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9"/>
      <c r="Q37" s="1527" t="str">
        <f t="shared" si="11"/>
        <v>成新度</v>
      </c>
      <c r="R37" s="710" t="s">
        <v>21</v>
      </c>
      <c r="S37" s="711" t="e">
        <f t="shared" si="12"/>
        <v>#N/A</v>
      </c>
      <c r="T37" s="710" t="s">
        <v>21</v>
      </c>
      <c r="U37" s="711" t="e">
        <f t="shared" si="13"/>
        <v>#N/A</v>
      </c>
      <c r="V37" s="710" t="s">
        <v>21</v>
      </c>
      <c r="W37" s="711" t="e">
        <f t="shared" si="14"/>
        <v>#N/A</v>
      </c>
      <c r="X37" s="712"/>
      <c r="Y37" s="330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299" t="s">
        <v>2386</v>
      </c>
      <c r="Q38" s="1536" t="str">
        <f t="shared" si="11"/>
        <v>物业管理</v>
      </c>
      <c r="R38" s="714" t="s">
        <v>21</v>
      </c>
      <c r="S38" s="715">
        <f t="shared" si="12"/>
        <v>100</v>
      </c>
      <c r="T38" s="714" t="s">
        <v>21</v>
      </c>
      <c r="U38" s="715">
        <f t="shared" si="13"/>
        <v>100</v>
      </c>
      <c r="V38" s="714" t="s">
        <v>21</v>
      </c>
      <c r="W38" s="715">
        <f t="shared" si="14"/>
        <v>100</v>
      </c>
      <c r="X38" s="1539"/>
      <c r="Y38" s="330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299"/>
      <c r="Q39" s="1536" t="str">
        <f t="shared" si="11"/>
        <v>市政基础设施</v>
      </c>
      <c r="R39" s="714" t="s">
        <v>21</v>
      </c>
      <c r="S39" s="715">
        <f t="shared" si="12"/>
        <v>100</v>
      </c>
      <c r="T39" s="714" t="s">
        <v>21</v>
      </c>
      <c r="U39" s="715">
        <f t="shared" si="13"/>
        <v>100</v>
      </c>
      <c r="V39" s="714" t="s">
        <v>21</v>
      </c>
      <c r="W39" s="715">
        <f t="shared" si="14"/>
        <v>100</v>
      </c>
      <c r="X39" s="1539"/>
      <c r="Y39" s="330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299"/>
      <c r="Q40" s="1536" t="str">
        <f t="shared" si="11"/>
        <v>房型</v>
      </c>
      <c r="R40" s="714" t="s">
        <v>21</v>
      </c>
      <c r="S40" s="715">
        <f t="shared" si="12"/>
        <v>100</v>
      </c>
      <c r="T40" s="714" t="s">
        <v>21</v>
      </c>
      <c r="U40" s="715">
        <f t="shared" si="13"/>
        <v>100</v>
      </c>
      <c r="V40" s="714" t="s">
        <v>21</v>
      </c>
      <c r="W40" s="715">
        <f t="shared" si="14"/>
        <v>100</v>
      </c>
      <c r="X40" s="1539"/>
      <c r="Y40" s="330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299"/>
      <c r="Q41" s="716" t="str">
        <f t="shared" si="11"/>
        <v>单套/主力户型建筑面积</v>
      </c>
      <c r="R41" s="717" t="s">
        <v>21</v>
      </c>
      <c r="S41" s="718">
        <f t="shared" si="12"/>
        <v>100</v>
      </c>
      <c r="T41" s="717" t="s">
        <v>21</v>
      </c>
      <c r="U41" s="718">
        <f t="shared" si="13"/>
        <v>100</v>
      </c>
      <c r="V41" s="717" t="s">
        <v>21</v>
      </c>
      <c r="W41" s="718">
        <f t="shared" si="14"/>
        <v>100</v>
      </c>
      <c r="X41" s="719"/>
      <c r="Y41" s="330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299"/>
      <c r="Q42" s="1536" t="str">
        <f t="shared" si="11"/>
        <v>内部装修</v>
      </c>
      <c r="R42" s="714" t="s">
        <v>21</v>
      </c>
      <c r="S42" s="715">
        <f t="shared" si="12"/>
        <v>100</v>
      </c>
      <c r="T42" s="714" t="s">
        <v>21</v>
      </c>
      <c r="U42" s="715">
        <f t="shared" si="13"/>
        <v>100</v>
      </c>
      <c r="V42" s="714" t="s">
        <v>21</v>
      </c>
      <c r="W42" s="715">
        <f t="shared" si="14"/>
        <v>100</v>
      </c>
      <c r="X42" s="1539"/>
      <c r="Y42" s="330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299"/>
      <c r="Q43" s="1536" t="str">
        <f t="shared" si="11"/>
        <v>内部装修维护情况</v>
      </c>
      <c r="R43" s="714" t="s">
        <v>21</v>
      </c>
      <c r="S43" s="715">
        <f t="shared" si="12"/>
        <v>100</v>
      </c>
      <c r="T43" s="714" t="s">
        <v>21</v>
      </c>
      <c r="U43" s="715">
        <f t="shared" si="13"/>
        <v>100</v>
      </c>
      <c r="V43" s="714" t="s">
        <v>21</v>
      </c>
      <c r="W43" s="715">
        <f t="shared" si="14"/>
        <v>100</v>
      </c>
      <c r="X43" s="1539"/>
      <c r="Y43" s="330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299"/>
      <c r="Q44" s="1527">
        <f t="shared" si="11"/>
        <v>111</v>
      </c>
      <c r="R44" s="710" t="s">
        <v>21</v>
      </c>
      <c r="S44" s="711">
        <f t="shared" si="12"/>
        <v>100</v>
      </c>
      <c r="T44" s="710" t="s">
        <v>21</v>
      </c>
      <c r="U44" s="711">
        <f t="shared" si="13"/>
        <v>100</v>
      </c>
      <c r="V44" s="710" t="s">
        <v>21</v>
      </c>
      <c r="W44" s="711">
        <f t="shared" si="14"/>
        <v>100</v>
      </c>
      <c r="X44" s="712"/>
      <c r="Y44" s="330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299"/>
      <c r="Q45" s="1536">
        <f t="shared" si="11"/>
        <v>111</v>
      </c>
      <c r="R45" s="714" t="s">
        <v>21</v>
      </c>
      <c r="S45" s="715">
        <f t="shared" si="12"/>
        <v>100</v>
      </c>
      <c r="T45" s="714" t="s">
        <v>21</v>
      </c>
      <c r="U45" s="715">
        <f t="shared" si="13"/>
        <v>100</v>
      </c>
      <c r="V45" s="714" t="s">
        <v>21</v>
      </c>
      <c r="W45" s="715">
        <f t="shared" si="14"/>
        <v>100</v>
      </c>
      <c r="X45" s="1539"/>
      <c r="Y45" s="330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00"/>
      <c r="Q46" s="1536">
        <f t="shared" si="11"/>
        <v>111</v>
      </c>
      <c r="R46" s="714" t="s">
        <v>20</v>
      </c>
      <c r="S46" s="715">
        <f t="shared" si="12"/>
        <v>100</v>
      </c>
      <c r="T46" s="714" t="s">
        <v>20</v>
      </c>
      <c r="U46" s="715">
        <f t="shared" si="13"/>
        <v>100</v>
      </c>
      <c r="V46" s="714" t="s">
        <v>20</v>
      </c>
      <c r="W46" s="715">
        <f t="shared" si="14"/>
        <v>100</v>
      </c>
      <c r="X46" s="1539"/>
      <c r="Y46" s="330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294" t="str">
        <f>A47</f>
        <v>成交单价（元/平方米）</v>
      </c>
      <c r="Q47" s="3294"/>
      <c r="R47" s="3295">
        <f>E47</f>
        <v>0</v>
      </c>
      <c r="S47" s="3295"/>
      <c r="T47" s="3295">
        <f>G47</f>
        <v>0</v>
      </c>
      <c r="U47" s="3295"/>
      <c r="V47" s="3295">
        <f>I47</f>
        <v>0</v>
      </c>
      <c r="W47" s="329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2"/>
      <c r="M48" s="2953"/>
      <c r="N48" s="2953"/>
      <c r="O48" s="2953"/>
      <c r="P48" s="3294" t="str">
        <f>A48</f>
        <v>比较价值（元/平方米）</v>
      </c>
      <c r="Q48" s="3294"/>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291" t="str">
        <f>A49</f>
        <v>估价对象XX用房的比较价值（楼面单价，元/平方米）</v>
      </c>
      <c r="Q49" s="3292"/>
      <c r="R49" s="3293" t="e">
        <f>IF(F1="售价",ROUND(IF(D48="简单平均",AVERAGE(R48:V48),R48*F48+T48*H48+V48*J48),0),ROUND(IF(D48="简单平均",AVERAGE(R48:V48),R48*F48+T48*H48+V48*J48),1))</f>
        <v>#DIV/0!</v>
      </c>
      <c r="S49" s="3293"/>
      <c r="T49" s="3293"/>
      <c r="U49" s="3293"/>
      <c r="V49" s="3293"/>
      <c r="W49" s="329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43"/>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97146.700000000012</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09" t="s">
        <v>2467</v>
      </c>
      <c r="D4" s="3310"/>
      <c r="E4" s="3311" t="s">
        <v>2468</v>
      </c>
      <c r="F4" s="3312"/>
      <c r="G4" s="3309" t="s">
        <v>2469</v>
      </c>
      <c r="H4" s="3310"/>
      <c r="I4" s="3309" t="s">
        <v>2470</v>
      </c>
      <c r="J4" s="3310"/>
      <c r="K4" s="567" t="s">
        <v>2471</v>
      </c>
      <c r="L4" s="2943"/>
      <c r="M4" s="2944"/>
      <c r="N4" s="2944"/>
      <c r="O4" s="2944"/>
      <c r="P4" s="3313" t="s">
        <v>2472</v>
      </c>
      <c r="Q4" s="3314"/>
      <c r="R4" s="3319" t="s">
        <v>2468</v>
      </c>
      <c r="S4" s="3320"/>
      <c r="T4" s="3319" t="s">
        <v>2469</v>
      </c>
      <c r="U4" s="3320"/>
      <c r="V4" s="3325" t="s">
        <v>2470</v>
      </c>
      <c r="W4" s="3325"/>
      <c r="X4" s="1539"/>
      <c r="Y4" s="3319" t="s">
        <v>2472</v>
      </c>
      <c r="Z4" s="3320"/>
      <c r="AA4" s="3306" t="s">
        <v>2468</v>
      </c>
      <c r="AB4" s="3325" t="s">
        <v>2469</v>
      </c>
      <c r="AC4" s="3306" t="s">
        <v>2470</v>
      </c>
    </row>
    <row r="5" spans="1:29" ht="15">
      <c r="A5" s="364"/>
      <c r="B5" s="365"/>
      <c r="C5" s="3328" t="s">
        <v>2363</v>
      </c>
      <c r="D5" s="3329"/>
      <c r="E5" s="3335" t="s">
        <v>2364</v>
      </c>
      <c r="F5" s="3336"/>
      <c r="G5" s="3328" t="s">
        <v>2365</v>
      </c>
      <c r="H5" s="3329"/>
      <c r="I5" s="3328" t="s">
        <v>2366</v>
      </c>
      <c r="J5" s="3329"/>
      <c r="K5" s="567"/>
      <c r="L5" s="2943"/>
      <c r="M5" s="2944"/>
      <c r="N5" s="2944"/>
      <c r="O5" s="2944"/>
      <c r="P5" s="3315"/>
      <c r="Q5" s="3316"/>
      <c r="R5" s="3321"/>
      <c r="S5" s="3322"/>
      <c r="T5" s="3321"/>
      <c r="U5" s="3322"/>
      <c r="V5" s="3325"/>
      <c r="W5" s="3325"/>
      <c r="X5" s="1539"/>
      <c r="Y5" s="3321"/>
      <c r="Z5" s="3322"/>
      <c r="AA5" s="3307"/>
      <c r="AB5" s="3325"/>
      <c r="AC5" s="3307"/>
    </row>
    <row r="6" spans="1:29" ht="15.75" thickBot="1">
      <c r="A6" s="366"/>
      <c r="B6" s="367"/>
      <c r="C6" s="3326" t="s">
        <v>2367</v>
      </c>
      <c r="D6" s="3327"/>
      <c r="E6" s="3333" t="s">
        <v>2367</v>
      </c>
      <c r="F6" s="3334"/>
      <c r="G6" s="3326" t="s">
        <v>2367</v>
      </c>
      <c r="H6" s="3327"/>
      <c r="I6" s="3326" t="s">
        <v>2367</v>
      </c>
      <c r="J6" s="3327"/>
      <c r="K6" s="567" t="s">
        <v>2368</v>
      </c>
      <c r="L6" s="2943"/>
      <c r="M6" s="2944"/>
      <c r="N6" s="2944"/>
      <c r="O6" s="2944"/>
      <c r="P6" s="3317"/>
      <c r="Q6" s="3318"/>
      <c r="R6" s="3321"/>
      <c r="S6" s="3322"/>
      <c r="T6" s="3323"/>
      <c r="U6" s="3324"/>
      <c r="V6" s="3325"/>
      <c r="W6" s="3325"/>
      <c r="X6" s="1539"/>
      <c r="Y6" s="3323"/>
      <c r="Z6" s="3324"/>
      <c r="AA6" s="3308"/>
      <c r="AB6" s="3325"/>
      <c r="AC6" s="3308"/>
    </row>
    <row r="7" spans="1:29" s="113" customFormat="1" ht="15.75" thickBot="1">
      <c r="A7" s="368" t="s">
        <v>2369</v>
      </c>
      <c r="B7" s="369"/>
      <c r="C7" s="370">
        <f>'数据-取费表'!B2</f>
        <v>44309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0" t="s">
        <v>2370</v>
      </c>
      <c r="Q7" s="3332"/>
      <c r="R7" s="710" t="s">
        <v>17</v>
      </c>
      <c r="S7" s="711">
        <f t="shared" ref="S7:S15" si="0">F7</f>
        <v>0</v>
      </c>
      <c r="T7" s="710" t="s">
        <v>17</v>
      </c>
      <c r="U7" s="711">
        <f t="shared" ref="U7:U15" si="1">H7</f>
        <v>0</v>
      </c>
      <c r="V7" s="710" t="s">
        <v>17</v>
      </c>
      <c r="W7" s="711">
        <f t="shared" ref="W7:W15" si="2">J7</f>
        <v>0</v>
      </c>
      <c r="X7" s="712"/>
      <c r="Y7" s="3330" t="s">
        <v>2370</v>
      </c>
      <c r="Z7" s="333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0" t="s">
        <v>2373</v>
      </c>
      <c r="Q8" s="3331"/>
      <c r="R8" s="710" t="s">
        <v>17</v>
      </c>
      <c r="S8" s="711">
        <f t="shared" si="0"/>
        <v>0</v>
      </c>
      <c r="T8" s="710" t="s">
        <v>17</v>
      </c>
      <c r="U8" s="711">
        <f t="shared" si="1"/>
        <v>0</v>
      </c>
      <c r="V8" s="710" t="s">
        <v>17</v>
      </c>
      <c r="W8" s="711">
        <f t="shared" si="2"/>
        <v>0</v>
      </c>
      <c r="X8" s="712"/>
      <c r="Y8" s="3330" t="s">
        <v>2373</v>
      </c>
      <c r="Z8" s="333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5"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5"/>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5"/>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5"/>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5"/>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5"/>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03" t="s">
        <v>2381</v>
      </c>
      <c r="Q15" s="1536" t="str">
        <f t="shared" si="6"/>
        <v>商业繁华度</v>
      </c>
      <c r="R15" s="714" t="s">
        <v>17</v>
      </c>
      <c r="S15" s="715">
        <f t="shared" si="0"/>
        <v>100</v>
      </c>
      <c r="T15" s="714" t="s">
        <v>17</v>
      </c>
      <c r="U15" s="715">
        <f t="shared" si="1"/>
        <v>100</v>
      </c>
      <c r="V15" s="714" t="s">
        <v>17</v>
      </c>
      <c r="W15" s="715">
        <f t="shared" si="2"/>
        <v>100</v>
      </c>
      <c r="X15" s="1539"/>
      <c r="Y15" s="329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04"/>
      <c r="Q16" s="1536"/>
      <c r="R16" s="714"/>
      <c r="S16" s="715"/>
      <c r="T16" s="714"/>
      <c r="U16" s="715"/>
      <c r="V16" s="714"/>
      <c r="W16" s="715"/>
      <c r="X16" s="1539"/>
      <c r="Y16" s="329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04"/>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04"/>
      <c r="Q18" s="1536"/>
      <c r="R18" s="714"/>
      <c r="S18" s="715"/>
      <c r="T18" s="714"/>
      <c r="U18" s="715"/>
      <c r="V18" s="714"/>
      <c r="W18" s="715"/>
      <c r="X18" s="1539"/>
      <c r="Y18" s="329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04"/>
      <c r="Q19" s="1536" t="str">
        <f>B19</f>
        <v>公共配套设施</v>
      </c>
      <c r="R19" s="714" t="s">
        <v>17</v>
      </c>
      <c r="S19" s="715">
        <f>F19</f>
        <v>100</v>
      </c>
      <c r="T19" s="714" t="s">
        <v>17</v>
      </c>
      <c r="U19" s="715">
        <f>H19</f>
        <v>100</v>
      </c>
      <c r="V19" s="714" t="s">
        <v>17</v>
      </c>
      <c r="W19" s="715">
        <f>J19</f>
        <v>100</v>
      </c>
      <c r="X19" s="1539"/>
      <c r="Y19" s="329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04"/>
      <c r="Q20" s="1536"/>
      <c r="R20" s="714"/>
      <c r="S20" s="715"/>
      <c r="T20" s="714"/>
      <c r="U20" s="715"/>
      <c r="V20" s="714"/>
      <c r="W20" s="715"/>
      <c r="X20" s="1539"/>
      <c r="Y20" s="329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04"/>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04"/>
      <c r="Q22" s="1536"/>
      <c r="R22" s="714"/>
      <c r="S22" s="715"/>
      <c r="T22" s="714"/>
      <c r="U22" s="715"/>
      <c r="V22" s="714"/>
      <c r="W22" s="715"/>
      <c r="X22" s="1539"/>
      <c r="Y22" s="329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04"/>
      <c r="Q23" s="1536" t="str">
        <f>B23</f>
        <v>自然及人文环境</v>
      </c>
      <c r="R23" s="714" t="s">
        <v>17</v>
      </c>
      <c r="S23" s="715">
        <f>F23</f>
        <v>100</v>
      </c>
      <c r="T23" s="714" t="s">
        <v>17</v>
      </c>
      <c r="U23" s="715">
        <f>H23</f>
        <v>100</v>
      </c>
      <c r="V23" s="714" t="s">
        <v>17</v>
      </c>
      <c r="W23" s="715">
        <f>J23</f>
        <v>100</v>
      </c>
      <c r="X23" s="1539"/>
      <c r="Y23" s="329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04"/>
      <c r="Q24" s="1536"/>
      <c r="R24" s="714"/>
      <c r="S24" s="715"/>
      <c r="T24" s="714"/>
      <c r="U24" s="715"/>
      <c r="V24" s="714"/>
      <c r="W24" s="715"/>
      <c r="X24" s="1539"/>
      <c r="Y24" s="329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04"/>
      <c r="Q25" s="1536" t="str">
        <f t="shared" ref="Q25:Q46" si="11">B25</f>
        <v>临街状况</v>
      </c>
      <c r="R25" s="714" t="s">
        <v>17</v>
      </c>
      <c r="S25" s="715">
        <f>F25</f>
        <v>100</v>
      </c>
      <c r="T25" s="714" t="s">
        <v>17</v>
      </c>
      <c r="U25" s="715">
        <f>H25</f>
        <v>100</v>
      </c>
      <c r="V25" s="714" t="s">
        <v>17</v>
      </c>
      <c r="W25" s="715">
        <f>J25</f>
        <v>100</v>
      </c>
      <c r="X25" s="1539"/>
      <c r="Y25" s="329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04"/>
      <c r="Q26" s="1536" t="str">
        <f t="shared" si="11"/>
        <v>平面位置/可视性</v>
      </c>
      <c r="R26" s="714" t="s">
        <v>17</v>
      </c>
      <c r="S26" s="715">
        <f>F26</f>
        <v>100</v>
      </c>
      <c r="T26" s="714" t="s">
        <v>17</v>
      </c>
      <c r="U26" s="715">
        <f>H26</f>
        <v>100</v>
      </c>
      <c r="V26" s="714" t="s">
        <v>17</v>
      </c>
      <c r="W26" s="715">
        <f>J26</f>
        <v>100</v>
      </c>
      <c r="X26" s="1539"/>
      <c r="Y26" s="329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04"/>
      <c r="Q27" s="1527" t="str">
        <f t="shared" si="11"/>
        <v>人流量</v>
      </c>
      <c r="R27" s="710" t="s">
        <v>17</v>
      </c>
      <c r="S27" s="711">
        <f>F27</f>
        <v>100</v>
      </c>
      <c r="T27" s="710" t="s">
        <v>17</v>
      </c>
      <c r="U27" s="711">
        <f>H27</f>
        <v>100</v>
      </c>
      <c r="V27" s="710" t="s">
        <v>17</v>
      </c>
      <c r="W27" s="711">
        <f>J27</f>
        <v>100</v>
      </c>
      <c r="X27" s="712"/>
      <c r="Y27" s="329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0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4"/>
      <c r="Q29" s="1536">
        <f t="shared" si="11"/>
        <v>111</v>
      </c>
      <c r="R29" s="714" t="s">
        <v>17</v>
      </c>
      <c r="S29" s="715">
        <f t="shared" si="12"/>
        <v>100</v>
      </c>
      <c r="T29" s="714" t="s">
        <v>17</v>
      </c>
      <c r="U29" s="715">
        <f t="shared" si="13"/>
        <v>100</v>
      </c>
      <c r="V29" s="714" t="s">
        <v>17</v>
      </c>
      <c r="W29" s="715">
        <f t="shared" si="14"/>
        <v>100</v>
      </c>
      <c r="X29" s="1539"/>
      <c r="Y29" s="329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4"/>
      <c r="Q30" s="1536">
        <f t="shared" si="11"/>
        <v>111</v>
      </c>
      <c r="R30" s="714" t="s">
        <v>17</v>
      </c>
      <c r="S30" s="715">
        <f t="shared" si="12"/>
        <v>100</v>
      </c>
      <c r="T30" s="714" t="s">
        <v>17</v>
      </c>
      <c r="U30" s="715">
        <f t="shared" si="13"/>
        <v>100</v>
      </c>
      <c r="V30" s="714" t="s">
        <v>17</v>
      </c>
      <c r="W30" s="715">
        <f t="shared" si="14"/>
        <v>100</v>
      </c>
      <c r="X30" s="1539"/>
      <c r="Y30" s="329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4"/>
      <c r="Q31" s="1536">
        <f t="shared" si="11"/>
        <v>111</v>
      </c>
      <c r="R31" s="714" t="s">
        <v>17</v>
      </c>
      <c r="S31" s="715">
        <f t="shared" si="12"/>
        <v>100</v>
      </c>
      <c r="T31" s="714" t="s">
        <v>17</v>
      </c>
      <c r="U31" s="715">
        <f t="shared" si="13"/>
        <v>100</v>
      </c>
      <c r="V31" s="714" t="s">
        <v>17</v>
      </c>
      <c r="W31" s="715">
        <f t="shared" si="14"/>
        <v>100</v>
      </c>
      <c r="X31" s="1539"/>
      <c r="Y31" s="329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298" t="s">
        <v>2386</v>
      </c>
      <c r="Q32" s="1536" t="str">
        <f t="shared" si="11"/>
        <v>商业类型</v>
      </c>
      <c r="R32" s="714" t="s">
        <v>17</v>
      </c>
      <c r="S32" s="715">
        <f t="shared" si="12"/>
        <v>100</v>
      </c>
      <c r="T32" s="714" t="s">
        <v>17</v>
      </c>
      <c r="U32" s="715">
        <f t="shared" si="13"/>
        <v>100</v>
      </c>
      <c r="V32" s="714" t="s">
        <v>17</v>
      </c>
      <c r="W32" s="715">
        <f t="shared" si="14"/>
        <v>100</v>
      </c>
      <c r="X32" s="1539"/>
      <c r="Y32" s="330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99"/>
      <c r="Q33" s="716" t="str">
        <f t="shared" si="11"/>
        <v>项目建筑规模</v>
      </c>
      <c r="R33" s="717" t="s">
        <v>17</v>
      </c>
      <c r="S33" s="718" t="e">
        <f t="shared" si="12"/>
        <v>#N/A</v>
      </c>
      <c r="T33" s="717" t="s">
        <v>17</v>
      </c>
      <c r="U33" s="718" t="e">
        <f t="shared" si="13"/>
        <v>#N/A</v>
      </c>
      <c r="V33" s="717" t="s">
        <v>17</v>
      </c>
      <c r="W33" s="718" t="e">
        <f t="shared" si="14"/>
        <v>#N/A</v>
      </c>
      <c r="X33" s="719"/>
      <c r="Y33" s="330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299"/>
      <c r="Q34" s="1536" t="str">
        <f t="shared" si="11"/>
        <v>建筑结构</v>
      </c>
      <c r="R34" s="714" t="s">
        <v>17</v>
      </c>
      <c r="S34" s="715">
        <f t="shared" si="12"/>
        <v>100</v>
      </c>
      <c r="T34" s="714" t="s">
        <v>17</v>
      </c>
      <c r="U34" s="715">
        <f t="shared" si="13"/>
        <v>100</v>
      </c>
      <c r="V34" s="714" t="s">
        <v>17</v>
      </c>
      <c r="W34" s="715">
        <f t="shared" si="14"/>
        <v>100</v>
      </c>
      <c r="X34" s="1539"/>
      <c r="Y34" s="330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299"/>
      <c r="Q35" s="1536" t="str">
        <f t="shared" si="11"/>
        <v>公共部分装修</v>
      </c>
      <c r="R35" s="714" t="s">
        <v>17</v>
      </c>
      <c r="S35" s="715">
        <f t="shared" si="12"/>
        <v>100</v>
      </c>
      <c r="T35" s="714" t="s">
        <v>17</v>
      </c>
      <c r="U35" s="715">
        <f t="shared" si="13"/>
        <v>100</v>
      </c>
      <c r="V35" s="714" t="s">
        <v>17</v>
      </c>
      <c r="W35" s="715">
        <f t="shared" si="14"/>
        <v>100</v>
      </c>
      <c r="X35" s="1539"/>
      <c r="Y35" s="330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99"/>
      <c r="Q36" s="1536" t="str">
        <f t="shared" si="11"/>
        <v>成新度</v>
      </c>
      <c r="R36" s="714" t="s">
        <v>17</v>
      </c>
      <c r="S36" s="715" t="e">
        <f t="shared" si="12"/>
        <v>#N/A</v>
      </c>
      <c r="T36" s="714" t="s">
        <v>17</v>
      </c>
      <c r="U36" s="715" t="e">
        <f t="shared" si="13"/>
        <v>#N/A</v>
      </c>
      <c r="V36" s="714" t="s">
        <v>17</v>
      </c>
      <c r="W36" s="715" t="e">
        <f t="shared" si="14"/>
        <v>#N/A</v>
      </c>
      <c r="X36" s="1539"/>
      <c r="Y36" s="330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299"/>
      <c r="Q37" s="1527" t="str">
        <f t="shared" si="11"/>
        <v>市政基础设施</v>
      </c>
      <c r="R37" s="710" t="s">
        <v>17</v>
      </c>
      <c r="S37" s="711">
        <f t="shared" si="12"/>
        <v>100</v>
      </c>
      <c r="T37" s="710" t="s">
        <v>17</v>
      </c>
      <c r="U37" s="711">
        <f t="shared" si="13"/>
        <v>100</v>
      </c>
      <c r="V37" s="710" t="s">
        <v>17</v>
      </c>
      <c r="W37" s="711">
        <f t="shared" si="14"/>
        <v>100</v>
      </c>
      <c r="X37" s="712"/>
      <c r="Y37" s="330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299" t="s">
        <v>2386</v>
      </c>
      <c r="Q38" s="1536" t="str">
        <f t="shared" si="11"/>
        <v>业态</v>
      </c>
      <c r="R38" s="714" t="s">
        <v>17</v>
      </c>
      <c r="S38" s="715">
        <f t="shared" si="12"/>
        <v>100</v>
      </c>
      <c r="T38" s="714" t="s">
        <v>17</v>
      </c>
      <c r="U38" s="715">
        <f t="shared" si="13"/>
        <v>100</v>
      </c>
      <c r="V38" s="714" t="s">
        <v>17</v>
      </c>
      <c r="W38" s="715">
        <f t="shared" si="14"/>
        <v>100</v>
      </c>
      <c r="X38" s="1539"/>
      <c r="Y38" s="330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299"/>
      <c r="Q39" s="1536" t="str">
        <f t="shared" si="11"/>
        <v>层高</v>
      </c>
      <c r="R39" s="714" t="s">
        <v>17</v>
      </c>
      <c r="S39" s="715">
        <f t="shared" si="12"/>
        <v>100</v>
      </c>
      <c r="T39" s="714" t="s">
        <v>17</v>
      </c>
      <c r="U39" s="715">
        <f t="shared" si="13"/>
        <v>100</v>
      </c>
      <c r="V39" s="714" t="s">
        <v>17</v>
      </c>
      <c r="W39" s="715">
        <f t="shared" si="14"/>
        <v>100</v>
      </c>
      <c r="X39" s="1539"/>
      <c r="Y39" s="330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99"/>
      <c r="Q40" s="1536" t="str">
        <f t="shared" si="11"/>
        <v>单套建筑面积</v>
      </c>
      <c r="R40" s="714" t="s">
        <v>17</v>
      </c>
      <c r="S40" s="715">
        <f t="shared" si="12"/>
        <v>100</v>
      </c>
      <c r="T40" s="714" t="s">
        <v>17</v>
      </c>
      <c r="U40" s="715">
        <f t="shared" si="13"/>
        <v>100</v>
      </c>
      <c r="V40" s="714" t="s">
        <v>17</v>
      </c>
      <c r="W40" s="715">
        <f t="shared" si="14"/>
        <v>100</v>
      </c>
      <c r="X40" s="1539"/>
      <c r="Y40" s="330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99"/>
      <c r="Q41" s="716" t="str">
        <f t="shared" si="11"/>
        <v>进深比</v>
      </c>
      <c r="R41" s="717" t="s">
        <v>17</v>
      </c>
      <c r="S41" s="718">
        <f t="shared" si="12"/>
        <v>100</v>
      </c>
      <c r="T41" s="717" t="s">
        <v>17</v>
      </c>
      <c r="U41" s="718">
        <f t="shared" si="13"/>
        <v>100</v>
      </c>
      <c r="V41" s="717" t="s">
        <v>17</v>
      </c>
      <c r="W41" s="718">
        <f t="shared" si="14"/>
        <v>100</v>
      </c>
      <c r="X41" s="719"/>
      <c r="Y41" s="330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299"/>
      <c r="Q42" s="1536" t="str">
        <f t="shared" si="11"/>
        <v>内部装修</v>
      </c>
      <c r="R42" s="714" t="s">
        <v>17</v>
      </c>
      <c r="S42" s="715">
        <f t="shared" si="12"/>
        <v>100</v>
      </c>
      <c r="T42" s="714" t="s">
        <v>17</v>
      </c>
      <c r="U42" s="715">
        <f t="shared" si="13"/>
        <v>100</v>
      </c>
      <c r="V42" s="714" t="s">
        <v>17</v>
      </c>
      <c r="W42" s="715">
        <f t="shared" si="14"/>
        <v>100</v>
      </c>
      <c r="X42" s="1539"/>
      <c r="Y42" s="330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299"/>
      <c r="Q43" s="1536" t="str">
        <f t="shared" si="11"/>
        <v>内部装修维护情况</v>
      </c>
      <c r="R43" s="714" t="s">
        <v>17</v>
      </c>
      <c r="S43" s="715">
        <f t="shared" si="12"/>
        <v>100</v>
      </c>
      <c r="T43" s="714" t="s">
        <v>17</v>
      </c>
      <c r="U43" s="715">
        <f t="shared" si="13"/>
        <v>100</v>
      </c>
      <c r="V43" s="714" t="s">
        <v>17</v>
      </c>
      <c r="W43" s="715">
        <f t="shared" si="14"/>
        <v>100</v>
      </c>
      <c r="X43" s="1539"/>
      <c r="Y43" s="330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99"/>
      <c r="Q44" s="1527">
        <f t="shared" si="11"/>
        <v>111</v>
      </c>
      <c r="R44" s="710" t="s">
        <v>17</v>
      </c>
      <c r="S44" s="711">
        <f t="shared" si="12"/>
        <v>100</v>
      </c>
      <c r="T44" s="710" t="s">
        <v>17</v>
      </c>
      <c r="U44" s="711">
        <f t="shared" si="13"/>
        <v>100</v>
      </c>
      <c r="V44" s="710" t="s">
        <v>17</v>
      </c>
      <c r="W44" s="711">
        <f t="shared" si="14"/>
        <v>100</v>
      </c>
      <c r="X44" s="712"/>
      <c r="Y44" s="330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9"/>
      <c r="Q45" s="1536">
        <f t="shared" si="11"/>
        <v>111</v>
      </c>
      <c r="R45" s="714" t="s">
        <v>17</v>
      </c>
      <c r="S45" s="715">
        <f t="shared" si="12"/>
        <v>100</v>
      </c>
      <c r="T45" s="714" t="s">
        <v>17</v>
      </c>
      <c r="U45" s="715">
        <f t="shared" si="13"/>
        <v>100</v>
      </c>
      <c r="V45" s="714" t="s">
        <v>17</v>
      </c>
      <c r="W45" s="715">
        <f t="shared" si="14"/>
        <v>100</v>
      </c>
      <c r="X45" s="1539"/>
      <c r="Y45" s="330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00"/>
      <c r="Q46" s="1536">
        <f t="shared" si="11"/>
        <v>111</v>
      </c>
      <c r="R46" s="714" t="s">
        <v>17</v>
      </c>
      <c r="S46" s="715">
        <f t="shared" si="12"/>
        <v>100</v>
      </c>
      <c r="T46" s="714" t="s">
        <v>17</v>
      </c>
      <c r="U46" s="715">
        <f t="shared" si="13"/>
        <v>100</v>
      </c>
      <c r="V46" s="714" t="s">
        <v>17</v>
      </c>
      <c r="W46" s="715">
        <f t="shared" si="14"/>
        <v>100</v>
      </c>
      <c r="X46" s="1539"/>
      <c r="Y46" s="330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294" t="str">
        <f>A47</f>
        <v>成交单价（元/平方米）</v>
      </c>
      <c r="Q47" s="3294"/>
      <c r="R47" s="3325">
        <f>E47</f>
        <v>0</v>
      </c>
      <c r="S47" s="3325"/>
      <c r="T47" s="3325">
        <f>G47</f>
        <v>0</v>
      </c>
      <c r="U47" s="3325"/>
      <c r="V47" s="3325">
        <f>I47</f>
        <v>0</v>
      </c>
      <c r="W47" s="3325"/>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2"/>
      <c r="M48" s="2953"/>
      <c r="N48" s="2944"/>
      <c r="O48" s="2953"/>
      <c r="P48" s="3294" t="str">
        <f>A48</f>
        <v>比较价值（元/平方米）</v>
      </c>
      <c r="Q48" s="3294"/>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291" t="str">
        <f>A49</f>
        <v>估价对象XX用房的比较价值（楼面单价，元/平方米）</v>
      </c>
      <c r="Q49" s="3292"/>
      <c r="R49" s="3293" t="e">
        <f>IF(F1="售价",ROUND(IF(D48="简单平均",AVERAGE(R48:V48),R48*F48+T48*H48+V48*J48),0),ROUND(IF(D48="简单平均",AVERAGE(R48:V48),R48*F48+T48*H48+V48*J48),1))</f>
        <v>#DIV/0!</v>
      </c>
      <c r="S49" s="3293"/>
      <c r="T49" s="3293"/>
      <c r="U49" s="3293"/>
      <c r="V49" s="3293"/>
      <c r="W49" s="329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97146.700000000012</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09" t="s">
        <v>2467</v>
      </c>
      <c r="D4" s="3310"/>
      <c r="E4" s="3311" t="s">
        <v>2468</v>
      </c>
      <c r="F4" s="3312"/>
      <c r="G4" s="3309" t="s">
        <v>2469</v>
      </c>
      <c r="H4" s="3310"/>
      <c r="I4" s="3309" t="s">
        <v>2470</v>
      </c>
      <c r="J4" s="3310"/>
      <c r="K4" s="567" t="s">
        <v>2471</v>
      </c>
      <c r="L4" s="2943"/>
      <c r="M4" s="2944"/>
      <c r="N4" s="2944"/>
      <c r="O4" s="2944"/>
      <c r="P4" s="3343" t="s">
        <v>2472</v>
      </c>
      <c r="Q4" s="3344"/>
      <c r="R4" s="3347" t="s">
        <v>2468</v>
      </c>
      <c r="S4" s="3348"/>
      <c r="T4" s="3347" t="s">
        <v>2469</v>
      </c>
      <c r="U4" s="3348"/>
      <c r="V4" s="3349" t="s">
        <v>2470</v>
      </c>
      <c r="W4" s="3349"/>
      <c r="X4" s="2144"/>
      <c r="Y4" s="3347" t="s">
        <v>2472</v>
      </c>
      <c r="Z4" s="3348"/>
      <c r="AA4" s="3351" t="s">
        <v>2468</v>
      </c>
      <c r="AB4" s="3351" t="s">
        <v>2469</v>
      </c>
      <c r="AC4" s="3340" t="s">
        <v>2470</v>
      </c>
    </row>
    <row r="5" spans="1:29" ht="15">
      <c r="A5" s="364"/>
      <c r="B5" s="365"/>
      <c r="C5" s="3328" t="s">
        <v>2363</v>
      </c>
      <c r="D5" s="3329"/>
      <c r="E5" s="3335" t="s">
        <v>2364</v>
      </c>
      <c r="F5" s="3336"/>
      <c r="G5" s="3328" t="s">
        <v>2365</v>
      </c>
      <c r="H5" s="3329"/>
      <c r="I5" s="3328" t="s">
        <v>2366</v>
      </c>
      <c r="J5" s="3329"/>
      <c r="K5" s="567"/>
      <c r="L5" s="2943"/>
      <c r="M5" s="2944"/>
      <c r="N5" s="2944"/>
      <c r="O5" s="2944"/>
      <c r="P5" s="3345"/>
      <c r="Q5" s="3316"/>
      <c r="R5" s="3321"/>
      <c r="S5" s="3322"/>
      <c r="T5" s="3321"/>
      <c r="U5" s="3322"/>
      <c r="V5" s="3325"/>
      <c r="W5" s="3325"/>
      <c r="X5" s="1539"/>
      <c r="Y5" s="3321"/>
      <c r="Z5" s="3322"/>
      <c r="AA5" s="3307"/>
      <c r="AB5" s="3307"/>
      <c r="AC5" s="3341"/>
    </row>
    <row r="6" spans="1:29" ht="15.75" thickBot="1">
      <c r="A6" s="366"/>
      <c r="B6" s="367"/>
      <c r="C6" s="3326" t="s">
        <v>2367</v>
      </c>
      <c r="D6" s="3327"/>
      <c r="E6" s="3333" t="s">
        <v>2367</v>
      </c>
      <c r="F6" s="3334"/>
      <c r="G6" s="3326" t="s">
        <v>2367</v>
      </c>
      <c r="H6" s="3327"/>
      <c r="I6" s="3326" t="s">
        <v>2367</v>
      </c>
      <c r="J6" s="3327"/>
      <c r="K6" s="567" t="s">
        <v>2368</v>
      </c>
      <c r="L6" s="2943"/>
      <c r="M6" s="2944"/>
      <c r="N6" s="2944"/>
      <c r="O6" s="2944"/>
      <c r="P6" s="3346"/>
      <c r="Q6" s="3318"/>
      <c r="R6" s="3321"/>
      <c r="S6" s="3322"/>
      <c r="T6" s="3323"/>
      <c r="U6" s="3324"/>
      <c r="V6" s="3325"/>
      <c r="W6" s="3325"/>
      <c r="X6" s="1539"/>
      <c r="Y6" s="3323"/>
      <c r="Z6" s="3324"/>
      <c r="AA6" s="3308"/>
      <c r="AB6" s="3308"/>
      <c r="AC6" s="3342"/>
    </row>
    <row r="7" spans="1:29" s="113" customFormat="1" ht="15.75" thickBot="1">
      <c r="A7" s="368" t="s">
        <v>2369</v>
      </c>
      <c r="B7" s="369"/>
      <c r="C7" s="370">
        <f>'数据-取费表'!B2</f>
        <v>44309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0" t="s">
        <v>2370</v>
      </c>
      <c r="Q7" s="3332"/>
      <c r="R7" s="710" t="s">
        <v>17</v>
      </c>
      <c r="S7" s="711">
        <f t="shared" ref="S7:S15" si="0">F7</f>
        <v>0</v>
      </c>
      <c r="T7" s="710" t="s">
        <v>17</v>
      </c>
      <c r="U7" s="711">
        <f t="shared" ref="U7:U15" si="1">H7</f>
        <v>0</v>
      </c>
      <c r="V7" s="710" t="s">
        <v>17</v>
      </c>
      <c r="W7" s="711">
        <f t="shared" ref="W7:W15" si="2">J7</f>
        <v>0</v>
      </c>
      <c r="X7" s="712"/>
      <c r="Y7" s="3330" t="s">
        <v>2370</v>
      </c>
      <c r="Z7" s="333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0" t="s">
        <v>2373</v>
      </c>
      <c r="Q8" s="3331"/>
      <c r="R8" s="710" t="s">
        <v>17</v>
      </c>
      <c r="S8" s="711">
        <f t="shared" si="0"/>
        <v>0</v>
      </c>
      <c r="T8" s="710" t="s">
        <v>17</v>
      </c>
      <c r="U8" s="711">
        <f t="shared" si="1"/>
        <v>0</v>
      </c>
      <c r="V8" s="710" t="s">
        <v>17</v>
      </c>
      <c r="W8" s="711">
        <f t="shared" si="2"/>
        <v>0</v>
      </c>
      <c r="X8" s="712"/>
      <c r="Y8" s="3330" t="s">
        <v>2373</v>
      </c>
      <c r="Z8" s="333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5"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5"/>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5"/>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05"/>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05"/>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05"/>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03" t="s">
        <v>2381</v>
      </c>
      <c r="Q15" s="1536" t="str">
        <f t="shared" si="6"/>
        <v>办公集聚程度</v>
      </c>
      <c r="R15" s="714" t="s">
        <v>17</v>
      </c>
      <c r="S15" s="715">
        <f t="shared" si="0"/>
        <v>100</v>
      </c>
      <c r="T15" s="714" t="s">
        <v>17</v>
      </c>
      <c r="U15" s="715">
        <f t="shared" si="1"/>
        <v>100</v>
      </c>
      <c r="V15" s="714" t="s">
        <v>17</v>
      </c>
      <c r="W15" s="715">
        <f t="shared" si="2"/>
        <v>100</v>
      </c>
      <c r="X15" s="1539"/>
      <c r="Y15" s="3296"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04"/>
      <c r="Q16" s="1536"/>
      <c r="R16" s="714"/>
      <c r="S16" s="715"/>
      <c r="T16" s="714"/>
      <c r="U16" s="715"/>
      <c r="V16" s="714"/>
      <c r="W16" s="715"/>
      <c r="X16" s="1539"/>
      <c r="Y16" s="329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04"/>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04"/>
      <c r="Q18" s="1536"/>
      <c r="R18" s="714"/>
      <c r="S18" s="715"/>
      <c r="T18" s="714"/>
      <c r="U18" s="715"/>
      <c r="V18" s="714"/>
      <c r="W18" s="715"/>
      <c r="X18" s="1539"/>
      <c r="Y18" s="329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04"/>
      <c r="Q19" s="1536" t="str">
        <f>B19</f>
        <v>公共配套设施</v>
      </c>
      <c r="R19" s="714" t="s">
        <v>17</v>
      </c>
      <c r="S19" s="715">
        <f>F19</f>
        <v>100</v>
      </c>
      <c r="T19" s="714" t="s">
        <v>17</v>
      </c>
      <c r="U19" s="715">
        <f>H19</f>
        <v>100</v>
      </c>
      <c r="V19" s="714" t="s">
        <v>17</v>
      </c>
      <c r="W19" s="715">
        <f>J19</f>
        <v>100</v>
      </c>
      <c r="X19" s="1539"/>
      <c r="Y19" s="329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04"/>
      <c r="Q20" s="1536"/>
      <c r="R20" s="714"/>
      <c r="S20" s="715"/>
      <c r="T20" s="714"/>
      <c r="U20" s="715"/>
      <c r="V20" s="714"/>
      <c r="W20" s="715"/>
      <c r="X20" s="1539"/>
      <c r="Y20" s="329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04"/>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04"/>
      <c r="Q22" s="1536"/>
      <c r="R22" s="714"/>
      <c r="S22" s="715"/>
      <c r="T22" s="714"/>
      <c r="U22" s="715"/>
      <c r="V22" s="714"/>
      <c r="W22" s="715"/>
      <c r="X22" s="1539"/>
      <c r="Y22" s="329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04"/>
      <c r="Q23" s="1536" t="str">
        <f>B23</f>
        <v>环境质量</v>
      </c>
      <c r="R23" s="714" t="s">
        <v>17</v>
      </c>
      <c r="S23" s="715">
        <f>F23</f>
        <v>100</v>
      </c>
      <c r="T23" s="714" t="s">
        <v>17</v>
      </c>
      <c r="U23" s="715">
        <f>H23</f>
        <v>100</v>
      </c>
      <c r="V23" s="714" t="s">
        <v>17</v>
      </c>
      <c r="W23" s="715">
        <f>J23</f>
        <v>100</v>
      </c>
      <c r="X23" s="1539"/>
      <c r="Y23" s="329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04"/>
      <c r="Q24" s="1536"/>
      <c r="R24" s="714"/>
      <c r="S24" s="715"/>
      <c r="T24" s="714"/>
      <c r="U24" s="715"/>
      <c r="V24" s="714"/>
      <c r="W24" s="715"/>
      <c r="X24" s="1539"/>
      <c r="Y24" s="3297"/>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04"/>
      <c r="Q25" s="1536" t="str">
        <f>B25</f>
        <v>毗邻道路的类型与等级</v>
      </c>
      <c r="R25" s="714" t="s">
        <v>17</v>
      </c>
      <c r="S25" s="715">
        <f>F25</f>
        <v>100</v>
      </c>
      <c r="T25" s="714" t="s">
        <v>17</v>
      </c>
      <c r="U25" s="715">
        <f>H25</f>
        <v>100</v>
      </c>
      <c r="V25" s="714" t="s">
        <v>17</v>
      </c>
      <c r="W25" s="715">
        <f>J25</f>
        <v>100</v>
      </c>
      <c r="X25" s="1539"/>
      <c r="Y25" s="329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04"/>
      <c r="Q26" s="1536"/>
      <c r="R26" s="714"/>
      <c r="S26" s="715"/>
      <c r="T26" s="714"/>
      <c r="U26" s="715"/>
      <c r="V26" s="714"/>
      <c r="W26" s="715"/>
      <c r="X26" s="1539"/>
      <c r="Y26" s="3297"/>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04"/>
      <c r="Q27" s="1536" t="str">
        <f t="shared" ref="Q27:Q47" si="11">B27</f>
        <v>楼层</v>
      </c>
      <c r="R27" s="714" t="s">
        <v>17</v>
      </c>
      <c r="S27" s="715">
        <f>F27</f>
        <v>100</v>
      </c>
      <c r="T27" s="714" t="s">
        <v>17</v>
      </c>
      <c r="U27" s="715">
        <f>H27</f>
        <v>100</v>
      </c>
      <c r="V27" s="714" t="s">
        <v>17</v>
      </c>
      <c r="W27" s="715">
        <f>J27</f>
        <v>100</v>
      </c>
      <c r="X27" s="1539"/>
      <c r="Y27" s="3297"/>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04"/>
      <c r="Q28" s="1527" t="str">
        <f t="shared" si="11"/>
        <v>朝向</v>
      </c>
      <c r="R28" s="710" t="s">
        <v>17</v>
      </c>
      <c r="S28" s="711">
        <f>F28</f>
        <v>100</v>
      </c>
      <c r="T28" s="710" t="s">
        <v>17</v>
      </c>
      <c r="U28" s="711">
        <f>H28</f>
        <v>100</v>
      </c>
      <c r="V28" s="710" t="s">
        <v>17</v>
      </c>
      <c r="W28" s="711">
        <f>J28</f>
        <v>100</v>
      </c>
      <c r="X28" s="712"/>
      <c r="Y28" s="329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04"/>
      <c r="Q29" s="1536">
        <f t="shared" si="11"/>
        <v>111</v>
      </c>
      <c r="R29" s="714" t="s">
        <v>17</v>
      </c>
      <c r="S29" s="715">
        <f t="shared" ref="S29:S47" si="12">F29</f>
        <v>100</v>
      </c>
      <c r="T29" s="714" t="s">
        <v>17</v>
      </c>
      <c r="U29" s="715">
        <f t="shared" ref="U29:U47" si="13">H29</f>
        <v>100</v>
      </c>
      <c r="V29" s="714" t="s">
        <v>17</v>
      </c>
      <c r="W29" s="715">
        <f t="shared" ref="W29:W47" si="14">J29</f>
        <v>100</v>
      </c>
      <c r="X29" s="1539"/>
      <c r="Y29" s="329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04"/>
      <c r="Q30" s="1536">
        <f t="shared" si="11"/>
        <v>111</v>
      </c>
      <c r="R30" s="714" t="s">
        <v>17</v>
      </c>
      <c r="S30" s="715">
        <f t="shared" si="12"/>
        <v>100</v>
      </c>
      <c r="T30" s="714" t="s">
        <v>17</v>
      </c>
      <c r="U30" s="715">
        <f t="shared" si="13"/>
        <v>100</v>
      </c>
      <c r="V30" s="714" t="s">
        <v>17</v>
      </c>
      <c r="W30" s="715">
        <f t="shared" si="14"/>
        <v>100</v>
      </c>
      <c r="X30" s="1539"/>
      <c r="Y30" s="329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04"/>
      <c r="Q31" s="1536">
        <f t="shared" si="11"/>
        <v>111</v>
      </c>
      <c r="R31" s="714" t="s">
        <v>17</v>
      </c>
      <c r="S31" s="715">
        <f t="shared" si="12"/>
        <v>100</v>
      </c>
      <c r="T31" s="714" t="s">
        <v>17</v>
      </c>
      <c r="U31" s="715">
        <f t="shared" si="13"/>
        <v>100</v>
      </c>
      <c r="V31" s="714" t="s">
        <v>17</v>
      </c>
      <c r="W31" s="715">
        <f t="shared" si="14"/>
        <v>100</v>
      </c>
      <c r="X31" s="1539"/>
      <c r="Y31" s="329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04"/>
      <c r="Q32" s="1536">
        <f t="shared" si="11"/>
        <v>111</v>
      </c>
      <c r="R32" s="714" t="s">
        <v>17</v>
      </c>
      <c r="S32" s="715">
        <f t="shared" si="12"/>
        <v>100</v>
      </c>
      <c r="T32" s="714" t="s">
        <v>17</v>
      </c>
      <c r="U32" s="715">
        <f t="shared" si="13"/>
        <v>100</v>
      </c>
      <c r="V32" s="714" t="s">
        <v>17</v>
      </c>
      <c r="W32" s="715">
        <f t="shared" si="14"/>
        <v>100</v>
      </c>
      <c r="X32" s="1539"/>
      <c r="Y32" s="329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298" t="s">
        <v>2386</v>
      </c>
      <c r="Q33" s="1536" t="str">
        <f t="shared" si="11"/>
        <v>建筑类型</v>
      </c>
      <c r="R33" s="714" t="s">
        <v>17</v>
      </c>
      <c r="S33" s="715">
        <f t="shared" si="12"/>
        <v>100</v>
      </c>
      <c r="T33" s="714" t="s">
        <v>17</v>
      </c>
      <c r="U33" s="715">
        <f t="shared" si="13"/>
        <v>100</v>
      </c>
      <c r="V33" s="714" t="s">
        <v>17</v>
      </c>
      <c r="W33" s="715">
        <f t="shared" si="14"/>
        <v>100</v>
      </c>
      <c r="X33" s="1539"/>
      <c r="Y33" s="3301"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99"/>
      <c r="Q34" s="716" t="str">
        <f t="shared" si="11"/>
        <v>项目建筑规模</v>
      </c>
      <c r="R34" s="717" t="s">
        <v>17</v>
      </c>
      <c r="S34" s="718" t="e">
        <f t="shared" si="12"/>
        <v>#N/A</v>
      </c>
      <c r="T34" s="717" t="s">
        <v>17</v>
      </c>
      <c r="U34" s="718" t="e">
        <f t="shared" si="13"/>
        <v>#N/A</v>
      </c>
      <c r="V34" s="717" t="s">
        <v>17</v>
      </c>
      <c r="W34" s="718" t="e">
        <f t="shared" si="14"/>
        <v>#N/A</v>
      </c>
      <c r="X34" s="719"/>
      <c r="Y34" s="3301"/>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99"/>
      <c r="Q35" s="1536" t="str">
        <f t="shared" si="11"/>
        <v>建筑结构</v>
      </c>
      <c r="R35" s="714" t="s">
        <v>17</v>
      </c>
      <c r="S35" s="715">
        <f t="shared" si="12"/>
        <v>100</v>
      </c>
      <c r="T35" s="714" t="s">
        <v>17</v>
      </c>
      <c r="U35" s="715">
        <f t="shared" si="13"/>
        <v>100</v>
      </c>
      <c r="V35" s="714" t="s">
        <v>17</v>
      </c>
      <c r="W35" s="715">
        <f t="shared" si="14"/>
        <v>100</v>
      </c>
      <c r="X35" s="1539"/>
      <c r="Y35" s="3301"/>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99"/>
      <c r="Q36" s="1536" t="str">
        <f t="shared" si="11"/>
        <v>公共部分装修</v>
      </c>
      <c r="R36" s="714" t="s">
        <v>17</v>
      </c>
      <c r="S36" s="715">
        <f t="shared" si="12"/>
        <v>100</v>
      </c>
      <c r="T36" s="714" t="s">
        <v>17</v>
      </c>
      <c r="U36" s="715">
        <f t="shared" si="13"/>
        <v>100</v>
      </c>
      <c r="V36" s="714" t="s">
        <v>17</v>
      </c>
      <c r="W36" s="715">
        <f t="shared" si="14"/>
        <v>100</v>
      </c>
      <c r="X36" s="1539"/>
      <c r="Y36" s="3301"/>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99"/>
      <c r="Q37" s="1536" t="str">
        <f t="shared" si="11"/>
        <v>成新度</v>
      </c>
      <c r="R37" s="714" t="s">
        <v>17</v>
      </c>
      <c r="S37" s="715" t="e">
        <f t="shared" si="12"/>
        <v>#N/A</v>
      </c>
      <c r="T37" s="714" t="s">
        <v>17</v>
      </c>
      <c r="U37" s="715" t="e">
        <f t="shared" si="13"/>
        <v>#N/A</v>
      </c>
      <c r="V37" s="714" t="s">
        <v>17</v>
      </c>
      <c r="W37" s="715" t="e">
        <f t="shared" si="14"/>
        <v>#N/A</v>
      </c>
      <c r="X37" s="1539"/>
      <c r="Y37" s="3301"/>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99"/>
      <c r="Q38" s="1527" t="str">
        <f t="shared" si="11"/>
        <v>写字楼等级</v>
      </c>
      <c r="R38" s="710" t="s">
        <v>17</v>
      </c>
      <c r="S38" s="711">
        <f t="shared" si="12"/>
        <v>100</v>
      </c>
      <c r="T38" s="710" t="s">
        <v>17</v>
      </c>
      <c r="U38" s="711">
        <f t="shared" si="13"/>
        <v>100</v>
      </c>
      <c r="V38" s="710" t="s">
        <v>17</v>
      </c>
      <c r="W38" s="711">
        <f t="shared" si="14"/>
        <v>100</v>
      </c>
      <c r="X38" s="712"/>
      <c r="Y38" s="330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99" t="s">
        <v>2386</v>
      </c>
      <c r="Q39" s="1536" t="str">
        <f t="shared" si="11"/>
        <v>物业管理</v>
      </c>
      <c r="R39" s="714" t="s">
        <v>17</v>
      </c>
      <c r="S39" s="715">
        <f t="shared" si="12"/>
        <v>100</v>
      </c>
      <c r="T39" s="714" t="s">
        <v>17</v>
      </c>
      <c r="U39" s="715">
        <f t="shared" si="13"/>
        <v>100</v>
      </c>
      <c r="V39" s="714" t="s">
        <v>17</v>
      </c>
      <c r="W39" s="715">
        <f t="shared" si="14"/>
        <v>100</v>
      </c>
      <c r="X39" s="1539"/>
      <c r="Y39" s="330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99"/>
      <c r="Q40" s="1536" t="str">
        <f t="shared" si="11"/>
        <v>市政基础设施</v>
      </c>
      <c r="R40" s="714" t="s">
        <v>17</v>
      </c>
      <c r="S40" s="715">
        <f t="shared" si="12"/>
        <v>100</v>
      </c>
      <c r="T40" s="714" t="s">
        <v>17</v>
      </c>
      <c r="U40" s="715">
        <f t="shared" si="13"/>
        <v>100</v>
      </c>
      <c r="V40" s="714" t="s">
        <v>17</v>
      </c>
      <c r="W40" s="715">
        <f t="shared" si="14"/>
        <v>100</v>
      </c>
      <c r="X40" s="1539"/>
      <c r="Y40" s="3301"/>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99"/>
      <c r="Q41" s="1536" t="str">
        <f t="shared" si="11"/>
        <v>层高</v>
      </c>
      <c r="R41" s="714" t="s">
        <v>17</v>
      </c>
      <c r="S41" s="715">
        <f t="shared" si="12"/>
        <v>100</v>
      </c>
      <c r="T41" s="714" t="s">
        <v>17</v>
      </c>
      <c r="U41" s="715">
        <f t="shared" si="13"/>
        <v>100</v>
      </c>
      <c r="V41" s="714" t="s">
        <v>17</v>
      </c>
      <c r="W41" s="715">
        <f t="shared" si="14"/>
        <v>100</v>
      </c>
      <c r="X41" s="1539"/>
      <c r="Y41" s="330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9"/>
      <c r="Q42" s="716" t="str">
        <f t="shared" si="11"/>
        <v>单套建筑面积</v>
      </c>
      <c r="R42" s="717" t="s">
        <v>17</v>
      </c>
      <c r="S42" s="718">
        <f t="shared" si="12"/>
        <v>100</v>
      </c>
      <c r="T42" s="717" t="s">
        <v>17</v>
      </c>
      <c r="U42" s="718">
        <f t="shared" si="13"/>
        <v>100</v>
      </c>
      <c r="V42" s="717" t="s">
        <v>17</v>
      </c>
      <c r="W42" s="718">
        <f t="shared" si="14"/>
        <v>100</v>
      </c>
      <c r="X42" s="719"/>
      <c r="Y42" s="3301"/>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99"/>
      <c r="Q43" s="1536" t="str">
        <f t="shared" si="11"/>
        <v>内部装修</v>
      </c>
      <c r="R43" s="714" t="s">
        <v>17</v>
      </c>
      <c r="S43" s="715">
        <f t="shared" si="12"/>
        <v>100</v>
      </c>
      <c r="T43" s="714" t="s">
        <v>17</v>
      </c>
      <c r="U43" s="715">
        <f t="shared" si="13"/>
        <v>100</v>
      </c>
      <c r="V43" s="714" t="s">
        <v>17</v>
      </c>
      <c r="W43" s="715">
        <f t="shared" si="14"/>
        <v>100</v>
      </c>
      <c r="X43" s="1539"/>
      <c r="Y43" s="3301"/>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299"/>
      <c r="Q44" s="1536" t="str">
        <f t="shared" si="11"/>
        <v>内部装修维护情况</v>
      </c>
      <c r="R44" s="714" t="s">
        <v>17</v>
      </c>
      <c r="S44" s="715">
        <f t="shared" si="12"/>
        <v>100</v>
      </c>
      <c r="T44" s="714" t="s">
        <v>17</v>
      </c>
      <c r="U44" s="715">
        <f t="shared" si="13"/>
        <v>100</v>
      </c>
      <c r="V44" s="714" t="s">
        <v>17</v>
      </c>
      <c r="W44" s="715">
        <f t="shared" si="14"/>
        <v>100</v>
      </c>
      <c r="X44" s="1539"/>
      <c r="Y44" s="330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9"/>
      <c r="Q45" s="1527">
        <f t="shared" si="11"/>
        <v>111</v>
      </c>
      <c r="R45" s="710" t="s">
        <v>17</v>
      </c>
      <c r="S45" s="711">
        <f t="shared" si="12"/>
        <v>100</v>
      </c>
      <c r="T45" s="710" t="s">
        <v>17</v>
      </c>
      <c r="U45" s="711">
        <f t="shared" si="13"/>
        <v>100</v>
      </c>
      <c r="V45" s="710" t="s">
        <v>17</v>
      </c>
      <c r="W45" s="711">
        <f t="shared" si="14"/>
        <v>100</v>
      </c>
      <c r="X45" s="712"/>
      <c r="Y45" s="330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9"/>
      <c r="Q46" s="1536">
        <f t="shared" si="11"/>
        <v>111</v>
      </c>
      <c r="R46" s="714" t="s">
        <v>17</v>
      </c>
      <c r="S46" s="715">
        <f t="shared" si="12"/>
        <v>100</v>
      </c>
      <c r="T46" s="714" t="s">
        <v>17</v>
      </c>
      <c r="U46" s="715">
        <f t="shared" si="13"/>
        <v>100</v>
      </c>
      <c r="V46" s="714" t="s">
        <v>17</v>
      </c>
      <c r="W46" s="715">
        <f t="shared" si="14"/>
        <v>100</v>
      </c>
      <c r="X46" s="1539"/>
      <c r="Y46" s="330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00"/>
      <c r="Q47" s="1536">
        <f t="shared" si="11"/>
        <v>111</v>
      </c>
      <c r="R47" s="714" t="s">
        <v>17</v>
      </c>
      <c r="S47" s="715">
        <f t="shared" si="12"/>
        <v>100</v>
      </c>
      <c r="T47" s="714" t="s">
        <v>17</v>
      </c>
      <c r="U47" s="715">
        <f t="shared" si="13"/>
        <v>100</v>
      </c>
      <c r="V47" s="714" t="s">
        <v>17</v>
      </c>
      <c r="W47" s="715">
        <f t="shared" si="14"/>
        <v>100</v>
      </c>
      <c r="X47" s="1539"/>
      <c r="Y47" s="330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05" t="str">
        <f>A48</f>
        <v>成交单价（元/平方米）</v>
      </c>
      <c r="Q48" s="3294"/>
      <c r="R48" s="3295">
        <f>E48</f>
        <v>0</v>
      </c>
      <c r="S48" s="3295"/>
      <c r="T48" s="3295">
        <f>G48</f>
        <v>0</v>
      </c>
      <c r="U48" s="3295"/>
      <c r="V48" s="3295">
        <f>I48</f>
        <v>0</v>
      </c>
      <c r="W48" s="3295"/>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2"/>
      <c r="M49" s="2944"/>
      <c r="N49" s="2944"/>
      <c r="O49" s="2944"/>
      <c r="P49" s="3305" t="str">
        <f>A49</f>
        <v>比较价值（元/平方米）</v>
      </c>
      <c r="Q49" s="3294"/>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37" t="str">
        <f>A50</f>
        <v>估价对象XX用房的比较价值（楼面单价，元/平方米）</v>
      </c>
      <c r="Q50" s="3338"/>
      <c r="R50" s="3339" t="e">
        <f>IF(F1="售价",ROUND(IF(D49="简单平均",AVERAGE(R49:V49),R49*F49+T49*H49+V49*J49),0),ROUND(IF(D49="简单平均",AVERAGE(R49:V49),R49*F49+T49*H49+V49*J49),1))</f>
        <v>#DIV/0!</v>
      </c>
      <c r="S50" s="3339"/>
      <c r="T50" s="3339"/>
      <c r="U50" s="3339"/>
      <c r="V50" s="3339"/>
      <c r="W50" s="3339"/>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97146.700000000012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9" t="s">
        <v>2467</v>
      </c>
      <c r="D4" s="3310"/>
      <c r="E4" s="3311" t="s">
        <v>2468</v>
      </c>
      <c r="F4" s="3312"/>
      <c r="G4" s="3309" t="s">
        <v>2469</v>
      </c>
      <c r="H4" s="3310"/>
      <c r="I4" s="3309" t="s">
        <v>2470</v>
      </c>
      <c r="J4" s="3310"/>
      <c r="K4" s="567" t="s">
        <v>2471</v>
      </c>
      <c r="L4" s="1044"/>
      <c r="M4" s="1045"/>
      <c r="N4" s="1045"/>
      <c r="O4" s="1045"/>
      <c r="P4" s="3313" t="s">
        <v>2472</v>
      </c>
      <c r="Q4" s="3314"/>
      <c r="R4" s="3319" t="s">
        <v>2468</v>
      </c>
      <c r="S4" s="3320"/>
      <c r="T4" s="3319" t="s">
        <v>2469</v>
      </c>
      <c r="U4" s="3320"/>
      <c r="V4" s="3325" t="s">
        <v>2470</v>
      </c>
      <c r="W4" s="3325"/>
      <c r="X4" s="1539"/>
      <c r="Y4" s="3319" t="s">
        <v>2472</v>
      </c>
      <c r="Z4" s="3320"/>
      <c r="AA4" s="3306" t="s">
        <v>2468</v>
      </c>
      <c r="AB4" s="3307" t="s">
        <v>2469</v>
      </c>
      <c r="AC4" s="3306" t="s">
        <v>2470</v>
      </c>
    </row>
    <row r="5" spans="1:29" ht="15">
      <c r="A5" s="364"/>
      <c r="B5" s="365"/>
      <c r="C5" s="3328" t="s">
        <v>2363</v>
      </c>
      <c r="D5" s="3329"/>
      <c r="E5" s="3335" t="s">
        <v>2364</v>
      </c>
      <c r="F5" s="3336"/>
      <c r="G5" s="3328" t="s">
        <v>2365</v>
      </c>
      <c r="H5" s="3329"/>
      <c r="I5" s="3328" t="s">
        <v>2366</v>
      </c>
      <c r="J5" s="3329"/>
      <c r="K5" s="567"/>
      <c r="L5" s="1044"/>
      <c r="M5" s="1045"/>
      <c r="N5" s="1045"/>
      <c r="O5" s="1045"/>
      <c r="P5" s="3315"/>
      <c r="Q5" s="3316"/>
      <c r="R5" s="3321"/>
      <c r="S5" s="3322"/>
      <c r="T5" s="3321"/>
      <c r="U5" s="3322"/>
      <c r="V5" s="3325"/>
      <c r="W5" s="3325"/>
      <c r="X5" s="1539"/>
      <c r="Y5" s="3321"/>
      <c r="Z5" s="3322"/>
      <c r="AA5" s="3307"/>
      <c r="AB5" s="3307"/>
      <c r="AC5" s="3307"/>
    </row>
    <row r="6" spans="1:29" ht="15.75" thickBot="1">
      <c r="A6" s="366"/>
      <c r="B6" s="367"/>
      <c r="C6" s="3326" t="s">
        <v>2367</v>
      </c>
      <c r="D6" s="3327"/>
      <c r="E6" s="3333" t="s">
        <v>2367</v>
      </c>
      <c r="F6" s="3334"/>
      <c r="G6" s="3326" t="s">
        <v>2367</v>
      </c>
      <c r="H6" s="3327"/>
      <c r="I6" s="3326" t="s">
        <v>2367</v>
      </c>
      <c r="J6" s="3327"/>
      <c r="K6" s="567" t="s">
        <v>2368</v>
      </c>
      <c r="L6" s="1044"/>
      <c r="M6" s="1045"/>
      <c r="N6" s="1045"/>
      <c r="O6" s="1045"/>
      <c r="P6" s="3317"/>
      <c r="Q6" s="3318"/>
      <c r="R6" s="3321"/>
      <c r="S6" s="3322"/>
      <c r="T6" s="3323"/>
      <c r="U6" s="3324"/>
      <c r="V6" s="3325"/>
      <c r="W6" s="3325"/>
      <c r="X6" s="1539"/>
      <c r="Y6" s="3323"/>
      <c r="Z6" s="3324"/>
      <c r="AA6" s="3308"/>
      <c r="AB6" s="3308"/>
      <c r="AC6" s="3308"/>
    </row>
    <row r="7" spans="1:29" s="113" customFormat="1" ht="15.75" thickBot="1">
      <c r="A7" s="368" t="s">
        <v>2369</v>
      </c>
      <c r="B7" s="369"/>
      <c r="C7" s="370">
        <f>'数据-取费表'!B2</f>
        <v>44309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0" t="s">
        <v>2370</v>
      </c>
      <c r="Q7" s="3332"/>
      <c r="R7" s="710" t="s">
        <v>17</v>
      </c>
      <c r="S7" s="711">
        <f t="shared" ref="S7:S15" si="0">F7</f>
        <v>0</v>
      </c>
      <c r="T7" s="710" t="s">
        <v>17</v>
      </c>
      <c r="U7" s="711">
        <f t="shared" ref="U7:U15" si="1">H7</f>
        <v>0</v>
      </c>
      <c r="V7" s="710" t="s">
        <v>17</v>
      </c>
      <c r="W7" s="711">
        <f t="shared" ref="W7:W15" si="2">J7</f>
        <v>0</v>
      </c>
      <c r="X7" s="712"/>
      <c r="Y7" s="3330" t="s">
        <v>2370</v>
      </c>
      <c r="Z7" s="333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0" t="s">
        <v>2373</v>
      </c>
      <c r="Q8" s="3331"/>
      <c r="R8" s="710" t="s">
        <v>17</v>
      </c>
      <c r="S8" s="711">
        <f t="shared" si="0"/>
        <v>0</v>
      </c>
      <c r="T8" s="710" t="s">
        <v>17</v>
      </c>
      <c r="U8" s="711">
        <f t="shared" si="1"/>
        <v>0</v>
      </c>
      <c r="V8" s="710" t="s">
        <v>17</v>
      </c>
      <c r="W8" s="711">
        <f t="shared" si="2"/>
        <v>0</v>
      </c>
      <c r="X8" s="712"/>
      <c r="Y8" s="3330" t="s">
        <v>2373</v>
      </c>
      <c r="Z8" s="333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4"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4"/>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4"/>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4"/>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4"/>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4"/>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6" t="s">
        <v>2381</v>
      </c>
      <c r="Q15" s="1536" t="str">
        <f t="shared" si="6"/>
        <v>产业集聚程度</v>
      </c>
      <c r="R15" s="714" t="s">
        <v>17</v>
      </c>
      <c r="S15" s="715">
        <f t="shared" si="0"/>
        <v>100</v>
      </c>
      <c r="T15" s="714" t="s">
        <v>17</v>
      </c>
      <c r="U15" s="715">
        <f t="shared" si="1"/>
        <v>100</v>
      </c>
      <c r="V15" s="714" t="s">
        <v>17</v>
      </c>
      <c r="W15" s="715">
        <f t="shared" si="2"/>
        <v>100</v>
      </c>
      <c r="X15" s="1539"/>
      <c r="Y15" s="329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7"/>
      <c r="Q16" s="1536"/>
      <c r="R16" s="714"/>
      <c r="S16" s="715"/>
      <c r="T16" s="714"/>
      <c r="U16" s="715"/>
      <c r="V16" s="714"/>
      <c r="W16" s="715"/>
      <c r="X16" s="1539"/>
      <c r="Y16" s="329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7"/>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7"/>
      <c r="Q18" s="1536"/>
      <c r="R18" s="714"/>
      <c r="S18" s="715"/>
      <c r="T18" s="714"/>
      <c r="U18" s="715"/>
      <c r="V18" s="714"/>
      <c r="W18" s="715"/>
      <c r="X18" s="1539"/>
      <c r="Y18" s="329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7"/>
      <c r="Q19" s="1536" t="str">
        <f>B19</f>
        <v>公共配套设施</v>
      </c>
      <c r="R19" s="714" t="s">
        <v>17</v>
      </c>
      <c r="S19" s="715">
        <f>F19</f>
        <v>100</v>
      </c>
      <c r="T19" s="714" t="s">
        <v>17</v>
      </c>
      <c r="U19" s="715">
        <f>H19</f>
        <v>100</v>
      </c>
      <c r="V19" s="714" t="s">
        <v>17</v>
      </c>
      <c r="W19" s="715">
        <f>J19</f>
        <v>100</v>
      </c>
      <c r="X19" s="1539"/>
      <c r="Y19" s="329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7"/>
      <c r="Q20" s="1536"/>
      <c r="R20" s="714"/>
      <c r="S20" s="715"/>
      <c r="T20" s="714"/>
      <c r="U20" s="715"/>
      <c r="V20" s="714"/>
      <c r="W20" s="715"/>
      <c r="X20" s="1539"/>
      <c r="Y20" s="329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7"/>
      <c r="Q21" s="1536" t="str">
        <f>B21</f>
        <v>基础设施水平</v>
      </c>
      <c r="R21" s="714" t="s">
        <v>17</v>
      </c>
      <c r="S21" s="715">
        <f>F21</f>
        <v>100</v>
      </c>
      <c r="T21" s="714" t="s">
        <v>17</v>
      </c>
      <c r="U21" s="715">
        <f>H21</f>
        <v>100</v>
      </c>
      <c r="V21" s="714" t="s">
        <v>17</v>
      </c>
      <c r="W21" s="715">
        <f>J21</f>
        <v>100</v>
      </c>
      <c r="X21" s="1539"/>
      <c r="Y21" s="329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7"/>
      <c r="Q22" s="1536"/>
      <c r="R22" s="714"/>
      <c r="S22" s="715"/>
      <c r="T22" s="714"/>
      <c r="U22" s="715"/>
      <c r="V22" s="714"/>
      <c r="W22" s="715"/>
      <c r="X22" s="1539"/>
      <c r="Y22" s="329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7"/>
      <c r="Q23" s="1536" t="str">
        <f>B23</f>
        <v>环境质量</v>
      </c>
      <c r="R23" s="714" t="s">
        <v>17</v>
      </c>
      <c r="S23" s="715">
        <f>F23</f>
        <v>100</v>
      </c>
      <c r="T23" s="714" t="s">
        <v>17</v>
      </c>
      <c r="U23" s="715">
        <f>H23</f>
        <v>100</v>
      </c>
      <c r="V23" s="714" t="s">
        <v>17</v>
      </c>
      <c r="W23" s="715">
        <f>J23</f>
        <v>100</v>
      </c>
      <c r="X23" s="1539"/>
      <c r="Y23" s="329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7"/>
      <c r="Q24" s="1536"/>
      <c r="R24" s="714"/>
      <c r="S24" s="715"/>
      <c r="T24" s="714"/>
      <c r="U24" s="715"/>
      <c r="V24" s="714"/>
      <c r="W24" s="715"/>
      <c r="X24" s="1539"/>
      <c r="Y24" s="329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7"/>
      <c r="Q25" s="1536">
        <f>B25</f>
        <v>111</v>
      </c>
      <c r="R25" s="714" t="s">
        <v>17</v>
      </c>
      <c r="S25" s="715">
        <f>F25</f>
        <v>100</v>
      </c>
      <c r="T25" s="714" t="s">
        <v>17</v>
      </c>
      <c r="U25" s="715">
        <f>H25</f>
        <v>100</v>
      </c>
      <c r="V25" s="714" t="s">
        <v>17</v>
      </c>
      <c r="W25" s="715">
        <f>J25</f>
        <v>100</v>
      </c>
      <c r="X25" s="1539"/>
      <c r="Y25" s="329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7"/>
      <c r="Q26" s="1536">
        <f t="shared" ref="Q26:Q40" si="11">B26</f>
        <v>111</v>
      </c>
      <c r="R26" s="714" t="s">
        <v>17</v>
      </c>
      <c r="S26" s="715">
        <f>F26</f>
        <v>100</v>
      </c>
      <c r="T26" s="714" t="s">
        <v>17</v>
      </c>
      <c r="U26" s="715">
        <f>H26</f>
        <v>100</v>
      </c>
      <c r="V26" s="714" t="s">
        <v>17</v>
      </c>
      <c r="W26" s="715">
        <f>J26</f>
        <v>100</v>
      </c>
      <c r="X26" s="1539"/>
      <c r="Y26" s="329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7"/>
      <c r="Q27" s="1527">
        <f t="shared" si="11"/>
        <v>111</v>
      </c>
      <c r="R27" s="710" t="s">
        <v>17</v>
      </c>
      <c r="S27" s="711">
        <f>F27</f>
        <v>100</v>
      </c>
      <c r="T27" s="710" t="s">
        <v>17</v>
      </c>
      <c r="U27" s="711">
        <f>H27</f>
        <v>100</v>
      </c>
      <c r="V27" s="710" t="s">
        <v>17</v>
      </c>
      <c r="W27" s="711">
        <f>J27</f>
        <v>100</v>
      </c>
      <c r="X27" s="712"/>
      <c r="Y27" s="329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7"/>
      <c r="Q28" s="1536">
        <f t="shared" si="11"/>
        <v>111</v>
      </c>
      <c r="R28" s="714" t="s">
        <v>17</v>
      </c>
      <c r="S28" s="715">
        <f t="shared" ref="S28:S40" si="12">F28</f>
        <v>100</v>
      </c>
      <c r="T28" s="714" t="s">
        <v>17</v>
      </c>
      <c r="U28" s="715">
        <f t="shared" ref="U28:U40" si="13">H28</f>
        <v>100</v>
      </c>
      <c r="V28" s="714" t="s">
        <v>17</v>
      </c>
      <c r="W28" s="715">
        <f t="shared" ref="W28:W40" si="14">J28</f>
        <v>100</v>
      </c>
      <c r="X28" s="1539"/>
      <c r="Y28" s="3297"/>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2" t="s">
        <v>2386</v>
      </c>
      <c r="Q29" s="1536" t="str">
        <f t="shared" si="11"/>
        <v>建筑类型</v>
      </c>
      <c r="R29" s="714" t="s">
        <v>17</v>
      </c>
      <c r="S29" s="715">
        <f t="shared" si="12"/>
        <v>100</v>
      </c>
      <c r="T29" s="714" t="s">
        <v>17</v>
      </c>
      <c r="U29" s="715">
        <f t="shared" si="13"/>
        <v>100</v>
      </c>
      <c r="V29" s="714" t="s">
        <v>17</v>
      </c>
      <c r="W29" s="715">
        <f t="shared" si="14"/>
        <v>100</v>
      </c>
      <c r="X29" s="1539"/>
      <c r="Y29" s="330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1"/>
      <c r="Q30" s="716" t="str">
        <f t="shared" si="11"/>
        <v>项目建筑规模</v>
      </c>
      <c r="R30" s="717" t="s">
        <v>17</v>
      </c>
      <c r="S30" s="718" t="e">
        <f t="shared" si="12"/>
        <v>#N/A</v>
      </c>
      <c r="T30" s="717" t="s">
        <v>17</v>
      </c>
      <c r="U30" s="718" t="e">
        <f t="shared" si="13"/>
        <v>#N/A</v>
      </c>
      <c r="V30" s="717" t="s">
        <v>17</v>
      </c>
      <c r="W30" s="718" t="e">
        <f t="shared" si="14"/>
        <v>#N/A</v>
      </c>
      <c r="X30" s="719"/>
      <c r="Y30" s="330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1"/>
      <c r="Q31" s="1536" t="str">
        <f t="shared" si="11"/>
        <v>建筑结构</v>
      </c>
      <c r="R31" s="714" t="s">
        <v>17</v>
      </c>
      <c r="S31" s="715">
        <f t="shared" si="12"/>
        <v>100</v>
      </c>
      <c r="T31" s="714" t="s">
        <v>17</v>
      </c>
      <c r="U31" s="715">
        <f t="shared" si="13"/>
        <v>100</v>
      </c>
      <c r="V31" s="714" t="s">
        <v>17</v>
      </c>
      <c r="W31" s="715">
        <f t="shared" si="14"/>
        <v>100</v>
      </c>
      <c r="X31" s="1539"/>
      <c r="Y31" s="330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1"/>
      <c r="Q32" s="1536" t="str">
        <f t="shared" si="11"/>
        <v>公共部分装修</v>
      </c>
      <c r="R32" s="714" t="s">
        <v>17</v>
      </c>
      <c r="S32" s="715">
        <f t="shared" si="12"/>
        <v>100</v>
      </c>
      <c r="T32" s="714" t="s">
        <v>17</v>
      </c>
      <c r="U32" s="715">
        <f t="shared" si="13"/>
        <v>100</v>
      </c>
      <c r="V32" s="714" t="s">
        <v>17</v>
      </c>
      <c r="W32" s="715">
        <f t="shared" si="14"/>
        <v>100</v>
      </c>
      <c r="X32" s="1539"/>
      <c r="Y32" s="330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1"/>
      <c r="Q33" s="1536" t="str">
        <f t="shared" si="11"/>
        <v>成新度</v>
      </c>
      <c r="R33" s="714" t="s">
        <v>17</v>
      </c>
      <c r="S33" s="715" t="e">
        <f t="shared" si="12"/>
        <v>#N/A</v>
      </c>
      <c r="T33" s="714" t="s">
        <v>17</v>
      </c>
      <c r="U33" s="715" t="e">
        <f t="shared" si="13"/>
        <v>#N/A</v>
      </c>
      <c r="V33" s="714" t="s">
        <v>17</v>
      </c>
      <c r="W33" s="715" t="e">
        <f t="shared" si="14"/>
        <v>#N/A</v>
      </c>
      <c r="X33" s="1539"/>
      <c r="Y33" s="330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1"/>
      <c r="Q34" s="1527" t="str">
        <f t="shared" si="11"/>
        <v>物业管理</v>
      </c>
      <c r="R34" s="710" t="s">
        <v>17</v>
      </c>
      <c r="S34" s="711">
        <f t="shared" si="12"/>
        <v>100</v>
      </c>
      <c r="T34" s="710" t="s">
        <v>17</v>
      </c>
      <c r="U34" s="711">
        <f t="shared" si="13"/>
        <v>100</v>
      </c>
      <c r="V34" s="710" t="s">
        <v>17</v>
      </c>
      <c r="W34" s="711">
        <f t="shared" si="14"/>
        <v>100</v>
      </c>
      <c r="X34" s="712"/>
      <c r="Y34" s="330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1" t="s">
        <v>2386</v>
      </c>
      <c r="Q35" s="1536" t="str">
        <f t="shared" si="11"/>
        <v>市政基础设施</v>
      </c>
      <c r="R35" s="714" t="s">
        <v>17</v>
      </c>
      <c r="S35" s="715">
        <f t="shared" si="12"/>
        <v>100</v>
      </c>
      <c r="T35" s="714" t="s">
        <v>17</v>
      </c>
      <c r="U35" s="715">
        <f t="shared" si="13"/>
        <v>100</v>
      </c>
      <c r="V35" s="714" t="s">
        <v>17</v>
      </c>
      <c r="W35" s="715">
        <f t="shared" si="14"/>
        <v>100</v>
      </c>
      <c r="X35" s="1539"/>
      <c r="Y35" s="330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1"/>
      <c r="Q36" s="1536" t="str">
        <f t="shared" si="11"/>
        <v>内部装修</v>
      </c>
      <c r="R36" s="714" t="s">
        <v>17</v>
      </c>
      <c r="S36" s="715">
        <f t="shared" si="12"/>
        <v>100</v>
      </c>
      <c r="T36" s="714" t="s">
        <v>17</v>
      </c>
      <c r="U36" s="715">
        <f t="shared" si="13"/>
        <v>100</v>
      </c>
      <c r="V36" s="714" t="s">
        <v>17</v>
      </c>
      <c r="W36" s="715">
        <f t="shared" si="14"/>
        <v>100</v>
      </c>
      <c r="X36" s="1539"/>
      <c r="Y36" s="330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1"/>
      <c r="Q37" s="1536" t="str">
        <f t="shared" si="11"/>
        <v>内部装修状况</v>
      </c>
      <c r="R37" s="714" t="s">
        <v>17</v>
      </c>
      <c r="S37" s="715">
        <f t="shared" si="12"/>
        <v>100</v>
      </c>
      <c r="T37" s="714" t="s">
        <v>17</v>
      </c>
      <c r="U37" s="715">
        <f t="shared" si="13"/>
        <v>100</v>
      </c>
      <c r="V37" s="714" t="s">
        <v>17</v>
      </c>
      <c r="W37" s="715">
        <f t="shared" si="14"/>
        <v>100</v>
      </c>
      <c r="X37" s="1539"/>
      <c r="Y37" s="330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1"/>
      <c r="Q38" s="716">
        <f t="shared" si="11"/>
        <v>111</v>
      </c>
      <c r="R38" s="717" t="s">
        <v>17</v>
      </c>
      <c r="S38" s="718">
        <f t="shared" si="12"/>
        <v>100</v>
      </c>
      <c r="T38" s="717" t="s">
        <v>17</v>
      </c>
      <c r="U38" s="718">
        <f t="shared" si="13"/>
        <v>100</v>
      </c>
      <c r="V38" s="717" t="s">
        <v>17</v>
      </c>
      <c r="W38" s="718">
        <f t="shared" si="14"/>
        <v>100</v>
      </c>
      <c r="X38" s="719"/>
      <c r="Y38" s="330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1"/>
      <c r="Q39" s="1536">
        <f t="shared" si="11"/>
        <v>111</v>
      </c>
      <c r="R39" s="714" t="s">
        <v>17</v>
      </c>
      <c r="S39" s="715">
        <f t="shared" si="12"/>
        <v>100</v>
      </c>
      <c r="T39" s="714" t="s">
        <v>17</v>
      </c>
      <c r="U39" s="715">
        <f t="shared" si="13"/>
        <v>100</v>
      </c>
      <c r="V39" s="714" t="s">
        <v>17</v>
      </c>
      <c r="W39" s="715">
        <f t="shared" si="14"/>
        <v>100</v>
      </c>
      <c r="X39" s="1539"/>
      <c r="Y39" s="330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2"/>
      <c r="Q40" s="1536">
        <f t="shared" si="11"/>
        <v>111</v>
      </c>
      <c r="R40" s="714" t="s">
        <v>17</v>
      </c>
      <c r="S40" s="715">
        <f t="shared" si="12"/>
        <v>100</v>
      </c>
      <c r="T40" s="714" t="s">
        <v>17</v>
      </c>
      <c r="U40" s="715">
        <f t="shared" si="13"/>
        <v>100</v>
      </c>
      <c r="V40" s="714" t="s">
        <v>17</v>
      </c>
      <c r="W40" s="715">
        <f t="shared" si="14"/>
        <v>100</v>
      </c>
      <c r="X40" s="1539"/>
      <c r="Y40" s="330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94" t="str">
        <f>A41</f>
        <v>成交单价（元/平方米）</v>
      </c>
      <c r="Q41" s="3294"/>
      <c r="R41" s="3295">
        <f>E41</f>
        <v>0</v>
      </c>
      <c r="S41" s="3295"/>
      <c r="T41" s="3295">
        <f>G41</f>
        <v>0</v>
      </c>
      <c r="U41" s="3295"/>
      <c r="V41" s="3295">
        <f>I41</f>
        <v>0</v>
      </c>
      <c r="W41" s="329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94" t="str">
        <f>A42</f>
        <v>比较价值（元/平方米）</v>
      </c>
      <c r="Q42" s="3294"/>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91" t="str">
        <f>A43</f>
        <v>估价对象XX用房的比较价值（楼面单价，元/平方米）</v>
      </c>
      <c r="Q43" s="3292"/>
      <c r="R43" s="3293" t="e">
        <f>IF(F1="售价",ROUND(IF(D42="简单平均",AVERAGE(R42:V42),R42*F42+T42*H42+V42*J42),0),ROUND(IF(D42="简单平均",AVERAGE(R42:V42),R42*F42+T42*H42+V42*J42),1))</f>
        <v>#DIV/0!</v>
      </c>
      <c r="S43" s="3293"/>
      <c r="T43" s="3293"/>
      <c r="U43" s="3293"/>
      <c r="V43" s="3293"/>
      <c r="W43" s="329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估价对象为房地产，为所有。根据《国有土地使用证》[]，估价对象（分摊）出让国有建设用地使用权面积为30151.46平方米，建筑面积为97146.7平方米。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估价对象为房地产,为开发建设的，该项目尚在开发建设中。根据《国有土地使用证》[]，估价对象（分摊）出让国有建设用地使用权面积为30151.46平方米，规划建筑面积为97146.7平方米。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2021年4月23日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09" t="s">
        <v>2467</v>
      </c>
      <c r="D4" s="3310"/>
      <c r="E4" s="3311" t="s">
        <v>2468</v>
      </c>
      <c r="F4" s="3312"/>
      <c r="G4" s="3309" t="s">
        <v>2469</v>
      </c>
      <c r="H4" s="3310"/>
      <c r="I4" s="3309" t="s">
        <v>2470</v>
      </c>
      <c r="J4" s="3310"/>
      <c r="K4" s="567" t="s">
        <v>2471</v>
      </c>
      <c r="L4" s="2943"/>
      <c r="M4" s="2944"/>
      <c r="N4" s="2944"/>
      <c r="O4" s="2944"/>
      <c r="P4" s="3313" t="s">
        <v>2472</v>
      </c>
      <c r="Q4" s="3314"/>
      <c r="R4" s="3319" t="s">
        <v>2468</v>
      </c>
      <c r="S4" s="3320"/>
      <c r="T4" s="3319" t="s">
        <v>2469</v>
      </c>
      <c r="U4" s="3320"/>
      <c r="V4" s="3325" t="s">
        <v>2470</v>
      </c>
      <c r="W4" s="3325"/>
      <c r="X4" s="1539"/>
      <c r="Y4" s="3319" t="s">
        <v>2472</v>
      </c>
      <c r="Z4" s="3320"/>
      <c r="AA4" s="3306" t="s">
        <v>2468</v>
      </c>
      <c r="AB4" s="3307" t="s">
        <v>2469</v>
      </c>
      <c r="AC4" s="3306" t="s">
        <v>2470</v>
      </c>
    </row>
    <row r="5" spans="1:29" ht="15">
      <c r="A5" s="364"/>
      <c r="B5" s="365"/>
      <c r="C5" s="3328" t="s">
        <v>2363</v>
      </c>
      <c r="D5" s="3329"/>
      <c r="E5" s="3335" t="s">
        <v>2364</v>
      </c>
      <c r="F5" s="3336"/>
      <c r="G5" s="3328" t="s">
        <v>2365</v>
      </c>
      <c r="H5" s="3329"/>
      <c r="I5" s="3328" t="s">
        <v>2366</v>
      </c>
      <c r="J5" s="3329"/>
      <c r="K5" s="567"/>
      <c r="L5" s="2943"/>
      <c r="M5" s="2944"/>
      <c r="N5" s="2944"/>
      <c r="O5" s="2944"/>
      <c r="P5" s="3315"/>
      <c r="Q5" s="3316"/>
      <c r="R5" s="3321"/>
      <c r="S5" s="3322"/>
      <c r="T5" s="3321"/>
      <c r="U5" s="3322"/>
      <c r="V5" s="3325"/>
      <c r="W5" s="3325"/>
      <c r="X5" s="1539"/>
      <c r="Y5" s="3321"/>
      <c r="Z5" s="3322"/>
      <c r="AA5" s="3307"/>
      <c r="AB5" s="3307"/>
      <c r="AC5" s="3307"/>
    </row>
    <row r="6" spans="1:29" ht="15.75" thickBot="1">
      <c r="A6" s="366"/>
      <c r="B6" s="367"/>
      <c r="C6" s="3326" t="s">
        <v>2367</v>
      </c>
      <c r="D6" s="3327"/>
      <c r="E6" s="3333" t="s">
        <v>2367</v>
      </c>
      <c r="F6" s="3334"/>
      <c r="G6" s="3326" t="s">
        <v>2367</v>
      </c>
      <c r="H6" s="3327"/>
      <c r="I6" s="3326" t="s">
        <v>2367</v>
      </c>
      <c r="J6" s="3327"/>
      <c r="K6" s="567" t="s">
        <v>2368</v>
      </c>
      <c r="L6" s="2943"/>
      <c r="M6" s="2944"/>
      <c r="N6" s="2944"/>
      <c r="O6" s="2944"/>
      <c r="P6" s="3317"/>
      <c r="Q6" s="3318"/>
      <c r="R6" s="3321"/>
      <c r="S6" s="3322"/>
      <c r="T6" s="3323"/>
      <c r="U6" s="3324"/>
      <c r="V6" s="3325"/>
      <c r="W6" s="3325"/>
      <c r="X6" s="1539"/>
      <c r="Y6" s="3323"/>
      <c r="Z6" s="3324"/>
      <c r="AA6" s="3308"/>
      <c r="AB6" s="3308"/>
      <c r="AC6" s="3308"/>
    </row>
    <row r="7" spans="1:29" s="113" customFormat="1" ht="15.75" thickBot="1">
      <c r="A7" s="368" t="s">
        <v>2369</v>
      </c>
      <c r="B7" s="369"/>
      <c r="C7" s="370">
        <f>'数据-取费表'!B2</f>
        <v>44309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0" t="s">
        <v>2370</v>
      </c>
      <c r="Q7" s="3332"/>
      <c r="R7" s="710" t="s">
        <v>17</v>
      </c>
      <c r="S7" s="711">
        <f t="shared" ref="S7:S14" si="0">F7</f>
        <v>0</v>
      </c>
      <c r="T7" s="710" t="s">
        <v>17</v>
      </c>
      <c r="U7" s="711">
        <f t="shared" ref="U7:U14" si="1">H7</f>
        <v>0</v>
      </c>
      <c r="V7" s="710" t="s">
        <v>17</v>
      </c>
      <c r="W7" s="711">
        <f t="shared" ref="W7:W14" si="2">J7</f>
        <v>0</v>
      </c>
      <c r="X7" s="712"/>
      <c r="Y7" s="3330" t="s">
        <v>2370</v>
      </c>
      <c r="Z7" s="333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0" t="s">
        <v>2373</v>
      </c>
      <c r="Q8" s="3331"/>
      <c r="R8" s="710" t="s">
        <v>17</v>
      </c>
      <c r="S8" s="711">
        <f t="shared" si="0"/>
        <v>0</v>
      </c>
      <c r="T8" s="710" t="s">
        <v>17</v>
      </c>
      <c r="U8" s="711">
        <f t="shared" si="1"/>
        <v>0</v>
      </c>
      <c r="V8" s="710" t="s">
        <v>17</v>
      </c>
      <c r="W8" s="711">
        <f t="shared" si="2"/>
        <v>0</v>
      </c>
      <c r="X8" s="712"/>
      <c r="Y8" s="3330" t="s">
        <v>2373</v>
      </c>
      <c r="Z8" s="333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4"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4"/>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4"/>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4"/>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4"/>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6" t="s">
        <v>2381</v>
      </c>
      <c r="Q14" s="1536" t="str">
        <f t="shared" si="6"/>
        <v>交通便捷度</v>
      </c>
      <c r="R14" s="714" t="s">
        <v>17</v>
      </c>
      <c r="S14" s="715">
        <f t="shared" si="0"/>
        <v>100</v>
      </c>
      <c r="T14" s="714" t="s">
        <v>17</v>
      </c>
      <c r="U14" s="715">
        <f t="shared" si="1"/>
        <v>100</v>
      </c>
      <c r="V14" s="714" t="s">
        <v>17</v>
      </c>
      <c r="W14" s="715">
        <f t="shared" si="2"/>
        <v>100</v>
      </c>
      <c r="X14" s="1539"/>
      <c r="Y14" s="329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97"/>
      <c r="Q15" s="1536"/>
      <c r="R15" s="714"/>
      <c r="S15" s="715"/>
      <c r="T15" s="714"/>
      <c r="U15" s="715"/>
      <c r="V15" s="714"/>
      <c r="W15" s="715"/>
      <c r="X15" s="1539"/>
      <c r="Y15" s="329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7"/>
      <c r="Q16" s="1536" t="str">
        <f>B16</f>
        <v>公共配套设施</v>
      </c>
      <c r="R16" s="714" t="s">
        <v>17</v>
      </c>
      <c r="S16" s="715">
        <f>F16</f>
        <v>100</v>
      </c>
      <c r="T16" s="714" t="s">
        <v>17</v>
      </c>
      <c r="U16" s="715">
        <f>H16</f>
        <v>100</v>
      </c>
      <c r="V16" s="714" t="s">
        <v>17</v>
      </c>
      <c r="W16" s="715">
        <f>J16</f>
        <v>100</v>
      </c>
      <c r="X16" s="1539"/>
      <c r="Y16" s="329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297"/>
      <c r="Q17" s="1536"/>
      <c r="R17" s="714"/>
      <c r="S17" s="715"/>
      <c r="T17" s="714"/>
      <c r="U17" s="715"/>
      <c r="V17" s="714"/>
      <c r="W17" s="715"/>
      <c r="X17" s="1539"/>
      <c r="Y17" s="329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7"/>
      <c r="Q18" s="1536" t="str">
        <f>B18</f>
        <v>基础设施水平</v>
      </c>
      <c r="R18" s="714" t="s">
        <v>17</v>
      </c>
      <c r="S18" s="715">
        <f>F18</f>
        <v>100</v>
      </c>
      <c r="T18" s="714" t="s">
        <v>17</v>
      </c>
      <c r="U18" s="715">
        <f>H18</f>
        <v>100</v>
      </c>
      <c r="V18" s="714" t="s">
        <v>17</v>
      </c>
      <c r="W18" s="715">
        <f>J18</f>
        <v>100</v>
      </c>
      <c r="X18" s="1539"/>
      <c r="Y18" s="329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297"/>
      <c r="Q19" s="1536"/>
      <c r="R19" s="714"/>
      <c r="S19" s="715"/>
      <c r="T19" s="714"/>
      <c r="U19" s="715"/>
      <c r="V19" s="714"/>
      <c r="W19" s="715"/>
      <c r="X19" s="1539"/>
      <c r="Y19" s="329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7"/>
      <c r="Q20" s="1536" t="str">
        <f>B20</f>
        <v>自然及人文环境</v>
      </c>
      <c r="R20" s="714" t="s">
        <v>17</v>
      </c>
      <c r="S20" s="715">
        <f>F20</f>
        <v>100</v>
      </c>
      <c r="T20" s="714" t="s">
        <v>17</v>
      </c>
      <c r="U20" s="715">
        <f>H20</f>
        <v>100</v>
      </c>
      <c r="V20" s="714" t="s">
        <v>17</v>
      </c>
      <c r="W20" s="715">
        <f>J20</f>
        <v>100</v>
      </c>
      <c r="X20" s="1539"/>
      <c r="Y20" s="329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97"/>
      <c r="Q21" s="1536"/>
      <c r="R21" s="714"/>
      <c r="S21" s="715"/>
      <c r="T21" s="714"/>
      <c r="U21" s="715"/>
      <c r="V21" s="714"/>
      <c r="W21" s="715"/>
      <c r="X21" s="1539"/>
      <c r="Y21" s="329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7"/>
      <c r="Q22" s="1536" t="str">
        <f>B22</f>
        <v>楼层</v>
      </c>
      <c r="R22" s="714" t="s">
        <v>17</v>
      </c>
      <c r="S22" s="715">
        <f>F22</f>
        <v>100</v>
      </c>
      <c r="T22" s="714" t="s">
        <v>17</v>
      </c>
      <c r="U22" s="715">
        <f>H22</f>
        <v>100</v>
      </c>
      <c r="V22" s="714" t="s">
        <v>17</v>
      </c>
      <c r="W22" s="715">
        <f>J22</f>
        <v>100</v>
      </c>
      <c r="X22" s="1539"/>
      <c r="Y22" s="329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7"/>
      <c r="Q23" s="1536">
        <f>B23</f>
        <v>111</v>
      </c>
      <c r="R23" s="714" t="s">
        <v>17</v>
      </c>
      <c r="S23" s="715">
        <f>F23</f>
        <v>100</v>
      </c>
      <c r="T23" s="714" t="s">
        <v>17</v>
      </c>
      <c r="U23" s="715">
        <f>H23</f>
        <v>100</v>
      </c>
      <c r="V23" s="714" t="s">
        <v>17</v>
      </c>
      <c r="W23" s="715">
        <f>J23</f>
        <v>100</v>
      </c>
      <c r="X23" s="1539"/>
      <c r="Y23" s="329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7"/>
      <c r="Q24" s="1536">
        <f t="shared" ref="Q24:Q36" si="11">B24</f>
        <v>111</v>
      </c>
      <c r="R24" s="714" t="s">
        <v>17</v>
      </c>
      <c r="S24" s="715">
        <f>F24</f>
        <v>100</v>
      </c>
      <c r="T24" s="714" t="s">
        <v>17</v>
      </c>
      <c r="U24" s="715">
        <f>H24</f>
        <v>100</v>
      </c>
      <c r="V24" s="714" t="s">
        <v>17</v>
      </c>
      <c r="W24" s="715">
        <f>J24</f>
        <v>100</v>
      </c>
      <c r="X24" s="1539"/>
      <c r="Y24" s="329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7"/>
      <c r="Q25" s="1527">
        <f t="shared" si="11"/>
        <v>111</v>
      </c>
      <c r="R25" s="710" t="s">
        <v>17</v>
      </c>
      <c r="S25" s="711">
        <f>F25</f>
        <v>100</v>
      </c>
      <c r="T25" s="710" t="s">
        <v>17</v>
      </c>
      <c r="U25" s="711">
        <f>H25</f>
        <v>100</v>
      </c>
      <c r="V25" s="710" t="s">
        <v>17</v>
      </c>
      <c r="W25" s="711">
        <f>J25</f>
        <v>100</v>
      </c>
      <c r="X25" s="712"/>
      <c r="Y25" s="3297"/>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1"/>
      <c r="Q27" s="716" t="str">
        <f t="shared" si="11"/>
        <v>项目停车位配比</v>
      </c>
      <c r="R27" s="717" t="s">
        <v>17</v>
      </c>
      <c r="S27" s="718">
        <f t="shared" si="12"/>
        <v>100</v>
      </c>
      <c r="T27" s="717" t="s">
        <v>17</v>
      </c>
      <c r="U27" s="718">
        <f t="shared" si="13"/>
        <v>100</v>
      </c>
      <c r="V27" s="717" t="s">
        <v>17</v>
      </c>
      <c r="W27" s="718">
        <f t="shared" si="14"/>
        <v>100</v>
      </c>
      <c r="X27" s="719"/>
      <c r="Y27" s="330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1"/>
      <c r="Q28" s="1536" t="str">
        <f t="shared" si="11"/>
        <v>公共部分装修</v>
      </c>
      <c r="R28" s="714" t="s">
        <v>17</v>
      </c>
      <c r="S28" s="715">
        <f t="shared" si="12"/>
        <v>100</v>
      </c>
      <c r="T28" s="714" t="s">
        <v>17</v>
      </c>
      <c r="U28" s="715">
        <f t="shared" si="13"/>
        <v>100</v>
      </c>
      <c r="V28" s="714" t="s">
        <v>17</v>
      </c>
      <c r="W28" s="715">
        <f t="shared" si="14"/>
        <v>100</v>
      </c>
      <c r="X28" s="1539"/>
      <c r="Y28" s="330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1"/>
      <c r="Q29" s="1536" t="str">
        <f t="shared" si="11"/>
        <v>成新率</v>
      </c>
      <c r="R29" s="714" t="s">
        <v>17</v>
      </c>
      <c r="S29" s="715" t="e">
        <f t="shared" si="12"/>
        <v>#N/A</v>
      </c>
      <c r="T29" s="714" t="s">
        <v>17</v>
      </c>
      <c r="U29" s="715" t="e">
        <f t="shared" si="13"/>
        <v>#N/A</v>
      </c>
      <c r="V29" s="714" t="s">
        <v>17</v>
      </c>
      <c r="W29" s="715" t="e">
        <f t="shared" si="14"/>
        <v>#N/A</v>
      </c>
      <c r="X29" s="1539"/>
      <c r="Y29" s="330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1"/>
      <c r="Q30" s="1536" t="str">
        <f t="shared" si="11"/>
        <v>物业等级</v>
      </c>
      <c r="R30" s="714" t="s">
        <v>17</v>
      </c>
      <c r="S30" s="715">
        <f t="shared" si="12"/>
        <v>100</v>
      </c>
      <c r="T30" s="714" t="s">
        <v>17</v>
      </c>
      <c r="U30" s="715">
        <f t="shared" si="13"/>
        <v>100</v>
      </c>
      <c r="V30" s="714" t="s">
        <v>17</v>
      </c>
      <c r="W30" s="715">
        <f t="shared" si="14"/>
        <v>100</v>
      </c>
      <c r="X30" s="1539"/>
      <c r="Y30" s="330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1"/>
      <c r="Q31" s="1527" t="str">
        <f t="shared" si="11"/>
        <v>停车位面积</v>
      </c>
      <c r="R31" s="710" t="s">
        <v>17</v>
      </c>
      <c r="S31" s="711" t="e">
        <f t="shared" si="12"/>
        <v>#N/A</v>
      </c>
      <c r="T31" s="710" t="s">
        <v>17</v>
      </c>
      <c r="U31" s="711" t="e">
        <f t="shared" si="13"/>
        <v>#N/A</v>
      </c>
      <c r="V31" s="710" t="s">
        <v>17</v>
      </c>
      <c r="W31" s="711" t="e">
        <f t="shared" si="14"/>
        <v>#N/A</v>
      </c>
      <c r="X31" s="712"/>
      <c r="Y31" s="330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1" t="s">
        <v>2386</v>
      </c>
      <c r="Q32" s="1536" t="str">
        <f t="shared" si="11"/>
        <v>车位类型</v>
      </c>
      <c r="R32" s="714" t="s">
        <v>17</v>
      </c>
      <c r="S32" s="715">
        <f t="shared" si="12"/>
        <v>100</v>
      </c>
      <c r="T32" s="714" t="s">
        <v>17</v>
      </c>
      <c r="U32" s="715">
        <f t="shared" si="13"/>
        <v>100</v>
      </c>
      <c r="V32" s="714" t="s">
        <v>17</v>
      </c>
      <c r="W32" s="715">
        <f t="shared" si="14"/>
        <v>100</v>
      </c>
      <c r="X32" s="1539"/>
      <c r="Y32" s="330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1"/>
      <c r="Q33" s="1536" t="str">
        <f t="shared" si="11"/>
        <v>是否直接入户</v>
      </c>
      <c r="R33" s="714" t="s">
        <v>17</v>
      </c>
      <c r="S33" s="715">
        <f t="shared" si="12"/>
        <v>100</v>
      </c>
      <c r="T33" s="714" t="s">
        <v>17</v>
      </c>
      <c r="U33" s="715">
        <f t="shared" si="13"/>
        <v>100</v>
      </c>
      <c r="V33" s="714" t="s">
        <v>17</v>
      </c>
      <c r="W33" s="715">
        <f t="shared" si="14"/>
        <v>100</v>
      </c>
      <c r="X33" s="1539"/>
      <c r="Y33" s="330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1"/>
      <c r="Q34" s="1536">
        <f t="shared" si="11"/>
        <v>111</v>
      </c>
      <c r="R34" s="714" t="s">
        <v>17</v>
      </c>
      <c r="S34" s="715">
        <f t="shared" si="12"/>
        <v>100</v>
      </c>
      <c r="T34" s="714" t="s">
        <v>17</v>
      </c>
      <c r="U34" s="715">
        <f t="shared" si="13"/>
        <v>100</v>
      </c>
      <c r="V34" s="714" t="s">
        <v>17</v>
      </c>
      <c r="W34" s="715">
        <f t="shared" si="14"/>
        <v>100</v>
      </c>
      <c r="X34" s="1539"/>
      <c r="Y34" s="330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1"/>
      <c r="Q35" s="716">
        <f t="shared" si="11"/>
        <v>111</v>
      </c>
      <c r="R35" s="717" t="s">
        <v>17</v>
      </c>
      <c r="S35" s="718">
        <f t="shared" si="12"/>
        <v>100</v>
      </c>
      <c r="T35" s="717" t="s">
        <v>17</v>
      </c>
      <c r="U35" s="718">
        <f t="shared" si="13"/>
        <v>100</v>
      </c>
      <c r="V35" s="717" t="s">
        <v>17</v>
      </c>
      <c r="W35" s="718">
        <f t="shared" si="14"/>
        <v>100</v>
      </c>
      <c r="X35" s="719"/>
      <c r="Y35" s="330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1"/>
      <c r="Q36" s="1536">
        <f t="shared" si="11"/>
        <v>111</v>
      </c>
      <c r="R36" s="714" t="s">
        <v>17</v>
      </c>
      <c r="S36" s="715">
        <f t="shared" si="12"/>
        <v>100</v>
      </c>
      <c r="T36" s="714" t="s">
        <v>17</v>
      </c>
      <c r="U36" s="715">
        <f t="shared" si="13"/>
        <v>100</v>
      </c>
      <c r="V36" s="714" t="s">
        <v>17</v>
      </c>
      <c r="W36" s="715">
        <f t="shared" si="14"/>
        <v>100</v>
      </c>
      <c r="X36" s="1539"/>
      <c r="Y36" s="330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294" t="str">
        <f>A37</f>
        <v>成交单价</v>
      </c>
      <c r="Q37" s="3294"/>
      <c r="R37" s="3295">
        <f>E37</f>
        <v>0</v>
      </c>
      <c r="S37" s="3295"/>
      <c r="T37" s="3295">
        <f>G37</f>
        <v>0</v>
      </c>
      <c r="U37" s="3295"/>
      <c r="V37" s="3295">
        <f>I37</f>
        <v>0</v>
      </c>
      <c r="W37" s="329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2"/>
      <c r="M38" s="2953"/>
      <c r="N38" s="2953"/>
      <c r="O38" s="2953"/>
      <c r="P38" s="3294" t="str">
        <f>A38</f>
        <v>比较价值（元/平方米）</v>
      </c>
      <c r="Q38" s="3294"/>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291" t="str">
        <f>A39</f>
        <v>估价对象XX用房的比较价值（楼面单价，元/平方米）</v>
      </c>
      <c r="Q39" s="3292"/>
      <c r="R39" s="3353" t="e">
        <f>IF(F1="售价",ROUND(IF(D38="简单平均",AVERAGE(R38:W38),R38*F38+T38*H38+V38*J38),0),ROUND(IF(D38="简单平均",AVERAGE(R38:V38),R38*F38+T38*H38+V38*J38),1))</f>
        <v>#DIV/0!</v>
      </c>
      <c r="S39" s="3353"/>
      <c r="T39" s="3353"/>
      <c r="U39" s="3353"/>
      <c r="V39" s="3353"/>
      <c r="W39" s="3353"/>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09" t="s">
        <v>2467</v>
      </c>
      <c r="D4" s="3310"/>
      <c r="E4" s="3311" t="s">
        <v>2468</v>
      </c>
      <c r="F4" s="3312"/>
      <c r="G4" s="3309" t="s">
        <v>2469</v>
      </c>
      <c r="H4" s="3310"/>
      <c r="I4" s="3309" t="s">
        <v>2470</v>
      </c>
      <c r="J4" s="3310"/>
      <c r="K4" s="567" t="s">
        <v>2471</v>
      </c>
      <c r="L4" s="2943"/>
      <c r="M4" s="2944"/>
      <c r="N4" s="2944"/>
      <c r="O4" s="2944"/>
      <c r="P4" s="3313" t="s">
        <v>2472</v>
      </c>
      <c r="Q4" s="3314"/>
      <c r="R4" s="3319" t="s">
        <v>2468</v>
      </c>
      <c r="S4" s="3320"/>
      <c r="T4" s="3319" t="s">
        <v>2469</v>
      </c>
      <c r="U4" s="3320"/>
      <c r="V4" s="3325" t="s">
        <v>2470</v>
      </c>
      <c r="W4" s="3325"/>
      <c r="X4" s="1539"/>
      <c r="Y4" s="3319" t="s">
        <v>2472</v>
      </c>
      <c r="Z4" s="3320"/>
      <c r="AA4" s="3306" t="s">
        <v>2468</v>
      </c>
      <c r="AB4" s="3307" t="s">
        <v>2469</v>
      </c>
      <c r="AC4" s="3306" t="s">
        <v>2470</v>
      </c>
    </row>
    <row r="5" spans="1:29" ht="15">
      <c r="A5" s="364"/>
      <c r="B5" s="365"/>
      <c r="C5" s="3328" t="s">
        <v>2363</v>
      </c>
      <c r="D5" s="3329"/>
      <c r="E5" s="3335" t="s">
        <v>2364</v>
      </c>
      <c r="F5" s="3336"/>
      <c r="G5" s="3328" t="s">
        <v>2365</v>
      </c>
      <c r="H5" s="3329"/>
      <c r="I5" s="3328" t="s">
        <v>2366</v>
      </c>
      <c r="J5" s="3329"/>
      <c r="K5" s="567"/>
      <c r="L5" s="2943"/>
      <c r="M5" s="2944"/>
      <c r="N5" s="2944"/>
      <c r="O5" s="2944"/>
      <c r="P5" s="3315"/>
      <c r="Q5" s="3316"/>
      <c r="R5" s="3321"/>
      <c r="S5" s="3322"/>
      <c r="T5" s="3321"/>
      <c r="U5" s="3322"/>
      <c r="V5" s="3325"/>
      <c r="W5" s="3325"/>
      <c r="X5" s="1539"/>
      <c r="Y5" s="3321"/>
      <c r="Z5" s="3322"/>
      <c r="AA5" s="3307"/>
      <c r="AB5" s="3307"/>
      <c r="AC5" s="3307"/>
    </row>
    <row r="6" spans="1:29" ht="15.75" thickBot="1">
      <c r="A6" s="366"/>
      <c r="B6" s="367"/>
      <c r="C6" s="3326" t="s">
        <v>2367</v>
      </c>
      <c r="D6" s="3327"/>
      <c r="E6" s="3333" t="s">
        <v>2367</v>
      </c>
      <c r="F6" s="3334"/>
      <c r="G6" s="3326" t="s">
        <v>2367</v>
      </c>
      <c r="H6" s="3327"/>
      <c r="I6" s="3326" t="s">
        <v>2367</v>
      </c>
      <c r="J6" s="3327"/>
      <c r="K6" s="567" t="s">
        <v>2368</v>
      </c>
      <c r="L6" s="2943"/>
      <c r="M6" s="2944"/>
      <c r="N6" s="2944"/>
      <c r="O6" s="2944"/>
      <c r="P6" s="3317"/>
      <c r="Q6" s="3318"/>
      <c r="R6" s="3321"/>
      <c r="S6" s="3322"/>
      <c r="T6" s="3323"/>
      <c r="U6" s="3324"/>
      <c r="V6" s="3325"/>
      <c r="W6" s="3325"/>
      <c r="X6" s="1539"/>
      <c r="Y6" s="3323"/>
      <c r="Z6" s="3324"/>
      <c r="AA6" s="3308"/>
      <c r="AB6" s="3308"/>
      <c r="AC6" s="3308"/>
    </row>
    <row r="7" spans="1:29" s="113" customFormat="1" ht="15.75" thickBot="1">
      <c r="A7" s="368" t="s">
        <v>2369</v>
      </c>
      <c r="B7" s="369"/>
      <c r="C7" s="370">
        <f>'数据-取费表'!B2</f>
        <v>44309</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30" t="s">
        <v>2370</v>
      </c>
      <c r="Q7" s="3332"/>
      <c r="R7" s="710" t="s">
        <v>17</v>
      </c>
      <c r="S7" s="711">
        <f t="shared" ref="S7:S14" si="0">F7</f>
        <v>0</v>
      </c>
      <c r="T7" s="710" t="s">
        <v>17</v>
      </c>
      <c r="U7" s="711">
        <f t="shared" ref="U7:U14" si="1">H7</f>
        <v>0</v>
      </c>
      <c r="V7" s="710" t="s">
        <v>17</v>
      </c>
      <c r="W7" s="711">
        <f t="shared" ref="W7:W14" si="2">J7</f>
        <v>0</v>
      </c>
      <c r="X7" s="712"/>
      <c r="Y7" s="3330" t="s">
        <v>2370</v>
      </c>
      <c r="Z7" s="333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0" t="s">
        <v>2373</v>
      </c>
      <c r="Q8" s="3331"/>
      <c r="R8" s="710" t="s">
        <v>17</v>
      </c>
      <c r="S8" s="711">
        <f t="shared" si="0"/>
        <v>0</v>
      </c>
      <c r="T8" s="710" t="s">
        <v>17</v>
      </c>
      <c r="U8" s="711">
        <f t="shared" si="1"/>
        <v>0</v>
      </c>
      <c r="V8" s="710" t="s">
        <v>17</v>
      </c>
      <c r="W8" s="711">
        <f t="shared" si="2"/>
        <v>0</v>
      </c>
      <c r="X8" s="712"/>
      <c r="Y8" s="3330" t="s">
        <v>2373</v>
      </c>
      <c r="Z8" s="333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4"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4"/>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4"/>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4"/>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294"/>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6" t="s">
        <v>2381</v>
      </c>
      <c r="Q14" s="1536" t="str">
        <f t="shared" si="6"/>
        <v>交通便捷度</v>
      </c>
      <c r="R14" s="714" t="s">
        <v>17</v>
      </c>
      <c r="S14" s="715">
        <f t="shared" si="0"/>
        <v>100</v>
      </c>
      <c r="T14" s="714" t="s">
        <v>17</v>
      </c>
      <c r="U14" s="715">
        <f t="shared" si="1"/>
        <v>100</v>
      </c>
      <c r="V14" s="714" t="s">
        <v>17</v>
      </c>
      <c r="W14" s="715">
        <f t="shared" si="2"/>
        <v>100</v>
      </c>
      <c r="X14" s="1539"/>
      <c r="Y14" s="329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97"/>
      <c r="Q15" s="1536"/>
      <c r="R15" s="714"/>
      <c r="S15" s="715"/>
      <c r="T15" s="714"/>
      <c r="U15" s="715"/>
      <c r="V15" s="714"/>
      <c r="W15" s="715"/>
      <c r="X15" s="1539"/>
      <c r="Y15" s="329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7"/>
      <c r="Q16" s="1536" t="str">
        <f>B16</f>
        <v>公共配套设施</v>
      </c>
      <c r="R16" s="714" t="s">
        <v>17</v>
      </c>
      <c r="S16" s="715">
        <f>F16</f>
        <v>100</v>
      </c>
      <c r="T16" s="714" t="s">
        <v>17</v>
      </c>
      <c r="U16" s="715">
        <f>H16</f>
        <v>100</v>
      </c>
      <c r="V16" s="714" t="s">
        <v>17</v>
      </c>
      <c r="W16" s="715">
        <f>J16</f>
        <v>100</v>
      </c>
      <c r="X16" s="1539"/>
      <c r="Y16" s="329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297"/>
      <c r="Q17" s="1536"/>
      <c r="R17" s="714"/>
      <c r="S17" s="715"/>
      <c r="T17" s="714"/>
      <c r="U17" s="715"/>
      <c r="V17" s="714"/>
      <c r="W17" s="715"/>
      <c r="X17" s="1539"/>
      <c r="Y17" s="329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7"/>
      <c r="Q18" s="1536" t="str">
        <f>B18</f>
        <v>基础设施水平</v>
      </c>
      <c r="R18" s="714" t="s">
        <v>17</v>
      </c>
      <c r="S18" s="715">
        <f>F18</f>
        <v>100</v>
      </c>
      <c r="T18" s="714" t="s">
        <v>17</v>
      </c>
      <c r="U18" s="715">
        <f>H18</f>
        <v>100</v>
      </c>
      <c r="V18" s="714" t="s">
        <v>17</v>
      </c>
      <c r="W18" s="715">
        <f>J18</f>
        <v>100</v>
      </c>
      <c r="X18" s="1539"/>
      <c r="Y18" s="329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297"/>
      <c r="Q19" s="1536"/>
      <c r="R19" s="714"/>
      <c r="S19" s="715"/>
      <c r="T19" s="714"/>
      <c r="U19" s="715"/>
      <c r="V19" s="714"/>
      <c r="W19" s="715"/>
      <c r="X19" s="1539"/>
      <c r="Y19" s="329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7"/>
      <c r="Q20" s="1536" t="str">
        <f>B20</f>
        <v>自然及人文环境</v>
      </c>
      <c r="R20" s="714" t="s">
        <v>17</v>
      </c>
      <c r="S20" s="715">
        <f>F20</f>
        <v>100</v>
      </c>
      <c r="T20" s="714" t="s">
        <v>17</v>
      </c>
      <c r="U20" s="715">
        <f>H20</f>
        <v>100</v>
      </c>
      <c r="V20" s="714" t="s">
        <v>17</v>
      </c>
      <c r="W20" s="715">
        <f>J20</f>
        <v>100</v>
      </c>
      <c r="X20" s="1539"/>
      <c r="Y20" s="329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97"/>
      <c r="Q21" s="1536"/>
      <c r="R21" s="714"/>
      <c r="S21" s="715"/>
      <c r="T21" s="714"/>
      <c r="U21" s="715"/>
      <c r="V21" s="714"/>
      <c r="W21" s="715"/>
      <c r="X21" s="1539"/>
      <c r="Y21" s="329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7"/>
      <c r="Q22" s="1536" t="str">
        <f>B22</f>
        <v>楼层</v>
      </c>
      <c r="R22" s="714" t="s">
        <v>17</v>
      </c>
      <c r="S22" s="715">
        <f>F22</f>
        <v>100</v>
      </c>
      <c r="T22" s="714" t="s">
        <v>17</v>
      </c>
      <c r="U22" s="715">
        <f>H22</f>
        <v>100</v>
      </c>
      <c r="V22" s="714" t="s">
        <v>17</v>
      </c>
      <c r="W22" s="715">
        <f>J22</f>
        <v>100</v>
      </c>
      <c r="X22" s="1539"/>
      <c r="Y22" s="329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7"/>
      <c r="Q23" s="1536">
        <f>B23</f>
        <v>111</v>
      </c>
      <c r="R23" s="714" t="s">
        <v>17</v>
      </c>
      <c r="S23" s="715">
        <f>F23</f>
        <v>100</v>
      </c>
      <c r="T23" s="714" t="s">
        <v>17</v>
      </c>
      <c r="U23" s="715">
        <f>H23</f>
        <v>100</v>
      </c>
      <c r="V23" s="714" t="s">
        <v>17</v>
      </c>
      <c r="W23" s="715">
        <f>J23</f>
        <v>100</v>
      </c>
      <c r="X23" s="1539"/>
      <c r="Y23" s="329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7"/>
      <c r="Q24" s="1536">
        <f t="shared" ref="Q24:Q34" si="11">B24</f>
        <v>111</v>
      </c>
      <c r="R24" s="714" t="s">
        <v>17</v>
      </c>
      <c r="S24" s="715">
        <f>F24</f>
        <v>100</v>
      </c>
      <c r="T24" s="714" t="s">
        <v>17</v>
      </c>
      <c r="U24" s="715">
        <f>H24</f>
        <v>100</v>
      </c>
      <c r="V24" s="714" t="s">
        <v>17</v>
      </c>
      <c r="W24" s="715">
        <f>J24</f>
        <v>100</v>
      </c>
      <c r="X24" s="1539"/>
      <c r="Y24" s="329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97"/>
      <c r="Q25" s="1527">
        <f t="shared" si="11"/>
        <v>111</v>
      </c>
      <c r="R25" s="710" t="s">
        <v>17</v>
      </c>
      <c r="S25" s="711">
        <f>F25</f>
        <v>100</v>
      </c>
      <c r="T25" s="710" t="s">
        <v>17</v>
      </c>
      <c r="U25" s="711">
        <f>H25</f>
        <v>100</v>
      </c>
      <c r="V25" s="710" t="s">
        <v>17</v>
      </c>
      <c r="W25" s="711">
        <f>J25</f>
        <v>100</v>
      </c>
      <c r="X25" s="712"/>
      <c r="Y25" s="3297"/>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5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1"/>
      <c r="Q27" s="716" t="str">
        <f t="shared" si="11"/>
        <v>成新率</v>
      </c>
      <c r="R27" s="717" t="s">
        <v>17</v>
      </c>
      <c r="S27" s="718" t="e">
        <f t="shared" si="12"/>
        <v>#N/A</v>
      </c>
      <c r="T27" s="717" t="s">
        <v>17</v>
      </c>
      <c r="U27" s="718" t="e">
        <f t="shared" si="13"/>
        <v>#N/A</v>
      </c>
      <c r="V27" s="717" t="s">
        <v>17</v>
      </c>
      <c r="W27" s="718" t="e">
        <f t="shared" si="14"/>
        <v>#N/A</v>
      </c>
      <c r="X27" s="719"/>
      <c r="Y27" s="330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1"/>
      <c r="Q28" s="1536" t="str">
        <f t="shared" si="11"/>
        <v>物业等级</v>
      </c>
      <c r="R28" s="714" t="s">
        <v>17</v>
      </c>
      <c r="S28" s="715">
        <f t="shared" si="12"/>
        <v>100</v>
      </c>
      <c r="T28" s="714" t="s">
        <v>17</v>
      </c>
      <c r="U28" s="715">
        <f t="shared" si="13"/>
        <v>100</v>
      </c>
      <c r="V28" s="714" t="s">
        <v>17</v>
      </c>
      <c r="W28" s="715">
        <f t="shared" si="14"/>
        <v>100</v>
      </c>
      <c r="X28" s="1539"/>
      <c r="Y28" s="330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1"/>
      <c r="Q29" s="1536" t="str">
        <f t="shared" si="11"/>
        <v>有无电梯</v>
      </c>
      <c r="R29" s="714" t="s">
        <v>17</v>
      </c>
      <c r="S29" s="715">
        <f t="shared" si="12"/>
        <v>100</v>
      </c>
      <c r="T29" s="714" t="s">
        <v>17</v>
      </c>
      <c r="U29" s="715">
        <f t="shared" si="13"/>
        <v>100</v>
      </c>
      <c r="V29" s="714" t="s">
        <v>17</v>
      </c>
      <c r="W29" s="715">
        <f t="shared" si="14"/>
        <v>100</v>
      </c>
      <c r="X29" s="1539"/>
      <c r="Y29" s="330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1"/>
      <c r="Q30" s="1536" t="str">
        <f t="shared" si="11"/>
        <v>建筑面积</v>
      </c>
      <c r="R30" s="714" t="s">
        <v>17</v>
      </c>
      <c r="S30" s="715" t="e">
        <f t="shared" si="12"/>
        <v>#N/A</v>
      </c>
      <c r="T30" s="714" t="s">
        <v>17</v>
      </c>
      <c r="U30" s="715" t="e">
        <f t="shared" si="13"/>
        <v>#N/A</v>
      </c>
      <c r="V30" s="714" t="s">
        <v>17</v>
      </c>
      <c r="W30" s="715" t="e">
        <f t="shared" si="14"/>
        <v>#N/A</v>
      </c>
      <c r="X30" s="1539"/>
      <c r="Y30" s="330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1"/>
      <c r="Q31" s="1527" t="str">
        <f t="shared" si="11"/>
        <v>是否封闭</v>
      </c>
      <c r="R31" s="710" t="s">
        <v>17</v>
      </c>
      <c r="S31" s="711">
        <f t="shared" si="12"/>
        <v>100</v>
      </c>
      <c r="T31" s="710" t="s">
        <v>17</v>
      </c>
      <c r="U31" s="711">
        <f t="shared" si="13"/>
        <v>100</v>
      </c>
      <c r="V31" s="710" t="s">
        <v>17</v>
      </c>
      <c r="W31" s="711">
        <f t="shared" si="14"/>
        <v>100</v>
      </c>
      <c r="X31" s="712"/>
      <c r="Y31" s="330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1" t="s">
        <v>2386</v>
      </c>
      <c r="Q32" s="1536">
        <f t="shared" si="11"/>
        <v>111</v>
      </c>
      <c r="R32" s="714" t="s">
        <v>17</v>
      </c>
      <c r="S32" s="715">
        <f t="shared" si="12"/>
        <v>100</v>
      </c>
      <c r="T32" s="714" t="s">
        <v>17</v>
      </c>
      <c r="U32" s="715">
        <f t="shared" si="13"/>
        <v>100</v>
      </c>
      <c r="V32" s="714" t="s">
        <v>17</v>
      </c>
      <c r="W32" s="715">
        <f t="shared" si="14"/>
        <v>100</v>
      </c>
      <c r="X32" s="1539"/>
      <c r="Y32" s="330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1"/>
      <c r="Q33" s="1536">
        <f t="shared" si="11"/>
        <v>111</v>
      </c>
      <c r="R33" s="714" t="s">
        <v>17</v>
      </c>
      <c r="S33" s="715">
        <f t="shared" si="12"/>
        <v>100</v>
      </c>
      <c r="T33" s="714" t="s">
        <v>17</v>
      </c>
      <c r="U33" s="715">
        <f t="shared" si="13"/>
        <v>100</v>
      </c>
      <c r="V33" s="714" t="s">
        <v>17</v>
      </c>
      <c r="W33" s="715">
        <f t="shared" si="14"/>
        <v>100</v>
      </c>
      <c r="X33" s="1539"/>
      <c r="Y33" s="330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01"/>
      <c r="Q34" s="1536">
        <f t="shared" si="11"/>
        <v>111</v>
      </c>
      <c r="R34" s="714" t="s">
        <v>17</v>
      </c>
      <c r="S34" s="715">
        <f t="shared" si="12"/>
        <v>100</v>
      </c>
      <c r="T34" s="714" t="s">
        <v>17</v>
      </c>
      <c r="U34" s="715">
        <f t="shared" si="13"/>
        <v>100</v>
      </c>
      <c r="V34" s="714" t="s">
        <v>17</v>
      </c>
      <c r="W34" s="715">
        <f t="shared" si="14"/>
        <v>100</v>
      </c>
      <c r="X34" s="1539"/>
      <c r="Y34" s="330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294" t="str">
        <f>A35</f>
        <v>成交单价（元/平方米）</v>
      </c>
      <c r="Q35" s="3294"/>
      <c r="R35" s="3295">
        <f>E35</f>
        <v>0</v>
      </c>
      <c r="S35" s="3295"/>
      <c r="T35" s="3295">
        <f>G35</f>
        <v>0</v>
      </c>
      <c r="U35" s="3295"/>
      <c r="V35" s="3295">
        <f>I35</f>
        <v>0</v>
      </c>
      <c r="W35" s="329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2"/>
      <c r="M36" s="2953"/>
      <c r="N36" s="2944"/>
      <c r="O36" s="2953"/>
      <c r="P36" s="3294" t="str">
        <f>A36</f>
        <v>比较价值（元/平方米）</v>
      </c>
      <c r="Q36" s="3294"/>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291" t="str">
        <f>A37</f>
        <v>估价对象XX用房的比较价值（楼面单价，元/平方米）</v>
      </c>
      <c r="Q37" s="3292"/>
      <c r="R37" s="3353" t="e">
        <f>IF(F1="售价",ROUND(IF(D36="简单平均",AVERAGE(R36:W36),R36*F36+T36*H36+V36*J36),0),ROUND(IF(D36="简单平均",AVERAGE(R36:V36),R36*F36+T36*H36+V36*J36),1))</f>
        <v>#DIV/0!</v>
      </c>
      <c r="S37" s="3353"/>
      <c r="T37" s="3353"/>
      <c r="U37" s="3353"/>
      <c r="V37" s="3353"/>
      <c r="W37" s="3353"/>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21" zoomScale="80" zoomScaleNormal="60" zoomScaleSheetLayoutView="80" workbookViewId="0">
      <selection activeCell="E56" sqref="E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33757</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3475</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09" t="s">
        <v>2467</v>
      </c>
      <c r="D4" s="3310"/>
      <c r="E4" s="3311" t="s">
        <v>2468</v>
      </c>
      <c r="F4" s="3312"/>
      <c r="G4" s="3309" t="s">
        <v>2469</v>
      </c>
      <c r="H4" s="3310"/>
      <c r="I4" s="3309" t="s">
        <v>2470</v>
      </c>
      <c r="J4" s="3310"/>
      <c r="K4" s="567" t="s">
        <v>2471</v>
      </c>
      <c r="L4" s="2943"/>
      <c r="M4" s="2944"/>
      <c r="N4" s="2944"/>
      <c r="O4" s="2944"/>
      <c r="P4" s="3313" t="s">
        <v>2472</v>
      </c>
      <c r="Q4" s="3314"/>
      <c r="R4" s="3319" t="s">
        <v>2468</v>
      </c>
      <c r="S4" s="3320"/>
      <c r="T4" s="3319" t="s">
        <v>2469</v>
      </c>
      <c r="U4" s="3320"/>
      <c r="V4" s="3325" t="s">
        <v>2470</v>
      </c>
      <c r="W4" s="3325"/>
      <c r="X4" s="1539"/>
      <c r="Y4" s="3319" t="s">
        <v>2472</v>
      </c>
      <c r="Z4" s="3320"/>
      <c r="AA4" s="3306" t="s">
        <v>2468</v>
      </c>
      <c r="AB4" s="3307" t="s">
        <v>2469</v>
      </c>
      <c r="AC4" s="3306" t="s">
        <v>2470</v>
      </c>
    </row>
    <row r="5" spans="1:30" ht="15">
      <c r="A5" s="364"/>
      <c r="B5" s="365"/>
      <c r="C5" s="3328" t="s">
        <v>2363</v>
      </c>
      <c r="D5" s="3329"/>
      <c r="E5" s="3335" t="str">
        <f>土地案例!A6</f>
        <v>GN-RJ-03-11</v>
      </c>
      <c r="F5" s="3336"/>
      <c r="G5" s="3328" t="str">
        <f>土地案例!A42</f>
        <v>GN-YX-02-30-1</v>
      </c>
      <c r="H5" s="3329"/>
      <c r="I5" s="3328" t="str">
        <f>土地案例!A83</f>
        <v>积水潭医院南</v>
      </c>
      <c r="J5" s="3329"/>
      <c r="K5" s="567"/>
      <c r="L5" s="2943"/>
      <c r="M5" s="2944"/>
      <c r="N5" s="2944"/>
      <c r="O5" s="2944"/>
      <c r="P5" s="3315"/>
      <c r="Q5" s="3316"/>
      <c r="R5" s="3321"/>
      <c r="S5" s="3322"/>
      <c r="T5" s="3321"/>
      <c r="U5" s="3322"/>
      <c r="V5" s="3325"/>
      <c r="W5" s="3325"/>
      <c r="X5" s="1539"/>
      <c r="Y5" s="3321"/>
      <c r="Z5" s="3322"/>
      <c r="AA5" s="3307"/>
      <c r="AB5" s="3307"/>
      <c r="AC5" s="3307"/>
    </row>
    <row r="6" spans="1:30" ht="15.75" thickBot="1">
      <c r="A6" s="366"/>
      <c r="B6" s="367"/>
      <c r="C6" s="3326" t="s">
        <v>2367</v>
      </c>
      <c r="D6" s="3327"/>
      <c r="E6" s="3333" t="s">
        <v>2367</v>
      </c>
      <c r="F6" s="3334"/>
      <c r="G6" s="3326" t="s">
        <v>2367</v>
      </c>
      <c r="H6" s="3327"/>
      <c r="I6" s="3326" t="s">
        <v>2367</v>
      </c>
      <c r="J6" s="3327"/>
      <c r="K6" s="567" t="s">
        <v>2368</v>
      </c>
      <c r="L6" s="2943"/>
      <c r="M6" s="2944"/>
      <c r="N6" s="2944"/>
      <c r="O6" s="2944"/>
      <c r="P6" s="3317"/>
      <c r="Q6" s="3318"/>
      <c r="R6" s="3321"/>
      <c r="S6" s="3322"/>
      <c r="T6" s="3323"/>
      <c r="U6" s="3324"/>
      <c r="V6" s="3325"/>
      <c r="W6" s="3325"/>
      <c r="X6" s="1539"/>
      <c r="Y6" s="3323"/>
      <c r="Z6" s="3324"/>
      <c r="AA6" s="3308"/>
      <c r="AB6" s="3308"/>
      <c r="AC6" s="3308"/>
    </row>
    <row r="7" spans="1:30" s="113" customFormat="1" ht="15.75" thickBot="1">
      <c r="A7" s="368" t="s">
        <v>2369</v>
      </c>
      <c r="B7" s="369"/>
      <c r="C7" s="370">
        <f>'数据-取费表'!B2</f>
        <v>44309</v>
      </c>
      <c r="D7" s="371">
        <v>100</v>
      </c>
      <c r="E7" s="372" t="str">
        <f>土地案例!I6</f>
        <v>2020-07-22</v>
      </c>
      <c r="F7" s="373">
        <f>SUMIF(70:70,YEAR(E7)&amp;"-"&amp;INT((MONTH(E7)+2)/3),71:71)</f>
        <v>98.5</v>
      </c>
      <c r="G7" s="2160" t="str">
        <f>土地案例!I42</f>
        <v>2018-11-07</v>
      </c>
      <c r="H7" s="371">
        <f>SUMIF(70:70,YEAR(G7)&amp;"-"&amp;INT((MONTH(G7)+2)/3),71:71)</f>
        <v>95</v>
      </c>
      <c r="I7" s="2160" t="str">
        <f>土地案例!I83</f>
        <v>2018-10-24</v>
      </c>
      <c r="J7" s="371">
        <f>SUMIF(70:70,YEAR(I7)&amp;"-"&amp;INT((MONTH(I7)+2)/3),71:71)</f>
        <v>95</v>
      </c>
      <c r="K7" s="568"/>
      <c r="L7" s="2945"/>
      <c r="M7" s="2946"/>
      <c r="N7" s="2946"/>
      <c r="O7" s="2946"/>
      <c r="P7" s="3330" t="s">
        <v>2370</v>
      </c>
      <c r="Q7" s="3332"/>
      <c r="R7" s="710" t="s">
        <v>17</v>
      </c>
      <c r="S7" s="711">
        <f t="shared" ref="S7:S15" si="0">F7</f>
        <v>98.5</v>
      </c>
      <c r="T7" s="710" t="s">
        <v>17</v>
      </c>
      <c r="U7" s="711">
        <f t="shared" ref="U7:U15" si="1">H7</f>
        <v>95</v>
      </c>
      <c r="V7" s="710" t="s">
        <v>17</v>
      </c>
      <c r="W7" s="711">
        <f t="shared" ref="W7:W15" si="2">J7</f>
        <v>95</v>
      </c>
      <c r="X7" s="712"/>
      <c r="Y7" s="3330" t="s">
        <v>2370</v>
      </c>
      <c r="Z7" s="3331"/>
      <c r="AA7" s="713">
        <f>D7/F7</f>
        <v>1.015228426395939</v>
      </c>
      <c r="AB7" s="713">
        <f>D7/H7</f>
        <v>1.0526315789473684</v>
      </c>
      <c r="AC7" s="713">
        <f>D7/J7</f>
        <v>1.0526315789473684</v>
      </c>
    </row>
    <row r="8" spans="1:30" s="113" customFormat="1" ht="15.75" thickBot="1">
      <c r="A8" s="368" t="s">
        <v>2371</v>
      </c>
      <c r="B8" s="369"/>
      <c r="C8" s="374" t="s">
        <v>2372</v>
      </c>
      <c r="D8" s="371">
        <v>100</v>
      </c>
      <c r="E8" s="374" t="s">
        <v>3401</v>
      </c>
      <c r="F8" s="373">
        <f>SUMIF(73:73,E8,74:74)-SUMIF(73:73,C8,74:74)+100</f>
        <v>100</v>
      </c>
      <c r="G8" s="374" t="s">
        <v>3401</v>
      </c>
      <c r="H8" s="371">
        <f>SUMIF(73:73,G8,74:74)-SUMIF(73:73,C8,74:74)+100</f>
        <v>100</v>
      </c>
      <c r="I8" s="374" t="s">
        <v>3401</v>
      </c>
      <c r="J8" s="371">
        <f>SUMIF(73:73,I8,74:74)-SUMIF(73:73,C8,74:74)+100</f>
        <v>100</v>
      </c>
      <c r="K8" s="568"/>
      <c r="L8" s="2945"/>
      <c r="M8" s="2946"/>
      <c r="N8" s="2946"/>
      <c r="O8" s="2946"/>
      <c r="P8" s="3330" t="s">
        <v>2373</v>
      </c>
      <c r="Q8" s="3331"/>
      <c r="R8" s="710" t="s">
        <v>17</v>
      </c>
      <c r="S8" s="711">
        <f t="shared" si="0"/>
        <v>100</v>
      </c>
      <c r="T8" s="710" t="s">
        <v>17</v>
      </c>
      <c r="U8" s="711">
        <f t="shared" si="1"/>
        <v>100</v>
      </c>
      <c r="V8" s="710" t="s">
        <v>17</v>
      </c>
      <c r="W8" s="711">
        <f t="shared" si="2"/>
        <v>100</v>
      </c>
      <c r="X8" s="712"/>
      <c r="Y8" s="3330" t="s">
        <v>2373</v>
      </c>
      <c r="Z8" s="3331"/>
      <c r="AA8" s="713">
        <f t="shared" ref="AA8:AA45" si="3">D8/F8</f>
        <v>1</v>
      </c>
      <c r="AB8" s="713">
        <f t="shared" ref="AB8:AB45" si="4">D8/H8</f>
        <v>1</v>
      </c>
      <c r="AC8" s="713">
        <f t="shared" ref="AC8:AC45" si="5">D8/J8</f>
        <v>1</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294"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8"/>
      <c r="L10" s="2947"/>
      <c r="M10" s="2948"/>
      <c r="N10" s="2948"/>
      <c r="O10" s="3001"/>
      <c r="P10" s="3294"/>
      <c r="Q10" s="1527" t="str">
        <f t="shared" si="6"/>
        <v>土地使用年限（年）</v>
      </c>
      <c r="R10" s="710" t="s">
        <v>17</v>
      </c>
      <c r="S10" s="711">
        <f t="shared" si="0"/>
        <v>103</v>
      </c>
      <c r="T10" s="710" t="s">
        <v>17</v>
      </c>
      <c r="U10" s="711">
        <f t="shared" si="1"/>
        <v>103</v>
      </c>
      <c r="V10" s="710" t="s">
        <v>17</v>
      </c>
      <c r="W10" s="711">
        <f t="shared" si="2"/>
        <v>103</v>
      </c>
      <c r="X10" s="712"/>
      <c r="Y10" s="3164"/>
      <c r="Z10" s="55" t="str">
        <f t="shared" si="7"/>
        <v>土地使用年限（年）</v>
      </c>
      <c r="AA10" s="713">
        <f t="shared" si="3"/>
        <v>0.970873786407767</v>
      </c>
      <c r="AB10" s="713">
        <f t="shared" si="4"/>
        <v>0.970873786407767</v>
      </c>
      <c r="AC10" s="713">
        <f t="shared" si="5"/>
        <v>0.970873786407767</v>
      </c>
    </row>
    <row r="11" spans="1:30" ht="15">
      <c r="A11" s="387"/>
      <c r="B11" s="381" t="s">
        <v>2379</v>
      </c>
      <c r="C11" s="388">
        <f>'数据-汇总表'!I6</f>
        <v>2.89</v>
      </c>
      <c r="D11" s="132">
        <v>100</v>
      </c>
      <c r="E11" s="388">
        <v>1.2</v>
      </c>
      <c r="F11" s="132">
        <f>LOOKUP(E11,80:80,81:81)-LOOKUP(C11,80:80,81:81)+100</f>
        <v>105</v>
      </c>
      <c r="G11" s="389">
        <v>2</v>
      </c>
      <c r="H11" s="132">
        <f>LOOKUP(G11,80:80,81:81)-LOOKUP(C11,80:80,81:81)+100</f>
        <v>100</v>
      </c>
      <c r="I11" s="388">
        <v>1.5</v>
      </c>
      <c r="J11" s="132">
        <f>LOOKUP(I11,80:80,81:81)-LOOKUP(C11,80:80,81:81)+100</f>
        <v>105</v>
      </c>
      <c r="K11" s="629">
        <v>5</v>
      </c>
      <c r="L11" s="2949"/>
      <c r="M11" s="2944"/>
      <c r="N11" s="2944"/>
      <c r="O11" s="3002"/>
      <c r="P11" s="3294"/>
      <c r="Q11" s="1527" t="str">
        <f t="shared" si="6"/>
        <v>容积率</v>
      </c>
      <c r="R11" s="710" t="s">
        <v>17</v>
      </c>
      <c r="S11" s="711">
        <f t="shared" si="0"/>
        <v>105</v>
      </c>
      <c r="T11" s="710" t="s">
        <v>17</v>
      </c>
      <c r="U11" s="711">
        <f t="shared" si="1"/>
        <v>100</v>
      </c>
      <c r="V11" s="710" t="s">
        <v>17</v>
      </c>
      <c r="W11" s="711">
        <f t="shared" si="2"/>
        <v>105</v>
      </c>
      <c r="X11" s="712"/>
      <c r="Y11" s="3164"/>
      <c r="Z11" s="55" t="str">
        <f t="shared" si="7"/>
        <v>容积率</v>
      </c>
      <c r="AA11" s="713">
        <f t="shared" si="3"/>
        <v>0.95238095238095233</v>
      </c>
      <c r="AB11" s="713">
        <f t="shared" si="4"/>
        <v>1</v>
      </c>
      <c r="AC11" s="713">
        <f t="shared" si="5"/>
        <v>0.95238095238095233</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94"/>
      <c r="Q12" s="1527" t="str">
        <f t="shared" si="6"/>
        <v>配建</v>
      </c>
      <c r="R12" s="710" t="s">
        <v>17</v>
      </c>
      <c r="S12" s="711">
        <f t="shared" si="0"/>
        <v>100</v>
      </c>
      <c r="T12" s="710" t="s">
        <v>17</v>
      </c>
      <c r="U12" s="711">
        <f t="shared" si="1"/>
        <v>100</v>
      </c>
      <c r="V12" s="710" t="s">
        <v>17</v>
      </c>
      <c r="W12" s="711">
        <f t="shared" si="2"/>
        <v>100</v>
      </c>
      <c r="X12" s="712"/>
      <c r="Y12" s="3164"/>
      <c r="Z12" s="55" t="str">
        <f t="shared" si="7"/>
        <v>配建</v>
      </c>
      <c r="AA12" s="713">
        <f>D12/F12</f>
        <v>1</v>
      </c>
      <c r="AB12" s="713">
        <f>D12/H12</f>
        <v>1</v>
      </c>
      <c r="AC12" s="713">
        <f>D12/J12</f>
        <v>1</v>
      </c>
    </row>
    <row r="13" spans="1:30" ht="15">
      <c r="A13" s="387"/>
      <c r="B13" s="3066" t="s">
        <v>3434</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4"/>
      <c r="Q13" s="1527" t="str">
        <f t="shared" si="6"/>
        <v>自持</v>
      </c>
      <c r="R13" s="710" t="s">
        <v>17</v>
      </c>
      <c r="S13" s="711">
        <f t="shared" si="0"/>
        <v>100</v>
      </c>
      <c r="T13" s="710" t="s">
        <v>17</v>
      </c>
      <c r="U13" s="711">
        <f t="shared" si="1"/>
        <v>100</v>
      </c>
      <c r="V13" s="710" t="s">
        <v>17</v>
      </c>
      <c r="W13" s="711">
        <f t="shared" si="2"/>
        <v>100</v>
      </c>
      <c r="X13" s="712"/>
      <c r="Y13" s="3164"/>
      <c r="Z13" s="55" t="str">
        <f t="shared" si="7"/>
        <v>自持</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4"/>
      <c r="Q14" s="1527">
        <f t="shared" si="6"/>
        <v>111</v>
      </c>
      <c r="R14" s="710" t="s">
        <v>17</v>
      </c>
      <c r="S14" s="711">
        <f t="shared" si="0"/>
        <v>100</v>
      </c>
      <c r="T14" s="710" t="s">
        <v>17</v>
      </c>
      <c r="U14" s="711">
        <f t="shared" si="1"/>
        <v>100</v>
      </c>
      <c r="V14" s="710" t="s">
        <v>17</v>
      </c>
      <c r="W14" s="711">
        <f t="shared" si="2"/>
        <v>100</v>
      </c>
      <c r="X14" s="712"/>
      <c r="Y14" s="316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6" t="s">
        <v>2381</v>
      </c>
      <c r="Q15" s="1536" t="str">
        <f t="shared" si="6"/>
        <v>居住社区成熟度</v>
      </c>
      <c r="R15" s="714" t="s">
        <v>17</v>
      </c>
      <c r="S15" s="715">
        <f t="shared" si="0"/>
        <v>100</v>
      </c>
      <c r="T15" s="714" t="s">
        <v>17</v>
      </c>
      <c r="U15" s="715">
        <f t="shared" si="1"/>
        <v>100</v>
      </c>
      <c r="V15" s="714" t="s">
        <v>17</v>
      </c>
      <c r="W15" s="715">
        <f t="shared" si="2"/>
        <v>100</v>
      </c>
      <c r="X15" s="1539"/>
      <c r="Y15" s="329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297"/>
      <c r="Q16" s="1536"/>
      <c r="R16" s="714"/>
      <c r="S16" s="715"/>
      <c r="T16" s="714"/>
      <c r="U16" s="715"/>
      <c r="V16" s="714"/>
      <c r="W16" s="715"/>
      <c r="X16" s="1539"/>
      <c r="Y16" s="329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95</v>
      </c>
      <c r="I17" s="413"/>
      <c r="J17" s="414">
        <f>SUMIF(90:90,I18,91:91)-SUMIF(90:90,C18,91:91)+100</f>
        <v>95</v>
      </c>
      <c r="K17" s="629">
        <v>5</v>
      </c>
      <c r="L17" s="2950"/>
      <c r="M17" s="2944"/>
      <c r="N17" s="2944"/>
      <c r="O17" s="3002"/>
      <c r="P17" s="3297"/>
      <c r="Q17" s="1536" t="str">
        <f>B17</f>
        <v>商业繁华度</v>
      </c>
      <c r="R17" s="714" t="s">
        <v>17</v>
      </c>
      <c r="S17" s="715">
        <f>F17</f>
        <v>100</v>
      </c>
      <c r="T17" s="714" t="s">
        <v>17</v>
      </c>
      <c r="U17" s="715">
        <f>H17</f>
        <v>95</v>
      </c>
      <c r="V17" s="714" t="s">
        <v>17</v>
      </c>
      <c r="W17" s="715">
        <f>J17</f>
        <v>95</v>
      </c>
      <c r="X17" s="1539"/>
      <c r="Y17" s="3297"/>
      <c r="Z17" s="1540" t="str">
        <f>Q17</f>
        <v>商业繁华度</v>
      </c>
      <c r="AA17" s="1537">
        <f t="shared" si="3"/>
        <v>1</v>
      </c>
      <c r="AB17" s="1537">
        <f t="shared" si="4"/>
        <v>1.0526315789473684</v>
      </c>
      <c r="AC17" s="1537">
        <f t="shared" si="5"/>
        <v>1.0526315789473684</v>
      </c>
    </row>
    <row r="18" spans="1:29" ht="15">
      <c r="A18" s="387"/>
      <c r="B18" s="415"/>
      <c r="C18" s="2087" t="s">
        <v>3402</v>
      </c>
      <c r="D18" s="409"/>
      <c r="E18" s="2089" t="s">
        <v>3402</v>
      </c>
      <c r="F18" s="409"/>
      <c r="G18" s="2089" t="s">
        <v>3403</v>
      </c>
      <c r="H18" s="407"/>
      <c r="I18" s="2088" t="s">
        <v>3403</v>
      </c>
      <c r="J18" s="407"/>
      <c r="K18" s="628"/>
      <c r="L18" s="2950"/>
      <c r="M18" s="2944"/>
      <c r="N18" s="2944"/>
      <c r="O18" s="3002"/>
      <c r="P18" s="3297"/>
      <c r="Q18" s="1536"/>
      <c r="R18" s="714"/>
      <c r="S18" s="715"/>
      <c r="T18" s="714"/>
      <c r="U18" s="715"/>
      <c r="V18" s="714"/>
      <c r="W18" s="715"/>
      <c r="X18" s="1539"/>
      <c r="Y18" s="3297"/>
      <c r="Z18" s="1540"/>
      <c r="AA18" s="1537">
        <v>1</v>
      </c>
      <c r="AB18" s="1537">
        <v>1</v>
      </c>
      <c r="AC18" s="1537">
        <v>1</v>
      </c>
    </row>
    <row r="19" spans="1:29" ht="71.25" hidden="1">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7"/>
      <c r="Q19" s="1536" t="str">
        <f>B19</f>
        <v>办公集聚程度</v>
      </c>
      <c r="R19" s="714" t="s">
        <v>17</v>
      </c>
      <c r="S19" s="715">
        <f>F19</f>
        <v>100</v>
      </c>
      <c r="T19" s="714" t="s">
        <v>17</v>
      </c>
      <c r="U19" s="715">
        <f>H19</f>
        <v>100</v>
      </c>
      <c r="V19" s="714" t="s">
        <v>17</v>
      </c>
      <c r="W19" s="715">
        <f>J19</f>
        <v>100</v>
      </c>
      <c r="X19" s="1539"/>
      <c r="Y19" s="3297"/>
      <c r="Z19" s="1540" t="str">
        <f>Q19</f>
        <v>办公集聚程度</v>
      </c>
      <c r="AA19" s="1537">
        <f t="shared" si="3"/>
        <v>1</v>
      </c>
      <c r="AB19" s="1537">
        <f t="shared" si="4"/>
        <v>1</v>
      </c>
      <c r="AC19" s="1537">
        <f t="shared" si="5"/>
        <v>1</v>
      </c>
    </row>
    <row r="20" spans="1:29" ht="15" hidden="1">
      <c r="A20" s="387"/>
      <c r="B20" s="415"/>
      <c r="C20" s="406"/>
      <c r="D20" s="407"/>
      <c r="E20" s="2084"/>
      <c r="F20" s="407"/>
      <c r="G20" s="2084"/>
      <c r="H20" s="407"/>
      <c r="I20" s="2083"/>
      <c r="J20" s="407"/>
      <c r="K20" s="628"/>
      <c r="L20" s="2950"/>
      <c r="M20" s="2944"/>
      <c r="N20" s="2944"/>
      <c r="O20" s="3002"/>
      <c r="P20" s="3297"/>
      <c r="Q20" s="1536"/>
      <c r="R20" s="714"/>
      <c r="S20" s="715"/>
      <c r="T20" s="714"/>
      <c r="U20" s="715"/>
      <c r="V20" s="714"/>
      <c r="W20" s="715"/>
      <c r="X20" s="1539"/>
      <c r="Y20" s="329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98</v>
      </c>
      <c r="K21" s="629">
        <v>2</v>
      </c>
      <c r="L21" s="2950"/>
      <c r="M21" s="2944"/>
      <c r="N21" s="2944"/>
      <c r="O21" s="3002"/>
      <c r="P21" s="3297"/>
      <c r="Q21" s="1536" t="str">
        <f>B21</f>
        <v>交通便捷度</v>
      </c>
      <c r="R21" s="714" t="s">
        <v>17</v>
      </c>
      <c r="S21" s="715">
        <f>F21</f>
        <v>100</v>
      </c>
      <c r="T21" s="714" t="s">
        <v>17</v>
      </c>
      <c r="U21" s="715">
        <f>H21</f>
        <v>100</v>
      </c>
      <c r="V21" s="714" t="s">
        <v>17</v>
      </c>
      <c r="W21" s="715">
        <f>J21</f>
        <v>98</v>
      </c>
      <c r="X21" s="1539"/>
      <c r="Y21" s="3297"/>
      <c r="Z21" s="1540" t="str">
        <f>Q21</f>
        <v>交通便捷度</v>
      </c>
      <c r="AA21" s="1537">
        <f t="shared" si="3"/>
        <v>1</v>
      </c>
      <c r="AB21" s="1537">
        <f t="shared" si="4"/>
        <v>1</v>
      </c>
      <c r="AC21" s="1537">
        <f t="shared" si="5"/>
        <v>1.0204081632653061</v>
      </c>
    </row>
    <row r="22" spans="1:29" ht="15">
      <c r="A22" s="387"/>
      <c r="B22" s="1293"/>
      <c r="C22" s="406" t="s">
        <v>3402</v>
      </c>
      <c r="D22" s="409"/>
      <c r="E22" s="2084" t="s">
        <v>3402</v>
      </c>
      <c r="F22" s="407"/>
      <c r="G22" s="2084" t="s">
        <v>3402</v>
      </c>
      <c r="H22" s="407"/>
      <c r="I22" s="2083" t="s">
        <v>3403</v>
      </c>
      <c r="J22" s="407"/>
      <c r="K22" s="628"/>
      <c r="L22" s="2950"/>
      <c r="M22" s="2944"/>
      <c r="N22" s="2944"/>
      <c r="O22" s="3002"/>
      <c r="P22" s="3297"/>
      <c r="Q22" s="1536"/>
      <c r="R22" s="714"/>
      <c r="S22" s="715"/>
      <c r="T22" s="714"/>
      <c r="U22" s="715"/>
      <c r="V22" s="714"/>
      <c r="W22" s="715"/>
      <c r="X22" s="1539"/>
      <c r="Y22" s="329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7"/>
      <c r="Q23" s="1536" t="str">
        <f t="shared" ref="Q23:Q37" si="8">B23</f>
        <v>区域土地利用方向</v>
      </c>
      <c r="R23" s="714" t="s">
        <v>17</v>
      </c>
      <c r="S23" s="715">
        <f>F23</f>
        <v>100</v>
      </c>
      <c r="T23" s="714" t="s">
        <v>17</v>
      </c>
      <c r="U23" s="715">
        <f>H23</f>
        <v>100</v>
      </c>
      <c r="V23" s="714" t="s">
        <v>17</v>
      </c>
      <c r="W23" s="715">
        <f>J23</f>
        <v>100</v>
      </c>
      <c r="X23" s="1539"/>
      <c r="Y23" s="329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297"/>
      <c r="Q24" s="1536"/>
      <c r="R24" s="714"/>
      <c r="S24" s="715"/>
      <c r="T24" s="714"/>
      <c r="U24" s="715"/>
      <c r="V24" s="714"/>
      <c r="W24" s="715"/>
      <c r="X24" s="1539"/>
      <c r="Y24" s="329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98</v>
      </c>
      <c r="K25" s="629">
        <v>2</v>
      </c>
      <c r="L25" s="2950"/>
      <c r="M25" s="2944"/>
      <c r="N25" s="2944"/>
      <c r="O25" s="3002"/>
      <c r="P25" s="3297"/>
      <c r="Q25" s="1536" t="str">
        <f t="shared" si="8"/>
        <v>自然及人文环境状况</v>
      </c>
      <c r="R25" s="714" t="s">
        <v>17</v>
      </c>
      <c r="S25" s="715">
        <f>F25</f>
        <v>100</v>
      </c>
      <c r="T25" s="714" t="s">
        <v>17</v>
      </c>
      <c r="U25" s="715">
        <f>H25</f>
        <v>100</v>
      </c>
      <c r="V25" s="714" t="s">
        <v>17</v>
      </c>
      <c r="W25" s="715">
        <f>J25</f>
        <v>98</v>
      </c>
      <c r="X25" s="1539"/>
      <c r="Y25" s="3297"/>
      <c r="Z25" s="1540" t="str">
        <f>Q25</f>
        <v>自然及人文环境状况</v>
      </c>
      <c r="AA25" s="1537">
        <f t="shared" si="3"/>
        <v>1</v>
      </c>
      <c r="AB25" s="1537">
        <f t="shared" si="4"/>
        <v>1</v>
      </c>
      <c r="AC25" s="1537">
        <f t="shared" si="5"/>
        <v>1.0204081632653061</v>
      </c>
    </row>
    <row r="26" spans="1:29" ht="15">
      <c r="A26" s="364"/>
      <c r="B26" s="415"/>
      <c r="C26" s="406" t="s">
        <v>3402</v>
      </c>
      <c r="D26" s="407"/>
      <c r="E26" s="2090" t="s">
        <v>3402</v>
      </c>
      <c r="F26" s="407"/>
      <c r="G26" s="2090" t="s">
        <v>3402</v>
      </c>
      <c r="H26" s="407"/>
      <c r="I26" s="406" t="s">
        <v>3403</v>
      </c>
      <c r="J26" s="407"/>
      <c r="K26" s="628"/>
      <c r="L26" s="2950"/>
      <c r="M26" s="2944"/>
      <c r="N26" s="2944"/>
      <c r="O26" s="3002"/>
      <c r="P26" s="3297"/>
      <c r="Q26" s="1536"/>
      <c r="R26" s="714"/>
      <c r="S26" s="715"/>
      <c r="T26" s="714"/>
      <c r="U26" s="715"/>
      <c r="V26" s="714"/>
      <c r="W26" s="715"/>
      <c r="X26" s="1539"/>
      <c r="Y26" s="329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98</v>
      </c>
      <c r="K27" s="629">
        <v>2</v>
      </c>
      <c r="L27" s="2945"/>
      <c r="M27" s="2946"/>
      <c r="N27" s="2946"/>
      <c r="O27" s="3000"/>
      <c r="P27" s="3297"/>
      <c r="Q27" s="1527" t="str">
        <f t="shared" si="8"/>
        <v>公共配套设施</v>
      </c>
      <c r="R27" s="710" t="s">
        <v>17</v>
      </c>
      <c r="S27" s="711">
        <f>F27</f>
        <v>100</v>
      </c>
      <c r="T27" s="710" t="s">
        <v>17</v>
      </c>
      <c r="U27" s="711">
        <f>H27</f>
        <v>100</v>
      </c>
      <c r="V27" s="710" t="s">
        <v>17</v>
      </c>
      <c r="W27" s="711">
        <f>J27</f>
        <v>98</v>
      </c>
      <c r="X27" s="712"/>
      <c r="Y27" s="3297"/>
      <c r="Z27" s="55" t="str">
        <f>Q27</f>
        <v>公共配套设施</v>
      </c>
      <c r="AA27" s="1537">
        <f>D27/F27</f>
        <v>1</v>
      </c>
      <c r="AB27" s="1537">
        <f>D27/H27</f>
        <v>1</v>
      </c>
      <c r="AC27" s="1537">
        <f>D27/J27</f>
        <v>1.0204081632653061</v>
      </c>
    </row>
    <row r="28" spans="1:29" s="113" customFormat="1" ht="15">
      <c r="A28" s="605"/>
      <c r="B28" s="415"/>
      <c r="C28" s="2164" t="s">
        <v>3402</v>
      </c>
      <c r="D28" s="407"/>
      <c r="E28" s="2090" t="s">
        <v>3402</v>
      </c>
      <c r="F28" s="407"/>
      <c r="G28" s="2090" t="s">
        <v>3402</v>
      </c>
      <c r="H28" s="407"/>
      <c r="I28" s="406" t="s">
        <v>3403</v>
      </c>
      <c r="J28" s="407"/>
      <c r="K28" s="628"/>
      <c r="L28" s="2945"/>
      <c r="M28" s="2946"/>
      <c r="N28" s="2946"/>
      <c r="O28" s="3000"/>
      <c r="P28" s="3297"/>
      <c r="Q28" s="1527"/>
      <c r="R28" s="710"/>
      <c r="S28" s="711"/>
      <c r="T28" s="710"/>
      <c r="U28" s="711"/>
      <c r="V28" s="710"/>
      <c r="W28" s="711"/>
      <c r="X28" s="712"/>
      <c r="Y28" s="329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7"/>
      <c r="Q29" s="1527" t="str">
        <f t="shared" ref="Q29" si="9">B29</f>
        <v>基础设施水平</v>
      </c>
      <c r="R29" s="710" t="s">
        <v>17</v>
      </c>
      <c r="S29" s="711">
        <f>F29</f>
        <v>100</v>
      </c>
      <c r="T29" s="710" t="s">
        <v>17</v>
      </c>
      <c r="U29" s="711">
        <f>H29</f>
        <v>100</v>
      </c>
      <c r="V29" s="710" t="s">
        <v>17</v>
      </c>
      <c r="W29" s="711">
        <f>J29</f>
        <v>100</v>
      </c>
      <c r="X29" s="712"/>
      <c r="Y29" s="329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297"/>
      <c r="Q30" s="1527"/>
      <c r="R30" s="710"/>
      <c r="S30" s="711"/>
      <c r="T30" s="710"/>
      <c r="U30" s="711"/>
      <c r="V30" s="710"/>
      <c r="W30" s="711"/>
      <c r="X30" s="712"/>
      <c r="Y30" s="329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7"/>
      <c r="Q32" s="1536" t="str">
        <f t="shared" si="8"/>
        <v>毗邻道路的类型与等级</v>
      </c>
      <c r="R32" s="714" t="s">
        <v>17</v>
      </c>
      <c r="S32" s="715">
        <f t="shared" si="10"/>
        <v>100</v>
      </c>
      <c r="T32" s="714" t="s">
        <v>17</v>
      </c>
      <c r="U32" s="715">
        <f t="shared" si="11"/>
        <v>100</v>
      </c>
      <c r="V32" s="714" t="s">
        <v>17</v>
      </c>
      <c r="W32" s="715">
        <f t="shared" si="12"/>
        <v>100</v>
      </c>
      <c r="X32" s="1539"/>
      <c r="Y32" s="3297"/>
      <c r="Z32" s="1540" t="str">
        <f t="shared" si="13"/>
        <v>毗邻道路的类型与等级</v>
      </c>
      <c r="AA32" s="1537">
        <f t="shared" si="3"/>
        <v>1</v>
      </c>
      <c r="AB32" s="1537">
        <f t="shared" si="4"/>
        <v>1</v>
      </c>
      <c r="AC32" s="1537">
        <f t="shared" si="5"/>
        <v>1</v>
      </c>
    </row>
    <row r="33" spans="1:29" ht="15.75" thickBot="1">
      <c r="A33" s="387"/>
      <c r="B33" s="415"/>
      <c r="C33" s="406"/>
      <c r="D33" s="407"/>
      <c r="E33" s="2090"/>
      <c r="F33" s="407"/>
      <c r="G33" s="2090"/>
      <c r="H33" s="407"/>
      <c r="I33" s="406"/>
      <c r="J33" s="407"/>
      <c r="K33" s="570"/>
      <c r="L33" s="2950"/>
      <c r="M33" s="2944"/>
      <c r="N33" s="2944"/>
      <c r="O33" s="3002"/>
      <c r="P33" s="3297"/>
      <c r="Q33" s="1536"/>
      <c r="R33" s="714"/>
      <c r="S33" s="715"/>
      <c r="T33" s="714"/>
      <c r="U33" s="715"/>
      <c r="V33" s="714"/>
      <c r="W33" s="715"/>
      <c r="X33" s="1539"/>
      <c r="Y33" s="3297"/>
      <c r="Z33" s="1540"/>
      <c r="AA33" s="1537">
        <v>1</v>
      </c>
      <c r="AB33" s="1537">
        <v>1</v>
      </c>
      <c r="AC33" s="1537">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7"/>
      <c r="Q34" s="1536" t="str">
        <f t="shared" si="8"/>
        <v>土地级别</v>
      </c>
      <c r="R34" s="714" t="s">
        <v>17</v>
      </c>
      <c r="S34" s="715">
        <f t="shared" si="10"/>
        <v>100</v>
      </c>
      <c r="T34" s="714" t="s">
        <v>17</v>
      </c>
      <c r="U34" s="715">
        <f t="shared" si="11"/>
        <v>100</v>
      </c>
      <c r="V34" s="714" t="s">
        <v>17</v>
      </c>
      <c r="W34" s="715">
        <f t="shared" si="12"/>
        <v>100</v>
      </c>
      <c r="X34" s="1539"/>
      <c r="Y34" s="3297"/>
      <c r="Z34" s="1540" t="str">
        <f t="shared" si="13"/>
        <v>土地级别</v>
      </c>
      <c r="AA34" s="1537">
        <f t="shared" si="3"/>
        <v>1</v>
      </c>
      <c r="AB34" s="1537">
        <f t="shared" si="4"/>
        <v>1</v>
      </c>
      <c r="AC34" s="1537">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7"/>
      <c r="Q35" s="1536">
        <f t="shared" si="8"/>
        <v>111</v>
      </c>
      <c r="R35" s="714" t="s">
        <v>17</v>
      </c>
      <c r="S35" s="715">
        <f t="shared" si="10"/>
        <v>100</v>
      </c>
      <c r="T35" s="714" t="s">
        <v>17</v>
      </c>
      <c r="U35" s="715">
        <f t="shared" si="11"/>
        <v>100</v>
      </c>
      <c r="V35" s="714" t="s">
        <v>17</v>
      </c>
      <c r="W35" s="715">
        <f t="shared" si="12"/>
        <v>100</v>
      </c>
      <c r="X35" s="1539"/>
      <c r="Y35" s="3297"/>
      <c r="Z35" s="1540">
        <f t="shared" si="13"/>
        <v>111</v>
      </c>
      <c r="AA35" s="1537">
        <f t="shared" si="3"/>
        <v>1</v>
      </c>
      <c r="AB35" s="1537">
        <f t="shared" si="4"/>
        <v>1</v>
      </c>
      <c r="AC35" s="1537">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2" t="s">
        <v>2386</v>
      </c>
      <c r="Q36" s="1536">
        <f t="shared" si="8"/>
        <v>111</v>
      </c>
      <c r="R36" s="714" t="s">
        <v>17</v>
      </c>
      <c r="S36" s="715">
        <f t="shared" si="10"/>
        <v>100</v>
      </c>
      <c r="T36" s="714" t="s">
        <v>17</v>
      </c>
      <c r="U36" s="715">
        <f t="shared" si="11"/>
        <v>100</v>
      </c>
      <c r="V36" s="714" t="s">
        <v>17</v>
      </c>
      <c r="W36" s="715">
        <f t="shared" si="12"/>
        <v>100</v>
      </c>
      <c r="X36" s="1539"/>
      <c r="Y36" s="3301" t="s">
        <v>2386</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1"/>
      <c r="Q37" s="1536">
        <f t="shared" si="8"/>
        <v>111</v>
      </c>
      <c r="R37" s="717" t="s">
        <v>17</v>
      </c>
      <c r="S37" s="718">
        <f t="shared" si="10"/>
        <v>100</v>
      </c>
      <c r="T37" s="717" t="s">
        <v>17</v>
      </c>
      <c r="U37" s="718">
        <f t="shared" si="11"/>
        <v>100</v>
      </c>
      <c r="V37" s="717" t="s">
        <v>17</v>
      </c>
      <c r="W37" s="718">
        <f t="shared" si="12"/>
        <v>100</v>
      </c>
      <c r="X37" s="719"/>
      <c r="Y37" s="3301"/>
      <c r="Z37" s="720">
        <f t="shared" si="13"/>
        <v>111</v>
      </c>
      <c r="AA37" s="1537">
        <f t="shared" si="3"/>
        <v>1</v>
      </c>
      <c r="AB37" s="1537">
        <f t="shared" si="4"/>
        <v>1</v>
      </c>
      <c r="AC37" s="1537">
        <f t="shared" si="5"/>
        <v>1</v>
      </c>
    </row>
    <row r="38" spans="1:29" ht="15">
      <c r="A38" s="431" t="s">
        <v>2384</v>
      </c>
      <c r="B38" s="415" t="s">
        <v>2572</v>
      </c>
      <c r="C38" s="635">
        <f>'数据-汇总表'!D19</f>
        <v>30151.46</v>
      </c>
      <c r="D38" s="426">
        <v>100</v>
      </c>
      <c r="E38" s="635">
        <f>土地案例!F6</f>
        <v>6591.19</v>
      </c>
      <c r="F38" s="426">
        <f>LOOKUP(E38,117:117,118:118)-LOOKUP(C38,117:117,118:118)+100</f>
        <v>98</v>
      </c>
      <c r="G38" s="635">
        <f>土地案例!F42</f>
        <v>19998.57</v>
      </c>
      <c r="H38" s="426">
        <f>LOOKUP(G38,117:117,118:118)-LOOKUP(C38,117:117,118:118)+100</f>
        <v>99</v>
      </c>
      <c r="I38" s="487">
        <f>土地案例!D83</f>
        <v>10023.86</v>
      </c>
      <c r="J38" s="426">
        <f>LOOKUP(I38,117:117,118:118)-LOOKUP(C38,117:117,118:118)+100</f>
        <v>99</v>
      </c>
      <c r="K38" s="570"/>
      <c r="L38" s="2950"/>
      <c r="M38" s="2944"/>
      <c r="N38" s="2944"/>
      <c r="O38" s="3002"/>
      <c r="P38" s="3301"/>
      <c r="Q38" s="1536" t="str">
        <f>B38</f>
        <v>宗地面积</v>
      </c>
      <c r="R38" s="714" t="s">
        <v>17</v>
      </c>
      <c r="S38" s="715">
        <f t="shared" si="10"/>
        <v>98</v>
      </c>
      <c r="T38" s="714" t="s">
        <v>17</v>
      </c>
      <c r="U38" s="715">
        <f t="shared" si="11"/>
        <v>99</v>
      </c>
      <c r="V38" s="714" t="s">
        <v>17</v>
      </c>
      <c r="W38" s="715">
        <f t="shared" si="12"/>
        <v>99</v>
      </c>
      <c r="X38" s="1539"/>
      <c r="Y38" s="3301"/>
      <c r="Z38" s="1540" t="str">
        <f t="shared" si="13"/>
        <v>宗地面积</v>
      </c>
      <c r="AA38" s="1537">
        <f t="shared" si="3"/>
        <v>1.0204081632653061</v>
      </c>
      <c r="AB38" s="1537">
        <f t="shared" si="4"/>
        <v>1.0101010101010102</v>
      </c>
      <c r="AC38" s="1537">
        <f t="shared" si="5"/>
        <v>1.0101010101010102</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01"/>
      <c r="Q39" s="1536" t="str">
        <f t="shared" ref="Q39:Q45" si="14">B39</f>
        <v>宗地形状</v>
      </c>
      <c r="R39" s="714" t="s">
        <v>17</v>
      </c>
      <c r="S39" s="715">
        <f t="shared" si="10"/>
        <v>100</v>
      </c>
      <c r="T39" s="714" t="s">
        <v>17</v>
      </c>
      <c r="U39" s="715">
        <f t="shared" si="11"/>
        <v>100</v>
      </c>
      <c r="V39" s="714" t="s">
        <v>17</v>
      </c>
      <c r="W39" s="715">
        <f t="shared" si="12"/>
        <v>100</v>
      </c>
      <c r="X39" s="1539"/>
      <c r="Y39" s="330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01"/>
      <c r="Q40" s="1536" t="str">
        <f t="shared" si="14"/>
        <v>临街宽度及深度</v>
      </c>
      <c r="R40" s="714" t="s">
        <v>17</v>
      </c>
      <c r="S40" s="715">
        <f t="shared" si="10"/>
        <v>100</v>
      </c>
      <c r="T40" s="714" t="s">
        <v>17</v>
      </c>
      <c r="U40" s="715">
        <f t="shared" si="11"/>
        <v>100</v>
      </c>
      <c r="V40" s="714" t="s">
        <v>17</v>
      </c>
      <c r="W40" s="715">
        <f t="shared" si="12"/>
        <v>100</v>
      </c>
      <c r="X40" s="1539"/>
      <c r="Y40" s="330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01"/>
      <c r="Q41" s="1536" t="str">
        <f t="shared" si="14"/>
        <v>宗地开发程度</v>
      </c>
      <c r="R41" s="710" t="s">
        <v>17</v>
      </c>
      <c r="S41" s="711">
        <f t="shared" si="10"/>
        <v>100</v>
      </c>
      <c r="T41" s="710" t="s">
        <v>17</v>
      </c>
      <c r="U41" s="711">
        <f t="shared" si="11"/>
        <v>100</v>
      </c>
      <c r="V41" s="710" t="s">
        <v>17</v>
      </c>
      <c r="W41" s="711">
        <f t="shared" si="12"/>
        <v>100</v>
      </c>
      <c r="X41" s="712"/>
      <c r="Y41" s="3301"/>
      <c r="Z41" s="55" t="str">
        <f t="shared" si="13"/>
        <v>宗地开发程度</v>
      </c>
      <c r="AA41" s="713">
        <f t="shared" si="3"/>
        <v>1</v>
      </c>
      <c r="AB41" s="713">
        <f t="shared" si="4"/>
        <v>1</v>
      </c>
      <c r="AC41" s="713">
        <f t="shared" si="5"/>
        <v>1</v>
      </c>
    </row>
    <row r="42" spans="1:29" ht="15.75" thickBot="1">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01" t="s">
        <v>2386</v>
      </c>
      <c r="Q42" s="1536" t="str">
        <f t="shared" si="14"/>
        <v>工程地质条件</v>
      </c>
      <c r="R42" s="714" t="s">
        <v>17</v>
      </c>
      <c r="S42" s="715">
        <f t="shared" si="10"/>
        <v>100</v>
      </c>
      <c r="T42" s="714" t="s">
        <v>17</v>
      </c>
      <c r="U42" s="715">
        <f t="shared" si="11"/>
        <v>100</v>
      </c>
      <c r="V42" s="714" t="s">
        <v>17</v>
      </c>
      <c r="W42" s="715">
        <f t="shared" si="12"/>
        <v>100</v>
      </c>
      <c r="X42" s="1539"/>
      <c r="Y42" s="3301" t="s">
        <v>2386</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1"/>
      <c r="Q43" s="1536">
        <f t="shared" si="14"/>
        <v>111</v>
      </c>
      <c r="R43" s="714" t="s">
        <v>17</v>
      </c>
      <c r="S43" s="715">
        <f t="shared" si="10"/>
        <v>100</v>
      </c>
      <c r="T43" s="714" t="s">
        <v>17</v>
      </c>
      <c r="U43" s="715">
        <f t="shared" si="11"/>
        <v>100</v>
      </c>
      <c r="V43" s="714" t="s">
        <v>17</v>
      </c>
      <c r="W43" s="715">
        <f t="shared" si="12"/>
        <v>100</v>
      </c>
      <c r="X43" s="1539"/>
      <c r="Y43" s="3301"/>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1"/>
      <c r="Q44" s="1536">
        <f t="shared" si="14"/>
        <v>111</v>
      </c>
      <c r="R44" s="714" t="s">
        <v>17</v>
      </c>
      <c r="S44" s="715">
        <f t="shared" si="10"/>
        <v>100</v>
      </c>
      <c r="T44" s="714" t="s">
        <v>17</v>
      </c>
      <c r="U44" s="715">
        <f t="shared" si="11"/>
        <v>100</v>
      </c>
      <c r="V44" s="714" t="s">
        <v>17</v>
      </c>
      <c r="W44" s="715">
        <f t="shared" si="12"/>
        <v>100</v>
      </c>
      <c r="X44" s="1539"/>
      <c r="Y44" s="3301"/>
      <c r="Z44" s="1540">
        <f t="shared" si="13"/>
        <v>111</v>
      </c>
      <c r="AA44" s="1537">
        <f t="shared" si="3"/>
        <v>1</v>
      </c>
      <c r="AB44" s="1537">
        <f t="shared" si="4"/>
        <v>1</v>
      </c>
      <c r="AC44" s="1537">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1"/>
      <c r="Q45" s="1536">
        <f t="shared" si="14"/>
        <v>111</v>
      </c>
      <c r="R45" s="717" t="s">
        <v>17</v>
      </c>
      <c r="S45" s="718">
        <f t="shared" si="10"/>
        <v>100</v>
      </c>
      <c r="T45" s="717" t="s">
        <v>17</v>
      </c>
      <c r="U45" s="718">
        <f t="shared" si="11"/>
        <v>100</v>
      </c>
      <c r="V45" s="717" t="s">
        <v>17</v>
      </c>
      <c r="W45" s="718">
        <f t="shared" si="12"/>
        <v>100</v>
      </c>
      <c r="X45" s="719"/>
      <c r="Y45" s="3301"/>
      <c r="Z45" s="720">
        <f t="shared" si="13"/>
        <v>111</v>
      </c>
      <c r="AA45" s="1537">
        <f t="shared" si="3"/>
        <v>1</v>
      </c>
      <c r="AB45" s="1537">
        <f t="shared" si="4"/>
        <v>1</v>
      </c>
      <c r="AC45" s="1537">
        <f t="shared" si="5"/>
        <v>1</v>
      </c>
    </row>
    <row r="46" spans="1:29" ht="15">
      <c r="A46" s="438" t="s">
        <v>2541</v>
      </c>
      <c r="B46" s="2168" t="s">
        <v>2577</v>
      </c>
      <c r="C46" s="638" t="s">
        <v>1</v>
      </c>
      <c r="D46" s="440"/>
      <c r="E46" s="441">
        <f>土地案例!M6</f>
        <v>4610</v>
      </c>
      <c r="F46" s="442"/>
      <c r="G46" s="443">
        <f>土地案例!M42</f>
        <v>3388</v>
      </c>
      <c r="H46" s="444"/>
      <c r="I46" s="441">
        <f>土地案例!K83</f>
        <v>3200</v>
      </c>
      <c r="J46" s="444"/>
      <c r="K46" s="723"/>
      <c r="L46" s="2952"/>
      <c r="M46" s="2953"/>
      <c r="N46" s="2944"/>
      <c r="O46" s="2953"/>
      <c r="P46" s="3294" t="str">
        <f>A46</f>
        <v>成交单价</v>
      </c>
      <c r="Q46" s="3294"/>
      <c r="R46" s="3325">
        <f>E46</f>
        <v>4610</v>
      </c>
      <c r="S46" s="3325"/>
      <c r="T46" s="3325">
        <f>G46</f>
        <v>3388</v>
      </c>
      <c r="U46" s="3325"/>
      <c r="V46" s="3325">
        <f>I46</f>
        <v>3200</v>
      </c>
      <c r="W46" s="3325"/>
      <c r="X46" s="699"/>
      <c r="Y46" s="721"/>
      <c r="Z46" s="699"/>
      <c r="AA46" s="699"/>
      <c r="AB46" s="699"/>
      <c r="AC46" s="699"/>
    </row>
    <row r="47" spans="1:29" ht="15.75" thickBot="1">
      <c r="A47" s="445" t="s">
        <v>2490</v>
      </c>
      <c r="B47" s="639"/>
      <c r="C47" s="448">
        <f>R48</f>
        <v>3872</v>
      </c>
      <c r="D47" s="2538" t="s">
        <v>2880</v>
      </c>
      <c r="E47" s="448">
        <f>R47</f>
        <v>4416</v>
      </c>
      <c r="F47" s="2539"/>
      <c r="G47" s="447">
        <f>T47</f>
        <v>3681</v>
      </c>
      <c r="H47" s="2539"/>
      <c r="I47" s="448">
        <f>V47</f>
        <v>3519</v>
      </c>
      <c r="J47" s="2539"/>
      <c r="K47" s="2541">
        <f>F47+H47+J47</f>
        <v>0</v>
      </c>
      <c r="L47" s="2952"/>
      <c r="M47" s="2953"/>
      <c r="N47" s="2953"/>
      <c r="O47" s="2953"/>
      <c r="P47" s="3294" t="str">
        <f>A47</f>
        <v>比较价值（元/平方米）</v>
      </c>
      <c r="Q47" s="3294"/>
      <c r="R47" s="3354">
        <f>ROUND(PRODUCT(R46,AA7:AA45),0)</f>
        <v>4416</v>
      </c>
      <c r="S47" s="3354"/>
      <c r="T47" s="3354">
        <f>ROUND(PRODUCT(T46,AB7:AB45),0)</f>
        <v>3681</v>
      </c>
      <c r="U47" s="3354"/>
      <c r="V47" s="3354">
        <f>ROUND(PRODUCT(V46,AC7:AC45),0)</f>
        <v>3519</v>
      </c>
      <c r="W47" s="3354"/>
      <c r="X47" s="699"/>
      <c r="Y47" s="699"/>
      <c r="Z47" s="699"/>
      <c r="AA47" s="699"/>
      <c r="AB47" s="699"/>
      <c r="AC47" s="699"/>
    </row>
    <row r="48" spans="1:29" ht="15.75" thickBot="1">
      <c r="A48" s="449" t="s">
        <v>2578</v>
      </c>
      <c r="B48" s="450"/>
      <c r="C48" s="451">
        <f>R48</f>
        <v>3872</v>
      </c>
      <c r="D48" s="451"/>
      <c r="E48" s="451"/>
      <c r="F48" s="451"/>
      <c r="G48" s="451"/>
      <c r="H48" s="451"/>
      <c r="I48" s="451"/>
      <c r="J48" s="451"/>
      <c r="K48" s="724"/>
      <c r="L48" s="2952"/>
      <c r="M48" s="2953"/>
      <c r="N48" s="2953"/>
      <c r="O48" s="2953"/>
      <c r="P48" s="3291" t="str">
        <f>A48</f>
        <v>估价对象XX用房的比较价值（楼面单价，元/平方米）</v>
      </c>
      <c r="Q48" s="3292"/>
      <c r="R48" s="3355">
        <f>ROUND(IF(D47="简单平均",AVERAGE(R47:W47),R47*F47+T47*H47+V47*J47),0)</f>
        <v>3872</v>
      </c>
      <c r="S48" s="3355"/>
      <c r="T48" s="3355"/>
      <c r="U48" s="3355"/>
      <c r="V48" s="3355"/>
      <c r="W48" s="3355"/>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f>IF(E46&lt;E47,E47/E46-1,E46/E47-1)</f>
        <v>4.39311594202898E-2</v>
      </c>
      <c r="F51" s="457" t="str">
        <f>IF(OR(E51&gt;=0.3,E51&lt;=-0.3),"超过30%","")</f>
        <v/>
      </c>
      <c r="G51" s="456">
        <f>IF(G46&lt;G47,G47/G46-1,G46/G47-1)</f>
        <v>8.6481700118063776E-2</v>
      </c>
      <c r="H51" s="457" t="str">
        <f>IF(OR(G51&gt;=0.3,G51&lt;=-0.3),"超过30%","")</f>
        <v/>
      </c>
      <c r="I51" s="456">
        <f>IF(I46&lt;I47,I47/I46-1,I46/I47-1)</f>
        <v>9.9687499999999929E-2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f>IF(E47&lt;G47,G47/E47-1,E47/G47-1)</f>
        <v>0.19967400162999183</v>
      </c>
      <c r="F52" s="457" t="str">
        <f>IF(OR(E52&gt;=0.2,E52&lt;=-0.2),"超过20%","")</f>
        <v/>
      </c>
      <c r="G52" s="456">
        <f>IF(G47&lt;I47,I47/G47-1,G47/I47-1)</f>
        <v>4.6035805626598369E-2</v>
      </c>
      <c r="H52" s="457" t="str">
        <f>IF(OR(G52&gt;=0.2,G52&lt;=-0.2),"超过20%","")</f>
        <v/>
      </c>
      <c r="I52" s="456">
        <f>IF(I47&lt;E47,E47/I47-1,I47/E47-1)</f>
        <v>0.25490196078431371</v>
      </c>
      <c r="J52" s="457" t="str">
        <f>IF(OR(I52&gt;=0.2,I52&lt;=-0.2),"超过20%","")</f>
        <v>超过20%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f>IF(E46&lt;G46,G46/E46-1,E46/G46-1)</f>
        <v>0.36068476977567876</v>
      </c>
      <c r="F53" s="457" t="str">
        <f>IF(OR(E53&gt;=0.3,E53&lt;=-0.3),"超过30%","")</f>
        <v>超过30%</v>
      </c>
      <c r="G53" s="456">
        <f>IF(G46&lt;I46,I46/G46-1,G46/I46-1)</f>
        <v>5.875000000000008E-2</v>
      </c>
      <c r="H53" s="457" t="str">
        <f>IF(OR(G53&gt;=0.3,G53&lt;=-0.3),"超过30%","")</f>
        <v/>
      </c>
      <c r="I53" s="456">
        <f>IF(I46&lt;E46,E46/I46-1,I46/E46-1)</f>
        <v>0.44062500000000004</v>
      </c>
      <c r="J53" s="457" t="str">
        <f>IF(OR(I53&gt;=0.3,I53&lt;=-0.3),"超过30%","")</f>
        <v>超过30%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3409</v>
      </c>
      <c r="D55" s="2170" t="s">
        <v>2582</v>
      </c>
      <c r="E55" s="642" t="s">
        <v>2583</v>
      </c>
      <c r="F55" s="1021" t="s">
        <v>2584</v>
      </c>
      <c r="G55" s="3309" t="s">
        <v>2585</v>
      </c>
      <c r="H55" s="3356"/>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f>C48</f>
        <v>3872</v>
      </c>
      <c r="C56" s="646">
        <v>1</v>
      </c>
      <c r="D56" s="1075">
        <v>1</v>
      </c>
      <c r="E56" s="646">
        <f>'数据-汇总表'!E8+'数据-汇总表'!E9</f>
        <v>87183.41</v>
      </c>
      <c r="F56" s="1017">
        <f t="shared" ref="F56:F65" si="15">ROUND(B56*E56/10000,0)</f>
        <v>33757</v>
      </c>
      <c r="G56" s="3305"/>
      <c r="H56" s="329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f>ROUND($C$48*C57*D57,0)</f>
        <v>0</v>
      </c>
      <c r="C57" s="176">
        <f t="shared" ref="C57:C65" si="16">IF($C$55="北京市系数",I57,J57)</f>
        <v>0</v>
      </c>
      <c r="D57" s="1076">
        <v>0.25</v>
      </c>
      <c r="E57" s="650">
        <f>'数据-汇总表'!G19</f>
        <v>9963.2900000000009</v>
      </c>
      <c r="F57" s="1017">
        <f t="shared" si="15"/>
        <v>0</v>
      </c>
      <c r="G57" s="3357"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f t="shared" ref="B58:B65" si="17">ROUND($C$48*C58*D58,0)</f>
        <v>0</v>
      </c>
      <c r="C58" s="176">
        <f t="shared" si="16"/>
        <v>0</v>
      </c>
      <c r="D58" s="1076">
        <v>0.25</v>
      </c>
      <c r="E58" s="650"/>
      <c r="F58" s="1017">
        <f t="shared" si="15"/>
        <v>0</v>
      </c>
      <c r="G58" s="3357"/>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f t="shared" si="17"/>
        <v>0</v>
      </c>
      <c r="C59" s="176">
        <f t="shared" si="16"/>
        <v>0</v>
      </c>
      <c r="D59" s="1076">
        <v>0.25</v>
      </c>
      <c r="E59" s="650"/>
      <c r="F59" s="1017">
        <f t="shared" si="15"/>
        <v>0</v>
      </c>
      <c r="G59" s="3357"/>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f t="shared" si="17"/>
        <v>0</v>
      </c>
      <c r="C60" s="176">
        <f t="shared" si="16"/>
        <v>0</v>
      </c>
      <c r="D60" s="1076">
        <v>0.25</v>
      </c>
      <c r="E60" s="650"/>
      <c r="F60" s="1017">
        <f t="shared" si="15"/>
        <v>0</v>
      </c>
      <c r="G60" s="3357"/>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f t="shared" si="17"/>
        <v>0</v>
      </c>
      <c r="C61" s="176">
        <f t="shared" si="16"/>
        <v>0</v>
      </c>
      <c r="D61" s="1076">
        <v>0.25</v>
      </c>
      <c r="E61" s="223">
        <f>'数据-汇总表'!E11</f>
        <v>0</v>
      </c>
      <c r="F61" s="1017">
        <f t="shared" si="15"/>
        <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f t="shared" si="17"/>
        <v>0</v>
      </c>
      <c r="C62" s="176">
        <f t="shared" si="16"/>
        <v>0</v>
      </c>
      <c r="D62" s="1076">
        <v>0.25</v>
      </c>
      <c r="E62" s="223">
        <f>'数据-汇总表'!E12</f>
        <v>0</v>
      </c>
      <c r="F62" s="1017">
        <f t="shared" si="15"/>
        <v>0</v>
      </c>
      <c r="G62" s="1023" t="s">
        <v>1343</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f t="shared" si="17"/>
        <v>0</v>
      </c>
      <c r="C65" s="176">
        <f t="shared" si="16"/>
        <v>0</v>
      </c>
      <c r="D65" s="1076">
        <v>0.25</v>
      </c>
      <c r="E65" s="223">
        <f>'数据-汇总表'!E15</f>
        <v>0</v>
      </c>
      <c r="F65" s="1017">
        <f t="shared" si="15"/>
        <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97146.700000000012</v>
      </c>
      <c r="F66" s="653">
        <f>IF(B46="楼面地价",SUM(F56:F65),ROUND(C48*E66/10000,0))</f>
        <v>33757</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6" t="s">
        <v>1343</v>
      </c>
      <c r="B71" s="294" t="str">
        <f>"北京市平均增长率"&amp;TEXT(SUMIF(基准地价修正!N21:N25,A71,基准地价修正!P21:P25),"0.00%")</f>
        <v>北京市平均增长率0.00%</v>
      </c>
      <c r="C71" s="560">
        <v>100</v>
      </c>
      <c r="D71" s="552">
        <v>99.5</v>
      </c>
      <c r="E71" s="552">
        <v>99</v>
      </c>
      <c r="F71" s="552">
        <v>98.5</v>
      </c>
      <c r="G71" s="552">
        <v>98</v>
      </c>
      <c r="H71" s="552">
        <v>97.5</v>
      </c>
      <c r="I71" s="552">
        <v>97</v>
      </c>
      <c r="J71" s="552">
        <v>96.5</v>
      </c>
      <c r="K71" s="552">
        <v>96</v>
      </c>
      <c r="L71" s="552">
        <v>95.5</v>
      </c>
      <c r="M71" s="552">
        <v>95</v>
      </c>
      <c r="N71" s="552">
        <v>94.5</v>
      </c>
      <c r="O71" s="552">
        <v>94</v>
      </c>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v>3</v>
      </c>
      <c r="G80" s="506">
        <v>4</v>
      </c>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95</v>
      </c>
      <c r="E81" s="501">
        <f t="shared" si="21"/>
        <v>90</v>
      </c>
      <c r="F81" s="501">
        <f t="shared" si="21"/>
        <v>85</v>
      </c>
      <c r="G81" s="501">
        <f t="shared" si="21"/>
        <v>80</v>
      </c>
      <c r="H81" s="501">
        <f t="shared" si="21"/>
        <v>75</v>
      </c>
      <c r="I81" s="501">
        <f t="shared" si="21"/>
        <v>70</v>
      </c>
      <c r="J81" s="501">
        <f t="shared" si="21"/>
        <v>65</v>
      </c>
      <c r="K81" s="501">
        <f t="shared" si="21"/>
        <v>60</v>
      </c>
      <c r="L81" s="501">
        <f t="shared" si="21"/>
        <v>55</v>
      </c>
      <c r="M81" s="501">
        <f t="shared" si="21"/>
        <v>50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t="str">
        <f>B13</f>
        <v>自持</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95</v>
      </c>
      <c r="E91" s="501">
        <f>D91-$K17</f>
        <v>90</v>
      </c>
      <c r="F91" s="501">
        <f>E91-$K17</f>
        <v>85</v>
      </c>
      <c r="G91" s="501">
        <f>F91-$K17</f>
        <v>80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98</v>
      </c>
      <c r="E95" s="501">
        <f>D95-$K21</f>
        <v>96</v>
      </c>
      <c r="F95" s="501">
        <f>E95-$K21</f>
        <v>94</v>
      </c>
      <c r="G95" s="501">
        <f>F95-$K21</f>
        <v>92</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2384</v>
      </c>
      <c r="B116" s="485" t="s">
        <v>2611</v>
      </c>
      <c r="C116" s="486" t="str">
        <f>C117&amp;"(含)"&amp;"-"&amp;D117</f>
        <v>0(含)-10000</v>
      </c>
      <c r="D116" s="486" t="str">
        <f t="shared" ref="D116:M116" si="25">D117&amp;"(含)"&amp;"-"&amp;E117</f>
        <v>10000(含)-20000</v>
      </c>
      <c r="E116" s="486" t="str">
        <f t="shared" si="25"/>
        <v>20000(含)-40000</v>
      </c>
      <c r="F116" s="486" t="str">
        <f t="shared" si="25"/>
        <v>40000(含)-60000</v>
      </c>
      <c r="G116" s="486" t="str">
        <f t="shared" si="25"/>
        <v>60000(含)-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v>10000</v>
      </c>
      <c r="E117" s="552">
        <v>20000</v>
      </c>
      <c r="F117" s="552">
        <v>40000</v>
      </c>
      <c r="G117" s="552">
        <v>60000</v>
      </c>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v>101</v>
      </c>
      <c r="E118" s="548">
        <v>102</v>
      </c>
      <c r="F118" s="548">
        <v>103</v>
      </c>
      <c r="G118" s="548">
        <v>104</v>
      </c>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09" t="s">
        <v>2467</v>
      </c>
      <c r="D4" s="3310"/>
      <c r="E4" s="3311" t="s">
        <v>2468</v>
      </c>
      <c r="F4" s="3312"/>
      <c r="G4" s="3309" t="s">
        <v>2469</v>
      </c>
      <c r="H4" s="3310"/>
      <c r="I4" s="3309" t="s">
        <v>2470</v>
      </c>
      <c r="J4" s="3310"/>
      <c r="K4" s="567" t="s">
        <v>2471</v>
      </c>
      <c r="L4" s="2943"/>
      <c r="M4" s="2944"/>
      <c r="N4" s="2944"/>
      <c r="O4" s="2944"/>
      <c r="P4" s="3313" t="s">
        <v>2472</v>
      </c>
      <c r="Q4" s="3314"/>
      <c r="R4" s="3319" t="s">
        <v>2468</v>
      </c>
      <c r="S4" s="3320"/>
      <c r="T4" s="3319" t="s">
        <v>2469</v>
      </c>
      <c r="U4" s="3320"/>
      <c r="V4" s="3325" t="s">
        <v>2470</v>
      </c>
      <c r="W4" s="3325"/>
      <c r="X4" s="1539"/>
      <c r="Y4" s="3319" t="s">
        <v>2472</v>
      </c>
      <c r="Z4" s="3320"/>
      <c r="AA4" s="3306" t="s">
        <v>2468</v>
      </c>
      <c r="AB4" s="3307" t="s">
        <v>2469</v>
      </c>
      <c r="AC4" s="3306" t="s">
        <v>2470</v>
      </c>
    </row>
    <row r="5" spans="1:29" ht="15">
      <c r="A5" s="364"/>
      <c r="B5" s="365"/>
      <c r="C5" s="3328" t="s">
        <v>2363</v>
      </c>
      <c r="D5" s="3329"/>
      <c r="E5" s="3335" t="s">
        <v>2364</v>
      </c>
      <c r="F5" s="3336"/>
      <c r="G5" s="3328" t="s">
        <v>2365</v>
      </c>
      <c r="H5" s="3329"/>
      <c r="I5" s="3328" t="s">
        <v>2366</v>
      </c>
      <c r="J5" s="3329"/>
      <c r="K5" s="567"/>
      <c r="L5" s="2943"/>
      <c r="M5" s="2944"/>
      <c r="N5" s="2944"/>
      <c r="O5" s="2944"/>
      <c r="P5" s="3315"/>
      <c r="Q5" s="3316"/>
      <c r="R5" s="3321"/>
      <c r="S5" s="3322"/>
      <c r="T5" s="3321"/>
      <c r="U5" s="3322"/>
      <c r="V5" s="3325"/>
      <c r="W5" s="3325"/>
      <c r="X5" s="1539"/>
      <c r="Y5" s="3321"/>
      <c r="Z5" s="3322"/>
      <c r="AA5" s="3307"/>
      <c r="AB5" s="3307"/>
      <c r="AC5" s="3307"/>
    </row>
    <row r="6" spans="1:29" ht="15.75" thickBot="1">
      <c r="A6" s="366"/>
      <c r="B6" s="367"/>
      <c r="C6" s="3358" t="s">
        <v>2617</v>
      </c>
      <c r="D6" s="3359"/>
      <c r="E6" s="3360" t="s">
        <v>2617</v>
      </c>
      <c r="F6" s="3361"/>
      <c r="G6" s="3358" t="s">
        <v>2617</v>
      </c>
      <c r="H6" s="3359"/>
      <c r="I6" s="3358" t="s">
        <v>2617</v>
      </c>
      <c r="J6" s="3359"/>
      <c r="K6" s="567" t="s">
        <v>2368</v>
      </c>
      <c r="L6" s="2943"/>
      <c r="M6" s="2944"/>
      <c r="N6" s="2944"/>
      <c r="O6" s="2944"/>
      <c r="P6" s="3317"/>
      <c r="Q6" s="3318"/>
      <c r="R6" s="3321"/>
      <c r="S6" s="3322"/>
      <c r="T6" s="3323"/>
      <c r="U6" s="3324"/>
      <c r="V6" s="3325"/>
      <c r="W6" s="3325"/>
      <c r="X6" s="1539"/>
      <c r="Y6" s="3323"/>
      <c r="Z6" s="3324"/>
      <c r="AA6" s="3308"/>
      <c r="AB6" s="3308"/>
      <c r="AC6" s="3308"/>
    </row>
    <row r="7" spans="1:29" s="113" customFormat="1" ht="15.75" thickBot="1">
      <c r="A7" s="368" t="s">
        <v>2369</v>
      </c>
      <c r="B7" s="369"/>
      <c r="C7" s="370">
        <f>'数据-取费表'!B2</f>
        <v>44309</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30" t="s">
        <v>2370</v>
      </c>
      <c r="Q7" s="3332"/>
      <c r="R7" s="710" t="s">
        <v>17</v>
      </c>
      <c r="S7" s="711">
        <f t="shared" ref="S7:S15" si="0">F7</f>
        <v>0</v>
      </c>
      <c r="T7" s="710" t="s">
        <v>17</v>
      </c>
      <c r="U7" s="711">
        <f t="shared" ref="U7:U15" si="1">H7</f>
        <v>0</v>
      </c>
      <c r="V7" s="710" t="s">
        <v>17</v>
      </c>
      <c r="W7" s="711">
        <f t="shared" ref="W7:W15" si="2">J7</f>
        <v>0</v>
      </c>
      <c r="X7" s="712"/>
      <c r="Y7" s="3330" t="s">
        <v>2370</v>
      </c>
      <c r="Z7" s="333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0" t="s">
        <v>2373</v>
      </c>
      <c r="Q8" s="3331"/>
      <c r="R8" s="710" t="s">
        <v>17</v>
      </c>
      <c r="S8" s="711">
        <f t="shared" si="0"/>
        <v>0</v>
      </c>
      <c r="T8" s="710" t="s">
        <v>17</v>
      </c>
      <c r="U8" s="711">
        <f t="shared" si="1"/>
        <v>0</v>
      </c>
      <c r="V8" s="710" t="s">
        <v>17</v>
      </c>
      <c r="W8" s="711">
        <f t="shared" si="2"/>
        <v>0</v>
      </c>
      <c r="X8" s="712"/>
      <c r="Y8" s="3330" t="s">
        <v>2373</v>
      </c>
      <c r="Z8" s="333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294"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7"/>
      <c r="M10" s="2948"/>
      <c r="N10" s="2948"/>
      <c r="O10" s="3001"/>
      <c r="P10" s="3294"/>
      <c r="Q10" s="1527" t="str">
        <f t="shared" si="6"/>
        <v>土地使用年限（年）</v>
      </c>
      <c r="R10" s="710" t="s">
        <v>17</v>
      </c>
      <c r="S10" s="711">
        <f t="shared" si="0"/>
        <v>103</v>
      </c>
      <c r="T10" s="710" t="s">
        <v>17</v>
      </c>
      <c r="U10" s="711">
        <f t="shared" si="1"/>
        <v>103</v>
      </c>
      <c r="V10" s="710" t="s">
        <v>17</v>
      </c>
      <c r="W10" s="711">
        <f t="shared" si="2"/>
        <v>103</v>
      </c>
      <c r="X10" s="712"/>
      <c r="Y10" s="3164"/>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94"/>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4"/>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4"/>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4"/>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6" t="s">
        <v>2381</v>
      </c>
      <c r="Q15" s="1536" t="str">
        <f t="shared" si="6"/>
        <v>产业集聚程度</v>
      </c>
      <c r="R15" s="714" t="s">
        <v>17</v>
      </c>
      <c r="S15" s="715">
        <f t="shared" si="0"/>
        <v>100</v>
      </c>
      <c r="T15" s="714" t="s">
        <v>17</v>
      </c>
      <c r="U15" s="715">
        <f t="shared" si="1"/>
        <v>100</v>
      </c>
      <c r="V15" s="714" t="s">
        <v>17</v>
      </c>
      <c r="W15" s="715">
        <f t="shared" si="2"/>
        <v>100</v>
      </c>
      <c r="X15" s="1539"/>
      <c r="Y15" s="329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297"/>
      <c r="Q16" s="1536"/>
      <c r="R16" s="714"/>
      <c r="S16" s="715"/>
      <c r="T16" s="714"/>
      <c r="U16" s="715"/>
      <c r="V16" s="714"/>
      <c r="W16" s="715"/>
      <c r="X16" s="1539"/>
      <c r="Y16" s="329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7"/>
      <c r="Q17" s="1536" t="str">
        <f>B17</f>
        <v>交通便捷度</v>
      </c>
      <c r="R17" s="714" t="s">
        <v>17</v>
      </c>
      <c r="S17" s="715">
        <f>F17</f>
        <v>100</v>
      </c>
      <c r="T17" s="714" t="s">
        <v>17</v>
      </c>
      <c r="U17" s="715">
        <f>H17</f>
        <v>100</v>
      </c>
      <c r="V17" s="714" t="s">
        <v>17</v>
      </c>
      <c r="W17" s="715">
        <f>J17</f>
        <v>100</v>
      </c>
      <c r="X17" s="1539"/>
      <c r="Y17" s="329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297"/>
      <c r="Q18" s="1536"/>
      <c r="R18" s="714"/>
      <c r="S18" s="715"/>
      <c r="T18" s="714"/>
      <c r="U18" s="715"/>
      <c r="V18" s="714"/>
      <c r="W18" s="715"/>
      <c r="X18" s="1539"/>
      <c r="Y18" s="329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7"/>
      <c r="Q19" s="1536" t="str">
        <f t="shared" ref="Q19:Q33" si="8">B19</f>
        <v>区域土地利用方向</v>
      </c>
      <c r="R19" s="714" t="s">
        <v>17</v>
      </c>
      <c r="S19" s="715">
        <f>F19</f>
        <v>100</v>
      </c>
      <c r="T19" s="714" t="s">
        <v>17</v>
      </c>
      <c r="U19" s="715">
        <f>H19</f>
        <v>100</v>
      </c>
      <c r="V19" s="714" t="s">
        <v>17</v>
      </c>
      <c r="W19" s="715">
        <f>J19</f>
        <v>100</v>
      </c>
      <c r="X19" s="1539"/>
      <c r="Y19" s="329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297"/>
      <c r="Q20" s="1536"/>
      <c r="R20" s="714"/>
      <c r="S20" s="715"/>
      <c r="T20" s="714"/>
      <c r="U20" s="715"/>
      <c r="V20" s="714"/>
      <c r="W20" s="715"/>
      <c r="X20" s="1539"/>
      <c r="Y20" s="3297"/>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7"/>
      <c r="Q21" s="1536" t="str">
        <f t="shared" si="8"/>
        <v>环境状况</v>
      </c>
      <c r="R21" s="714" t="s">
        <v>17</v>
      </c>
      <c r="S21" s="715">
        <f>F21</f>
        <v>100</v>
      </c>
      <c r="T21" s="714" t="s">
        <v>17</v>
      </c>
      <c r="U21" s="715">
        <f>H21</f>
        <v>100</v>
      </c>
      <c r="V21" s="714" t="s">
        <v>17</v>
      </c>
      <c r="W21" s="715">
        <f>J21</f>
        <v>100</v>
      </c>
      <c r="X21" s="1539"/>
      <c r="Y21" s="329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297"/>
      <c r="Q22" s="1536"/>
      <c r="R22" s="714"/>
      <c r="S22" s="715"/>
      <c r="T22" s="714"/>
      <c r="U22" s="715"/>
      <c r="V22" s="714"/>
      <c r="W22" s="715"/>
      <c r="X22" s="1539"/>
      <c r="Y22" s="329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7"/>
      <c r="Q23" s="1527" t="str">
        <f t="shared" si="8"/>
        <v>公共配套设施</v>
      </c>
      <c r="R23" s="710" t="s">
        <v>17</v>
      </c>
      <c r="S23" s="711">
        <f>F23</f>
        <v>100</v>
      </c>
      <c r="T23" s="710" t="s">
        <v>17</v>
      </c>
      <c r="U23" s="711">
        <f>H23</f>
        <v>100</v>
      </c>
      <c r="V23" s="710" t="s">
        <v>17</v>
      </c>
      <c r="W23" s="711">
        <f>J23</f>
        <v>100</v>
      </c>
      <c r="X23" s="712"/>
      <c r="Y23" s="329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297"/>
      <c r="Q24" s="1527"/>
      <c r="R24" s="710"/>
      <c r="S24" s="711"/>
      <c r="T24" s="710"/>
      <c r="U24" s="711"/>
      <c r="V24" s="710"/>
      <c r="W24" s="711"/>
      <c r="X24" s="712"/>
      <c r="Y24" s="329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7"/>
      <c r="Q25" s="1527" t="str">
        <f t="shared" ref="Q25" si="9">B25</f>
        <v>基础设施水平</v>
      </c>
      <c r="R25" s="710" t="s">
        <v>17</v>
      </c>
      <c r="S25" s="711">
        <f>F25</f>
        <v>100</v>
      </c>
      <c r="T25" s="710" t="s">
        <v>17</v>
      </c>
      <c r="U25" s="711">
        <f>H25</f>
        <v>100</v>
      </c>
      <c r="V25" s="710" t="s">
        <v>17</v>
      </c>
      <c r="W25" s="711">
        <f>J25</f>
        <v>100</v>
      </c>
      <c r="X25" s="712"/>
      <c r="Y25" s="329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297"/>
      <c r="Q26" s="1527"/>
      <c r="R26" s="710"/>
      <c r="S26" s="711"/>
      <c r="T26" s="710"/>
      <c r="U26" s="711"/>
      <c r="V26" s="710"/>
      <c r="W26" s="711"/>
      <c r="X26" s="712"/>
      <c r="Y26" s="329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7"/>
      <c r="Q28" s="1536" t="str">
        <f t="shared" si="8"/>
        <v>毗邻道路的类型与等级</v>
      </c>
      <c r="R28" s="714" t="s">
        <v>17</v>
      </c>
      <c r="S28" s="715">
        <f t="shared" si="10"/>
        <v>100</v>
      </c>
      <c r="T28" s="714" t="s">
        <v>17</v>
      </c>
      <c r="U28" s="715">
        <f t="shared" si="11"/>
        <v>100</v>
      </c>
      <c r="V28" s="714" t="s">
        <v>17</v>
      </c>
      <c r="W28" s="715">
        <f t="shared" si="12"/>
        <v>100</v>
      </c>
      <c r="X28" s="1539"/>
      <c r="Y28" s="329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297"/>
      <c r="Q29" s="1536"/>
      <c r="R29" s="714"/>
      <c r="S29" s="715"/>
      <c r="T29" s="714"/>
      <c r="U29" s="715"/>
      <c r="V29" s="714"/>
      <c r="W29" s="715"/>
      <c r="X29" s="1539"/>
      <c r="Y29" s="329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7"/>
      <c r="Q30" s="1536" t="str">
        <f t="shared" si="8"/>
        <v>土地级别</v>
      </c>
      <c r="R30" s="714" t="s">
        <v>17</v>
      </c>
      <c r="S30" s="715">
        <f t="shared" si="10"/>
        <v>100</v>
      </c>
      <c r="T30" s="714" t="s">
        <v>17</v>
      </c>
      <c r="U30" s="715">
        <f t="shared" si="11"/>
        <v>100</v>
      </c>
      <c r="V30" s="714" t="s">
        <v>17</v>
      </c>
      <c r="W30" s="715">
        <f t="shared" si="12"/>
        <v>100</v>
      </c>
      <c r="X30" s="1539"/>
      <c r="Y30" s="329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7"/>
      <c r="Q31" s="1536">
        <f t="shared" si="8"/>
        <v>111</v>
      </c>
      <c r="R31" s="714" t="s">
        <v>17</v>
      </c>
      <c r="S31" s="715">
        <f t="shared" si="10"/>
        <v>100</v>
      </c>
      <c r="T31" s="714" t="s">
        <v>17</v>
      </c>
      <c r="U31" s="715">
        <f t="shared" si="11"/>
        <v>100</v>
      </c>
      <c r="V31" s="714" t="s">
        <v>17</v>
      </c>
      <c r="W31" s="715">
        <f t="shared" si="12"/>
        <v>100</v>
      </c>
      <c r="X31" s="1539"/>
      <c r="Y31" s="329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2" t="s">
        <v>2386</v>
      </c>
      <c r="Q32" s="1536">
        <f t="shared" si="8"/>
        <v>111</v>
      </c>
      <c r="R32" s="714" t="s">
        <v>17</v>
      </c>
      <c r="S32" s="715">
        <f t="shared" si="10"/>
        <v>100</v>
      </c>
      <c r="T32" s="714" t="s">
        <v>17</v>
      </c>
      <c r="U32" s="715">
        <f t="shared" si="11"/>
        <v>100</v>
      </c>
      <c r="V32" s="714" t="s">
        <v>17</v>
      </c>
      <c r="W32" s="715">
        <f t="shared" si="12"/>
        <v>100</v>
      </c>
      <c r="X32" s="1539"/>
      <c r="Y32" s="330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1"/>
      <c r="Q33" s="1536">
        <f t="shared" si="8"/>
        <v>111</v>
      </c>
      <c r="R33" s="717" t="s">
        <v>17</v>
      </c>
      <c r="S33" s="718">
        <f t="shared" si="10"/>
        <v>100</v>
      </c>
      <c r="T33" s="717" t="s">
        <v>17</v>
      </c>
      <c r="U33" s="718">
        <f t="shared" si="11"/>
        <v>100</v>
      </c>
      <c r="V33" s="717" t="s">
        <v>17</v>
      </c>
      <c r="W33" s="718">
        <f t="shared" si="12"/>
        <v>100</v>
      </c>
      <c r="X33" s="719"/>
      <c r="Y33" s="330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1"/>
      <c r="Q34" s="1536" t="str">
        <f>B34</f>
        <v>宗地面积</v>
      </c>
      <c r="R34" s="714" t="s">
        <v>17</v>
      </c>
      <c r="S34" s="715" t="e">
        <f t="shared" si="10"/>
        <v>#N/A</v>
      </c>
      <c r="T34" s="714" t="s">
        <v>17</v>
      </c>
      <c r="U34" s="715" t="e">
        <f t="shared" si="11"/>
        <v>#N/A</v>
      </c>
      <c r="V34" s="714" t="s">
        <v>17</v>
      </c>
      <c r="W34" s="715" t="e">
        <f t="shared" si="12"/>
        <v>#N/A</v>
      </c>
      <c r="X34" s="1539"/>
      <c r="Y34" s="330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01"/>
      <c r="Q35" s="1536" t="str">
        <f t="shared" ref="Q35:Q40" si="14">B35</f>
        <v>宗地形状</v>
      </c>
      <c r="R35" s="714" t="s">
        <v>17</v>
      </c>
      <c r="S35" s="715">
        <f t="shared" si="10"/>
        <v>100</v>
      </c>
      <c r="T35" s="714" t="s">
        <v>17</v>
      </c>
      <c r="U35" s="715">
        <f t="shared" si="11"/>
        <v>100</v>
      </c>
      <c r="V35" s="714" t="s">
        <v>17</v>
      </c>
      <c r="W35" s="715">
        <f t="shared" si="12"/>
        <v>100</v>
      </c>
      <c r="X35" s="1539"/>
      <c r="Y35" s="330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01"/>
      <c r="Q36" s="1536" t="str">
        <f t="shared" si="14"/>
        <v>宗地开发程度</v>
      </c>
      <c r="R36" s="710" t="s">
        <v>17</v>
      </c>
      <c r="S36" s="711">
        <f t="shared" si="10"/>
        <v>100</v>
      </c>
      <c r="T36" s="710" t="s">
        <v>17</v>
      </c>
      <c r="U36" s="711">
        <f t="shared" si="11"/>
        <v>100</v>
      </c>
      <c r="V36" s="710" t="s">
        <v>17</v>
      </c>
      <c r="W36" s="711">
        <f t="shared" si="12"/>
        <v>100</v>
      </c>
      <c r="X36" s="712"/>
      <c r="Y36" s="330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01" t="s">
        <v>2386</v>
      </c>
      <c r="Q37" s="1536" t="str">
        <f t="shared" si="14"/>
        <v>工程地质条件</v>
      </c>
      <c r="R37" s="714" t="s">
        <v>17</v>
      </c>
      <c r="S37" s="715">
        <f t="shared" si="10"/>
        <v>100</v>
      </c>
      <c r="T37" s="714" t="s">
        <v>17</v>
      </c>
      <c r="U37" s="715">
        <f t="shared" si="11"/>
        <v>100</v>
      </c>
      <c r="V37" s="714" t="s">
        <v>17</v>
      </c>
      <c r="W37" s="715">
        <f t="shared" si="12"/>
        <v>100</v>
      </c>
      <c r="X37" s="1539"/>
      <c r="Y37" s="330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1"/>
      <c r="Q38" s="1536">
        <f t="shared" si="14"/>
        <v>111</v>
      </c>
      <c r="R38" s="714" t="s">
        <v>17</v>
      </c>
      <c r="S38" s="715">
        <f t="shared" si="10"/>
        <v>100</v>
      </c>
      <c r="T38" s="714" t="s">
        <v>17</v>
      </c>
      <c r="U38" s="715">
        <f t="shared" si="11"/>
        <v>100</v>
      </c>
      <c r="V38" s="714" t="s">
        <v>17</v>
      </c>
      <c r="W38" s="715">
        <f t="shared" si="12"/>
        <v>100</v>
      </c>
      <c r="X38" s="1539"/>
      <c r="Y38" s="330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1"/>
      <c r="Q39" s="1536">
        <f t="shared" si="14"/>
        <v>111</v>
      </c>
      <c r="R39" s="714" t="s">
        <v>17</v>
      </c>
      <c r="S39" s="715">
        <f t="shared" si="10"/>
        <v>100</v>
      </c>
      <c r="T39" s="714" t="s">
        <v>17</v>
      </c>
      <c r="U39" s="715">
        <f t="shared" si="11"/>
        <v>100</v>
      </c>
      <c r="V39" s="714" t="s">
        <v>17</v>
      </c>
      <c r="W39" s="715">
        <f t="shared" si="12"/>
        <v>100</v>
      </c>
      <c r="X39" s="1539"/>
      <c r="Y39" s="330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1"/>
      <c r="Q40" s="1536">
        <f t="shared" si="14"/>
        <v>111</v>
      </c>
      <c r="R40" s="717" t="s">
        <v>17</v>
      </c>
      <c r="S40" s="718">
        <f t="shared" si="10"/>
        <v>100</v>
      </c>
      <c r="T40" s="717" t="s">
        <v>17</v>
      </c>
      <c r="U40" s="718">
        <f t="shared" si="11"/>
        <v>100</v>
      </c>
      <c r="V40" s="717" t="s">
        <v>17</v>
      </c>
      <c r="W40" s="718">
        <f t="shared" si="12"/>
        <v>100</v>
      </c>
      <c r="X40" s="719"/>
      <c r="Y40" s="3301"/>
      <c r="Z40" s="720">
        <f t="shared" si="13"/>
        <v>111</v>
      </c>
      <c r="AA40" s="1537">
        <f t="shared" si="3"/>
        <v>1</v>
      </c>
      <c r="AB40" s="1537">
        <f t="shared" si="4"/>
        <v>1</v>
      </c>
      <c r="AC40" s="1537">
        <f t="shared" si="5"/>
        <v>1</v>
      </c>
    </row>
    <row r="41" spans="1:31" ht="15">
      <c r="A41" s="438" t="s">
        <v>2541</v>
      </c>
      <c r="B41" s="2168" t="s">
        <v>2620</v>
      </c>
      <c r="C41" s="638" t="s">
        <v>1</v>
      </c>
      <c r="D41" s="440"/>
      <c r="E41" s="441"/>
      <c r="F41" s="442"/>
      <c r="G41" s="443"/>
      <c r="H41" s="444"/>
      <c r="I41" s="441"/>
      <c r="J41" s="444"/>
      <c r="K41" s="723"/>
      <c r="L41" s="2952"/>
      <c r="M41" s="2944"/>
      <c r="N41" s="2944"/>
      <c r="O41" s="2953"/>
      <c r="P41" s="3294" t="str">
        <f>A41</f>
        <v>成交单价</v>
      </c>
      <c r="Q41" s="3294"/>
      <c r="R41" s="3325">
        <f>E41</f>
        <v>0</v>
      </c>
      <c r="S41" s="3325"/>
      <c r="T41" s="3325">
        <f>G41</f>
        <v>0</v>
      </c>
      <c r="U41" s="3325"/>
      <c r="V41" s="3325">
        <f>I41</f>
        <v>0</v>
      </c>
      <c r="W41" s="3325"/>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2"/>
      <c r="M42" s="2944"/>
      <c r="N42" s="2944"/>
      <c r="O42" s="2953"/>
      <c r="P42" s="3294" t="str">
        <f>A42</f>
        <v>比较价值（元/平方米）</v>
      </c>
      <c r="Q42" s="3294"/>
      <c r="R42" s="3354" t="e">
        <f>ROUND(PRODUCT(R41,AA7:AA40),0)</f>
        <v>#DIV/0!</v>
      </c>
      <c r="S42" s="3354"/>
      <c r="T42" s="3354" t="e">
        <f>ROUND(PRODUCT(T41,AB7:AB40),0)</f>
        <v>#DIV/0!</v>
      </c>
      <c r="U42" s="3354"/>
      <c r="V42" s="3354" t="e">
        <f>ROUND(PRODUCT(V41,AC7:AC40),0)</f>
        <v>#DIV/0!</v>
      </c>
      <c r="W42" s="335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291" t="str">
        <f>A43</f>
        <v>估价对象XX用房的比较价值（楼面单价，元/平方米）</v>
      </c>
      <c r="Q43" s="3292"/>
      <c r="R43" s="3355" t="e">
        <f>ROUND(IF(D42="简单平均",AVERAGE(R42:W42),R42*F42+T42*H42+V42*J42),0)</f>
        <v>#DIV/0!</v>
      </c>
      <c r="S43" s="3355"/>
      <c r="T43" s="3355"/>
      <c r="U43" s="3355"/>
      <c r="V43" s="3355"/>
      <c r="W43" s="3355"/>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09" t="s">
        <v>2585</v>
      </c>
      <c r="H50" s="3356"/>
      <c r="I50" s="1540" t="s">
        <v>2621</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87183.41</v>
      </c>
      <c r="F51" s="647" t="e">
        <f t="shared" ref="F51:F60" si="15">ROUND(B51*E51/10000,0)</f>
        <v>#DIV/0!</v>
      </c>
      <c r="G51" s="3305"/>
      <c r="H51" s="329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57"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57"/>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57"/>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57"/>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30151.46</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2.89</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65"/>
      <c r="B4" s="3366"/>
      <c r="C4" s="3366"/>
      <c r="D4" s="3367"/>
      <c r="E4" s="3367"/>
      <c r="F4" s="3367"/>
      <c r="G4" s="3367"/>
      <c r="H4" s="3367"/>
      <c r="I4" s="3367"/>
      <c r="J4" s="3368"/>
      <c r="K4" s="1280"/>
      <c r="L4" s="2190"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69"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2" t="s">
        <v>2655</v>
      </c>
      <c r="X7" s="1375">
        <f>G2</f>
        <v>0</v>
      </c>
      <c r="Y7" s="1375" t="s">
        <v>2656</v>
      </c>
      <c r="Z7" s="1376">
        <f>G3</f>
        <v>2.89</v>
      </c>
      <c r="AA7" s="1377"/>
      <c r="AB7" s="1377"/>
      <c r="AC7" s="1378"/>
      <c r="AD7" s="1379"/>
      <c r="AE7" s="1379"/>
      <c r="AF7" s="1379"/>
      <c r="AG7" s="1379"/>
      <c r="AH7" s="1379"/>
      <c r="AI7" s="1379"/>
      <c r="AJ7" s="1380"/>
    </row>
    <row r="8" spans="1:36" ht="15">
      <c r="A8" s="3370"/>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62" t="s">
        <v>2660</v>
      </c>
      <c r="X8" s="3363"/>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70"/>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64"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0"/>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6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0"/>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64" t="s">
        <v>2684</v>
      </c>
      <c r="X11" s="1385" t="s">
        <v>2685</v>
      </c>
      <c r="Y11" s="1386">
        <f>$G$3</f>
        <v>2.89</v>
      </c>
      <c r="Z11" s="1386">
        <f t="shared" ref="Z11:AJ11" si="3">$G$3</f>
        <v>2.89</v>
      </c>
      <c r="AA11" s="1386">
        <f t="shared" si="3"/>
        <v>2.89</v>
      </c>
      <c r="AB11" s="1386">
        <f t="shared" si="3"/>
        <v>2.89</v>
      </c>
      <c r="AC11" s="1386">
        <f t="shared" si="3"/>
        <v>2.89</v>
      </c>
      <c r="AD11" s="1386">
        <f t="shared" si="3"/>
        <v>2.89</v>
      </c>
      <c r="AE11" s="1386">
        <f t="shared" si="3"/>
        <v>2.89</v>
      </c>
      <c r="AF11" s="1386">
        <f t="shared" si="3"/>
        <v>2.89</v>
      </c>
      <c r="AG11" s="1386">
        <f t="shared" si="3"/>
        <v>2.89</v>
      </c>
      <c r="AH11" s="1386">
        <f t="shared" si="3"/>
        <v>2.89</v>
      </c>
      <c r="AI11" s="1386">
        <f t="shared" si="3"/>
        <v>2.89</v>
      </c>
      <c r="AJ11" s="1386">
        <f t="shared" si="3"/>
        <v>2.89</v>
      </c>
    </row>
    <row r="12" spans="1:36" ht="25.5" thickBot="1">
      <c r="A12" s="3369"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64"/>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1"/>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3">
        <v>12</v>
      </c>
      <c r="S13" s="1374"/>
      <c r="T13" s="1373" t="e">
        <f t="shared" si="0"/>
        <v>#DIV/0!</v>
      </c>
      <c r="U13" s="1374"/>
      <c r="V13" s="1373" t="e">
        <f t="shared" si="1"/>
        <v>#DIV/0!</v>
      </c>
      <c r="W13" s="3364"/>
      <c r="X13" s="1387"/>
      <c r="Y13" s="1384">
        <f>(-0.163*(Y12^2)-0.59*Y12+7617)*(10^(-4))/Y11</f>
        <v>0.26356401384083045</v>
      </c>
      <c r="Z13" s="1384">
        <f t="shared" ref="Z13:AJ13" si="5">(-0.163*(Z12^2)-0.59*Z12+7617)*(10^(-4))/Z11</f>
        <v>0.26356401384083045</v>
      </c>
      <c r="AA13" s="1384">
        <f t="shared" si="5"/>
        <v>0.26356401384083045</v>
      </c>
      <c r="AB13" s="1384">
        <f t="shared" si="5"/>
        <v>0.26356401384083045</v>
      </c>
      <c r="AC13" s="1384">
        <f t="shared" si="5"/>
        <v>0.26356401384083045</v>
      </c>
      <c r="AD13" s="1384">
        <f t="shared" si="5"/>
        <v>0.26356401384083045</v>
      </c>
      <c r="AE13" s="1384">
        <f t="shared" si="5"/>
        <v>0.26356401384083045</v>
      </c>
      <c r="AF13" s="1384">
        <f t="shared" si="5"/>
        <v>0.26356401384083045</v>
      </c>
      <c r="AG13" s="1384">
        <f t="shared" si="5"/>
        <v>0.26356401384083045</v>
      </c>
      <c r="AH13" s="1384">
        <f t="shared" si="5"/>
        <v>0.26356401384083045</v>
      </c>
      <c r="AI13" s="1384">
        <f t="shared" si="5"/>
        <v>0.26356401384083045</v>
      </c>
      <c r="AJ13" s="1384">
        <f t="shared" si="5"/>
        <v>0.26356401384083045</v>
      </c>
    </row>
    <row r="14" spans="1:36" ht="15">
      <c r="A14" s="3371"/>
      <c r="B14" s="2232"/>
      <c r="C14" s="2233"/>
      <c r="D14" s="2234"/>
      <c r="E14" s="2234"/>
      <c r="F14" s="2235"/>
      <c r="G14" s="2236" t="s">
        <v>2697</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72"/>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69" t="s">
        <v>2703</v>
      </c>
      <c r="B16" s="2209" t="s">
        <v>2704</v>
      </c>
      <c r="C16" s="2371" t="e">
        <f>ROUND(IF(F17="与级别开发程度一致",0,(G17-E17)/C17),0)</f>
        <v>#DIV/0!</v>
      </c>
      <c r="D16" s="3385" t="s">
        <v>2708</v>
      </c>
      <c r="E16" s="3386"/>
      <c r="F16" s="3385" t="s">
        <v>2705</v>
      </c>
      <c r="G16" s="3386"/>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73"/>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7.75" thickBot="1">
      <c r="A19" s="2246" t="s">
        <v>809</v>
      </c>
      <c r="B19" s="2247" t="s">
        <v>2711</v>
      </c>
      <c r="C19" s="863" t="e">
        <f>ROUND(IF(H19="按公示增长率计算",SUMPRODUCT((地价!A3:A33=YEAR(G19)&amp;"-"&amp;ROUNDUP(MONTH(G19)/3,0))*(地价!X2:AB2=E2)*(地价!X3:AB33)),IF(H19="地价指数",M20/M19,(1+I19)^O19)),4)</f>
        <v>#VALUE!</v>
      </c>
      <c r="D19" s="2251" t="s">
        <v>2712</v>
      </c>
      <c r="E19" s="864">
        <v>41640</v>
      </c>
      <c r="F19" s="2251" t="s">
        <v>2713</v>
      </c>
      <c r="G19" s="865">
        <f>'数据-取费表'!B2</f>
        <v>44309</v>
      </c>
      <c r="H19" s="2252"/>
      <c r="I19" s="866" t="str">
        <f>IF(H19="季度增幅（自定义）",SUMIF(N21:N24,E2,O21:O24),"")</f>
        <v/>
      </c>
      <c r="J19" s="2249"/>
      <c r="K19" s="1287"/>
      <c r="L19" s="2253" t="s">
        <v>2714</v>
      </c>
      <c r="M19" s="1496">
        <f>ROUND(SUMIF(地价!B2:F2,E2,地价!B33:F33),0)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2716</v>
      </c>
      <c r="C20" s="868" t="e">
        <f>ROUND(POWER(1+G20,J20-I20)*(POWER(1+G20,I20)-1)/(POWER(1+G20,J20)-1),4)</f>
        <v>#DIV/0!</v>
      </c>
      <c r="D20" s="2258" t="s">
        <v>2717</v>
      </c>
      <c r="E20" s="1505">
        <f ca="1">存贷款利率!D4/100</f>
        <v>3.85E-2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ROUND(SUMPRODUCT((地价!A4:A33=YEAR(G19)&amp;"-"&amp;ROUNDUP(MONTH(G19)/3,0))*(地价!B2:F2=E2)*(地价!B4:F33)),0)</f>
        <v>0</v>
      </c>
      <c r="N20" s="2260" t="s">
        <v>2720</v>
      </c>
      <c r="O20" s="2261" t="s">
        <v>2721</v>
      </c>
      <c r="P20" s="2262"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2723</v>
      </c>
      <c r="C21" s="876">
        <f>IF(B21="容积率修正",IF(G3&lt;=10,D22,J22),C23)</f>
        <v>0</v>
      </c>
      <c r="D21" s="2265"/>
      <c r="E21" s="2265"/>
      <c r="F21" s="2265"/>
      <c r="G21" s="2265"/>
      <c r="H21" s="2265"/>
      <c r="I21" s="2265"/>
      <c r="J21" s="2266"/>
      <c r="K21" s="1287"/>
      <c r="L21" s="3018"/>
      <c r="M21" s="3018"/>
      <c r="N21" s="2267" t="s">
        <v>2724</v>
      </c>
      <c r="O21" s="1335"/>
      <c r="P21" s="1336">
        <f>SUMPRODUCT((地价!A3:A33=YEAR(G19)&amp;"-"&amp;ROUNDUP(MONTH(G19)/3,0))*(地价!AD2:AH2=N21)*(地价!AD3:AH33))</f>
        <v>0</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2725</v>
      </c>
      <c r="B22" s="2268" t="s">
        <v>2726</v>
      </c>
      <c r="C22" s="1536" t="s">
        <v>2727</v>
      </c>
      <c r="D22" s="1536">
        <f>IF(E22=G22,F22,IF(G3&lt;=10,ROUND(F22+(H22-F22)*(G3-E22)/(G22-E22),4),"——"))</f>
        <v>0</v>
      </c>
      <c r="E22" s="855">
        <f>ROUNDDOWN(G3,1)</f>
        <v>2.8</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2.9</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7" t="s">
        <v>2728</v>
      </c>
      <c r="O22" s="1335"/>
      <c r="P22" s="1336">
        <f>SUMPRODUCT((地价!A3:A33=YEAR(G19)&amp;"-"&amp;ROUNDUP(MONTH(G19)/3,0))*(地价!AD2:AH2=N22)*(地价!AD3:AH33))</f>
        <v>0</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8"/>
      <c r="M24" s="3018"/>
      <c r="N24" s="2277" t="s">
        <v>2733</v>
      </c>
      <c r="O24" s="1337"/>
      <c r="P24" s="1338">
        <f>SUMPRODUCT((地价!A3:A33=YEAR(G19)&amp;"-"&amp;ROUNDUP(MONTH(G19)/3,0))*(地价!AD2:AH2=N24)*(地价!AD3:AH33))</f>
        <v>0</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2734</v>
      </c>
      <c r="C25" s="869"/>
      <c r="D25" s="2212"/>
      <c r="E25" s="2212"/>
      <c r="F25" s="2279"/>
      <c r="G25" s="2212"/>
      <c r="H25" s="2212"/>
      <c r="I25" s="2212"/>
      <c r="J25" s="2213"/>
      <c r="K25" s="1280"/>
      <c r="L25" s="2183"/>
      <c r="M25" s="2183"/>
      <c r="N25" s="3013" t="s">
        <v>2735</v>
      </c>
      <c r="O25" s="3014"/>
      <c r="P25" s="3015">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6" t="s">
        <v>2634</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2"/>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7"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3"/>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3"/>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4"/>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4" t="s">
        <v>2791</v>
      </c>
      <c r="B90" s="3374"/>
      <c r="C90" s="3374"/>
      <c r="D90" s="3374"/>
      <c r="E90" s="3374"/>
      <c r="F90" s="3374"/>
      <c r="G90" s="3374"/>
      <c r="H90" s="3374"/>
      <c r="I90" s="3374"/>
      <c r="J90" s="3374"/>
      <c r="K90" s="2343"/>
      <c r="L90" s="2343"/>
      <c r="M90" s="2343"/>
      <c r="N90" s="2343"/>
    </row>
    <row r="91" spans="1:37">
      <c r="A91" s="3376" t="s">
        <v>2792</v>
      </c>
      <c r="B91" s="3376" t="s">
        <v>2793</v>
      </c>
      <c r="C91" s="2297" t="s">
        <v>2794</v>
      </c>
      <c r="D91" s="2298"/>
      <c r="E91" s="2298"/>
      <c r="F91" s="2298"/>
      <c r="G91" s="2298"/>
      <c r="H91" s="2298"/>
      <c r="I91" s="2298"/>
      <c r="J91" s="2344"/>
      <c r="K91" s="2345"/>
      <c r="L91" s="2345"/>
      <c r="M91" s="2345"/>
      <c r="N91" s="2345"/>
    </row>
    <row r="92" spans="1:37">
      <c r="A92" s="3376"/>
      <c r="B92" s="337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7"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8"/>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7" t="s">
        <v>2796</v>
      </c>
      <c r="B101" s="2350" t="s">
        <v>2797</v>
      </c>
      <c r="C101" s="2351">
        <f>$G$3</f>
        <v>2.89</v>
      </c>
      <c r="D101" s="2351">
        <f t="shared" ref="D101:N101" si="31">$G$3</f>
        <v>2.89</v>
      </c>
      <c r="E101" s="2351">
        <f t="shared" si="31"/>
        <v>2.89</v>
      </c>
      <c r="F101" s="2351">
        <f t="shared" si="31"/>
        <v>2.89</v>
      </c>
      <c r="G101" s="2351">
        <f t="shared" si="31"/>
        <v>2.89</v>
      </c>
      <c r="H101" s="2351">
        <f t="shared" si="31"/>
        <v>2.89</v>
      </c>
      <c r="I101" s="2351">
        <f t="shared" si="31"/>
        <v>2.89</v>
      </c>
      <c r="J101" s="2351">
        <f t="shared" si="31"/>
        <v>2.89</v>
      </c>
      <c r="K101" s="2351">
        <f t="shared" si="31"/>
        <v>2.89</v>
      </c>
      <c r="L101" s="2351">
        <f t="shared" si="31"/>
        <v>2.89</v>
      </c>
      <c r="M101" s="2351">
        <f t="shared" si="31"/>
        <v>2.89</v>
      </c>
      <c r="N101" s="2351">
        <f t="shared" si="31"/>
        <v>2.89</v>
      </c>
    </row>
    <row r="102" spans="1:14">
      <c r="A102" s="3378"/>
      <c r="B102" s="2346">
        <v>1</v>
      </c>
      <c r="C102" s="2347">
        <f>1.9362/C101</f>
        <v>0.66996539792387533</v>
      </c>
      <c r="D102" s="2347">
        <f>1.9362/D101</f>
        <v>0.66996539792387533</v>
      </c>
      <c r="E102" s="2347">
        <f>1.8629/E101</f>
        <v>0.64460207612456744</v>
      </c>
      <c r="F102" s="2347">
        <f>1.8629/F101</f>
        <v>0.64460207612456744</v>
      </c>
      <c r="G102" s="2347">
        <f>1.8629/G101</f>
        <v>0.64460207612456744</v>
      </c>
      <c r="H102" s="2347">
        <f>1.8629/H101</f>
        <v>0.64460207612456744</v>
      </c>
      <c r="I102" s="2347">
        <f>1.8629/I101</f>
        <v>0.64460207612456744</v>
      </c>
      <c r="J102" s="2347">
        <f>1.942/J101</f>
        <v>0.67197231833910032</v>
      </c>
      <c r="K102" s="2347">
        <f>1.942/K101</f>
        <v>0.67197231833910032</v>
      </c>
      <c r="L102" s="2347">
        <f>1.942/L101</f>
        <v>0.67197231833910032</v>
      </c>
      <c r="M102" s="2347">
        <f>1.942/M101</f>
        <v>0.67197231833910032</v>
      </c>
      <c r="N102" s="2347">
        <f>1.942/N101</f>
        <v>0.67197231833910032</v>
      </c>
    </row>
    <row r="103" spans="1:14">
      <c r="A103" s="3378"/>
      <c r="B103" s="2346">
        <v>2</v>
      </c>
      <c r="C103" s="2347">
        <f>1.4198/C101</f>
        <v>0.49128027681660896</v>
      </c>
      <c r="D103" s="2347">
        <f>1.4198/D101</f>
        <v>0.49128027681660896</v>
      </c>
      <c r="E103" s="2347">
        <f>1.3372/E101</f>
        <v>0.4626989619377162</v>
      </c>
      <c r="F103" s="2347">
        <f>1.3372/F101</f>
        <v>0.4626989619377162</v>
      </c>
      <c r="G103" s="2347">
        <f>1.3372/G101</f>
        <v>0.4626989619377162</v>
      </c>
      <c r="H103" s="2347">
        <f>1.3372/H101</f>
        <v>0.4626989619377162</v>
      </c>
      <c r="I103" s="2347">
        <f>1.3372/I101</f>
        <v>0.4626989619377162</v>
      </c>
      <c r="J103" s="2347">
        <f>1.2799/J101</f>
        <v>0.44287197231833908</v>
      </c>
      <c r="K103" s="2347">
        <f>1.2799/K101</f>
        <v>0.44287197231833908</v>
      </c>
      <c r="L103" s="2347">
        <f>1.2799/L101</f>
        <v>0.44287197231833908</v>
      </c>
      <c r="M103" s="2347">
        <f>1.2799/M101</f>
        <v>0.44287197231833908</v>
      </c>
      <c r="N103" s="2347">
        <f>1.2799/N101</f>
        <v>0.44287197231833908</v>
      </c>
    </row>
    <row r="104" spans="1:14">
      <c r="A104" s="3378"/>
      <c r="B104" s="2346">
        <v>3</v>
      </c>
      <c r="C104" s="2347">
        <f>1.1594/C101</f>
        <v>0.40117647058823525</v>
      </c>
      <c r="D104" s="2347">
        <f>1.1594/D101</f>
        <v>0.40117647058823525</v>
      </c>
      <c r="E104" s="2347">
        <f>1.0788/E101</f>
        <v>0.3732871972318339</v>
      </c>
      <c r="F104" s="2347">
        <f>1.0788/F101</f>
        <v>0.3732871972318339</v>
      </c>
      <c r="G104" s="2347">
        <f>1.0788/G101</f>
        <v>0.3732871972318339</v>
      </c>
      <c r="H104" s="2347">
        <f>1.0788/H101</f>
        <v>0.3732871972318339</v>
      </c>
      <c r="I104" s="2347">
        <f>1.0788/I101</f>
        <v>0.3732871972318339</v>
      </c>
      <c r="J104" s="2347">
        <f>1.0072/J101</f>
        <v>0.34851211072664362</v>
      </c>
      <c r="K104" s="2347">
        <f>1.0072/K101</f>
        <v>0.34851211072664362</v>
      </c>
      <c r="L104" s="2347">
        <f>1.0072/L101</f>
        <v>0.34851211072664362</v>
      </c>
      <c r="M104" s="2347">
        <f>1.0072/M101</f>
        <v>0.34851211072664362</v>
      </c>
      <c r="N104" s="2347">
        <f>1.0072/N101</f>
        <v>0.34851211072664362</v>
      </c>
    </row>
    <row r="105" spans="1:14">
      <c r="A105" s="3378"/>
      <c r="B105" s="2346">
        <v>4</v>
      </c>
      <c r="C105" s="2347">
        <f>0.9622/C101</f>
        <v>0.33294117647058824</v>
      </c>
      <c r="D105" s="2347">
        <f>0.9622/D101</f>
        <v>0.33294117647058824</v>
      </c>
      <c r="E105" s="2347">
        <f>0.8656/E101</f>
        <v>0.29951557093425607</v>
      </c>
      <c r="F105" s="2347">
        <f>0.8656/F101</f>
        <v>0.29951557093425607</v>
      </c>
      <c r="G105" s="2347">
        <f>0.8656/G101</f>
        <v>0.29951557093425607</v>
      </c>
      <c r="H105" s="2347">
        <f>0.8656/H101</f>
        <v>0.29951557093425607</v>
      </c>
      <c r="I105" s="2347">
        <f>0.8656/I101</f>
        <v>0.29951557093425607</v>
      </c>
      <c r="J105" s="2347">
        <f>0.7525/J101</f>
        <v>0.26038062283737023</v>
      </c>
      <c r="K105" s="2347">
        <f>0.7525/K101</f>
        <v>0.26038062283737023</v>
      </c>
      <c r="L105" s="2347">
        <f>0.7525/L101</f>
        <v>0.26038062283737023</v>
      </c>
      <c r="M105" s="2347">
        <f>0.7525/M101</f>
        <v>0.26038062283737023</v>
      </c>
      <c r="N105" s="2347">
        <f>0.7525/N101</f>
        <v>0.26038062283737023</v>
      </c>
    </row>
    <row r="106" spans="1:14">
      <c r="A106" s="3378"/>
      <c r="B106" s="2346">
        <v>5</v>
      </c>
      <c r="C106" s="2347">
        <f>0.8417/C101</f>
        <v>0.29124567474048441</v>
      </c>
      <c r="D106" s="2347">
        <f>0.8417/D101</f>
        <v>0.29124567474048441</v>
      </c>
      <c r="E106" s="2347">
        <f>0.7371/E101</f>
        <v>0.25505190311418685</v>
      </c>
      <c r="F106" s="2347">
        <f>0.7371/F101</f>
        <v>0.25505190311418685</v>
      </c>
      <c r="G106" s="2347">
        <f>0.7371/G101</f>
        <v>0.25505190311418685</v>
      </c>
      <c r="H106" s="2347">
        <f>0.7371/H101</f>
        <v>0.25505190311418685</v>
      </c>
      <c r="I106" s="2347">
        <f>0.7371/I101</f>
        <v>0.25505190311418685</v>
      </c>
      <c r="J106" s="2347">
        <f>0.5659/J101</f>
        <v>0.1958131487889273</v>
      </c>
      <c r="K106" s="2347">
        <f>0.5659/K101</f>
        <v>0.1958131487889273</v>
      </c>
      <c r="L106" s="2347">
        <f>0.5659/L101</f>
        <v>0.1958131487889273</v>
      </c>
      <c r="M106" s="2347">
        <f>0.5659/M101</f>
        <v>0.1958131487889273</v>
      </c>
      <c r="N106" s="2347">
        <f>0.5659/N101</f>
        <v>0.1958131487889273</v>
      </c>
    </row>
    <row r="107" spans="1:14">
      <c r="A107" s="3378"/>
      <c r="B107" s="2346">
        <v>6</v>
      </c>
      <c r="C107" s="2347">
        <f>0.7608/C101</f>
        <v>0.26325259515570937</v>
      </c>
      <c r="D107" s="2347">
        <f>0.7608/D101</f>
        <v>0.26325259515570937</v>
      </c>
      <c r="E107" s="2347">
        <f>0.6482/E101</f>
        <v>0.22429065743944634</v>
      </c>
      <c r="F107" s="2347">
        <f>0.6482/F101</f>
        <v>0.22429065743944634</v>
      </c>
      <c r="G107" s="2347">
        <f>0.6482/G101</f>
        <v>0.22429065743944634</v>
      </c>
      <c r="H107" s="2347">
        <f>0.6482/H101</f>
        <v>0.22429065743944634</v>
      </c>
      <c r="I107" s="2347">
        <f>0.6482/I101</f>
        <v>0.22429065743944634</v>
      </c>
      <c r="J107" s="2347">
        <f>0.4525/J101</f>
        <v>0.1565743944636678</v>
      </c>
      <c r="K107" s="2347">
        <f>0.4525/K101</f>
        <v>0.1565743944636678</v>
      </c>
      <c r="L107" s="2347">
        <f>0.4525/L101</f>
        <v>0.1565743944636678</v>
      </c>
      <c r="M107" s="2347">
        <f>0.4525/M101</f>
        <v>0.1565743944636678</v>
      </c>
      <c r="N107" s="2347">
        <f>0.4525/N101</f>
        <v>0.1565743944636678</v>
      </c>
    </row>
    <row r="108" spans="1:14">
      <c r="A108" s="3378"/>
      <c r="B108" s="3380"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9"/>
      <c r="B109" s="3381"/>
      <c r="C109" s="2349">
        <f>(-0.163*(C108^2)-0.59*C108+7617)*(10^(-4))/C101</f>
        <v>0.26356401384083045</v>
      </c>
      <c r="D109" s="2349">
        <f>(-0.163*(D108^2)-0.59*D108+7617)*(10^(-4))/D101</f>
        <v>0.26356401384083045</v>
      </c>
      <c r="E109" s="2349">
        <f>(-0.161*(E108^2)-7.509*E108+6533)*(10^(-4))/E101</f>
        <v>0.22605536332179929</v>
      </c>
      <c r="F109" s="2349">
        <f>(-0.161*(F108^2)-7.509*F108+6533)*(10^(-4))/F101</f>
        <v>0.22605536332179929</v>
      </c>
      <c r="G109" s="2349">
        <f>(-0.161*(G108^2)-7.509*G108+6533)*(10^(-4))/G101</f>
        <v>0.22605536332179929</v>
      </c>
      <c r="H109" s="2349">
        <f>(-0.161*(H108^2)-7.509*H108+6533)*(10^(-4))/H101</f>
        <v>0.22605536332179929</v>
      </c>
      <c r="I109" s="2349">
        <f>(-0.161*(I108^2)-7.509*I108+6533)*(10^(-4))/I101</f>
        <v>0.22605536332179929</v>
      </c>
      <c r="J109" s="2349">
        <f>(-0.214*(J108^2)-21.991*J108+4665)*(10^(-4))/J101</f>
        <v>0.16141868512110727</v>
      </c>
      <c r="K109" s="2349">
        <f>(-0.214*(K108^2)-21.991*K108+4665)*(10^(-4))/K101</f>
        <v>0.16141868512110727</v>
      </c>
      <c r="L109" s="2349">
        <f>(-0.214*(L108^2)-21.991*L108+4665)*(10^(-4))/L101</f>
        <v>0.16141868512110727</v>
      </c>
      <c r="M109" s="2349">
        <f>(-0.214*(M108^2)-21.991*M108+4665)*(10^(-4))/M101</f>
        <v>0.16141868512110727</v>
      </c>
      <c r="N109" s="2349">
        <f>(-0.214*(N108^2)-21.991*N108+4665)*(10^(-4))/N101</f>
        <v>0.16141868512110727</v>
      </c>
    </row>
    <row r="110" spans="1:14">
      <c r="A110" s="3375" t="s">
        <v>2799</v>
      </c>
      <c r="B110" s="3375"/>
      <c r="C110" s="3375"/>
      <c r="D110" s="3375"/>
      <c r="E110" s="3375"/>
      <c r="F110" s="3375"/>
      <c r="G110" s="3375"/>
      <c r="H110" s="3375"/>
      <c r="I110" s="3375"/>
      <c r="J110" s="3375"/>
      <c r="K110" s="2352"/>
      <c r="L110" s="2352"/>
      <c r="M110" s="2352"/>
      <c r="N110" s="2352"/>
    </row>
    <row r="112" spans="1:14" ht="13.5" thickBot="1"/>
    <row r="113" spans="1:13" ht="25.5" thickBot="1">
      <c r="A113" s="842" t="s">
        <v>2800</v>
      </c>
      <c r="B113" s="1197">
        <f>G3</f>
        <v>2.89</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0.90629999999999999</v>
      </c>
      <c r="C115" s="849">
        <f>B115</f>
        <v>0.90629999999999999</v>
      </c>
      <c r="D115" s="849">
        <f>ROUND(0.8331-0.0109*B113,4)</f>
        <v>0.80159999999999998</v>
      </c>
      <c r="E115" s="849">
        <f>D115</f>
        <v>0.80159999999999998</v>
      </c>
      <c r="F115" s="849">
        <f>E115</f>
        <v>0.80159999999999998</v>
      </c>
      <c r="G115" s="849">
        <f>F115</f>
        <v>0.80159999999999998</v>
      </c>
      <c r="H115" s="849">
        <f>G115</f>
        <v>0.80159999999999998</v>
      </c>
      <c r="I115" s="849">
        <f>ROUND(0.689-0.0155*B113,4)</f>
        <v>0.64419999999999999</v>
      </c>
      <c r="J115" s="849">
        <f t="shared" ref="J115:M118" si="33">I115</f>
        <v>0.64419999999999999</v>
      </c>
      <c r="K115" s="849">
        <f t="shared" si="33"/>
        <v>0.64419999999999999</v>
      </c>
      <c r="L115" s="849">
        <f t="shared" si="33"/>
        <v>0.64419999999999999</v>
      </c>
      <c r="M115" s="850">
        <f t="shared" si="33"/>
        <v>0.64419999999999999</v>
      </c>
    </row>
    <row r="116" spans="1:13">
      <c r="A116" s="848" t="s">
        <v>2700</v>
      </c>
      <c r="B116" s="849">
        <f>ROUND(0.949-0.012*B113,4)</f>
        <v>0.9143</v>
      </c>
      <c r="C116" s="849">
        <f>B116</f>
        <v>0.9143</v>
      </c>
      <c r="D116" s="849">
        <f>ROUND(0.8567-0.013*B113,4)</f>
        <v>0.81910000000000005</v>
      </c>
      <c r="E116" s="849">
        <f t="shared" ref="E116:H117" si="34">D116</f>
        <v>0.81910000000000005</v>
      </c>
      <c r="F116" s="849">
        <f t="shared" si="34"/>
        <v>0.81910000000000005</v>
      </c>
      <c r="G116" s="849">
        <f t="shared" si="34"/>
        <v>0.81910000000000005</v>
      </c>
      <c r="H116" s="849">
        <f t="shared" si="34"/>
        <v>0.81910000000000005</v>
      </c>
      <c r="I116" s="849">
        <f>ROUND(0.7694-0.014*B113,4)</f>
        <v>0.72889999999999999</v>
      </c>
      <c r="J116" s="849">
        <f t="shared" si="33"/>
        <v>0.72889999999999999</v>
      </c>
      <c r="K116" s="849">
        <f t="shared" si="33"/>
        <v>0.72889999999999999</v>
      </c>
      <c r="L116" s="849">
        <f t="shared" si="33"/>
        <v>0.72889999999999999</v>
      </c>
      <c r="M116" s="850">
        <f t="shared" si="33"/>
        <v>0.72889999999999999</v>
      </c>
    </row>
    <row r="117" spans="1:13">
      <c r="A117" s="848" t="s">
        <v>2701</v>
      </c>
      <c r="B117" s="849">
        <f>ROUND(0.8808-0.006*B113,4)</f>
        <v>0.86350000000000005</v>
      </c>
      <c r="C117" s="849">
        <f>B117</f>
        <v>0.86350000000000005</v>
      </c>
      <c r="D117" s="849">
        <f>ROUND(0.8748-0.008*B113,4)</f>
        <v>0.85170000000000001</v>
      </c>
      <c r="E117" s="849">
        <f t="shared" si="34"/>
        <v>0.85170000000000001</v>
      </c>
      <c r="F117" s="849">
        <f t="shared" si="34"/>
        <v>0.85170000000000001</v>
      </c>
      <c r="G117" s="849">
        <f t="shared" si="34"/>
        <v>0.85170000000000001</v>
      </c>
      <c r="H117" s="849">
        <f t="shared" si="34"/>
        <v>0.85170000000000001</v>
      </c>
      <c r="I117" s="849">
        <f>ROUND(0.7412-0.0095*B113,4)</f>
        <v>0.7137</v>
      </c>
      <c r="J117" s="849">
        <f t="shared" si="33"/>
        <v>0.7137</v>
      </c>
      <c r="K117" s="849">
        <f t="shared" si="33"/>
        <v>0.7137</v>
      </c>
      <c r="L117" s="849">
        <f t="shared" si="33"/>
        <v>0.7137</v>
      </c>
      <c r="M117" s="850">
        <f t="shared" si="33"/>
        <v>0.7137</v>
      </c>
    </row>
    <row r="118" spans="1:13" ht="13.5" thickBot="1">
      <c r="A118" s="670" t="s">
        <v>2702</v>
      </c>
      <c r="B118" s="851">
        <f>ROUND(0.7275-0.01*B113,4)</f>
        <v>0.6986</v>
      </c>
      <c r="C118" s="851">
        <f>B118</f>
        <v>0.6986</v>
      </c>
      <c r="D118" s="851">
        <f>ROUND(0.7043-0.012*B113,4)</f>
        <v>0.66959999999999997</v>
      </c>
      <c r="E118" s="851">
        <f>D118</f>
        <v>0.66959999999999997</v>
      </c>
      <c r="F118" s="851">
        <f>E118</f>
        <v>0.66959999999999997</v>
      </c>
      <c r="G118" s="851">
        <f>ROUND(0.6299-0.0122*B113,4)</f>
        <v>0.59460000000000002</v>
      </c>
      <c r="H118" s="851">
        <f>G118</f>
        <v>0.59460000000000002</v>
      </c>
      <c r="I118" s="851">
        <f>ROUND(0.5667-0.0136*B113,4)</f>
        <v>0.52739999999999998</v>
      </c>
      <c r="J118" s="851">
        <f t="shared" si="33"/>
        <v>0.52739999999999998</v>
      </c>
      <c r="K118" s="851">
        <f t="shared" si="33"/>
        <v>0.52739999999999998</v>
      </c>
      <c r="L118" s="851">
        <f t="shared" si="33"/>
        <v>0.52739999999999998</v>
      </c>
      <c r="M118" s="852">
        <f t="shared" si="33"/>
        <v>0.52739999999999998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8" t="s">
        <v>183</v>
      </c>
      <c r="B18" s="821" t="s">
        <v>560</v>
      </c>
      <c r="C18" s="822" t="s">
        <v>561</v>
      </c>
      <c r="D18" s="823"/>
      <c r="E18" s="821">
        <v>1</v>
      </c>
      <c r="F18" s="824" t="s">
        <v>562</v>
      </c>
      <c r="G18" s="825"/>
      <c r="H18" s="817"/>
      <c r="I18" s="817"/>
    </row>
    <row r="19" spans="1:9" s="826" customFormat="1" ht="19.5" customHeight="1">
      <c r="A19" s="3388"/>
      <c r="B19" s="3388" t="s">
        <v>563</v>
      </c>
      <c r="C19" s="822" t="s">
        <v>564</v>
      </c>
      <c r="D19" s="823"/>
      <c r="E19" s="821">
        <v>0.9</v>
      </c>
      <c r="F19" s="824" t="s">
        <v>565</v>
      </c>
      <c r="G19" s="825"/>
      <c r="H19" s="817"/>
      <c r="I19" s="817"/>
    </row>
    <row r="20" spans="1:9" s="826" customFormat="1" ht="19.5" customHeight="1">
      <c r="A20" s="3388"/>
      <c r="B20" s="3388"/>
      <c r="C20" s="822" t="s">
        <v>566</v>
      </c>
      <c r="D20" s="823"/>
      <c r="E20" s="821">
        <v>1.1000000000000001</v>
      </c>
      <c r="F20" s="824" t="s">
        <v>567</v>
      </c>
      <c r="G20" s="825"/>
      <c r="H20" s="817"/>
      <c r="I20" s="817"/>
    </row>
    <row r="21" spans="1:9" s="826" customFormat="1" ht="19.5" customHeight="1">
      <c r="A21" s="3388"/>
      <c r="B21" s="3388"/>
      <c r="C21" s="822" t="s">
        <v>568</v>
      </c>
      <c r="D21" s="823"/>
      <c r="E21" s="821">
        <v>0.8</v>
      </c>
      <c r="F21" s="824" t="s">
        <v>569</v>
      </c>
      <c r="G21" s="825"/>
      <c r="H21" s="817"/>
      <c r="I21" s="817"/>
    </row>
    <row r="22" spans="1:9" s="826" customFormat="1" ht="19.5" customHeight="1">
      <c r="A22" s="3388"/>
      <c r="B22" s="3388"/>
      <c r="C22" s="822" t="s">
        <v>570</v>
      </c>
      <c r="D22" s="823"/>
      <c r="E22" s="821">
        <v>0.5</v>
      </c>
      <c r="F22" s="824"/>
      <c r="G22" s="825"/>
      <c r="H22" s="817"/>
      <c r="I22" s="817"/>
    </row>
    <row r="23" spans="1:9" s="826" customFormat="1" ht="19.5" customHeight="1">
      <c r="A23" s="3388" t="s">
        <v>184</v>
      </c>
      <c r="B23" s="821" t="s">
        <v>560</v>
      </c>
      <c r="C23" s="822" t="s">
        <v>571</v>
      </c>
      <c r="D23" s="823"/>
      <c r="E23" s="821">
        <v>1</v>
      </c>
      <c r="F23" s="824" t="s">
        <v>572</v>
      </c>
      <c r="G23" s="825"/>
      <c r="H23" s="817"/>
      <c r="I23" s="817"/>
    </row>
    <row r="24" spans="1:9" s="826" customFormat="1" ht="19.5" customHeight="1">
      <c r="A24" s="3388"/>
      <c r="B24" s="3388" t="s">
        <v>563</v>
      </c>
      <c r="C24" s="822" t="s">
        <v>573</v>
      </c>
      <c r="D24" s="823"/>
      <c r="E24" s="821">
        <v>0.5</v>
      </c>
      <c r="F24" s="824"/>
      <c r="G24" s="825"/>
      <c r="H24" s="817"/>
      <c r="I24" s="817"/>
    </row>
    <row r="25" spans="1:9" s="826" customFormat="1" ht="19.5" customHeight="1">
      <c r="A25" s="3388"/>
      <c r="B25" s="3388"/>
      <c r="C25" s="822" t="s">
        <v>574</v>
      </c>
      <c r="D25" s="823"/>
      <c r="E25" s="821">
        <v>1.1000000000000001</v>
      </c>
      <c r="F25" s="824"/>
      <c r="G25" s="825"/>
      <c r="H25" s="817"/>
      <c r="I25" s="817"/>
    </row>
    <row r="26" spans="1:9" s="826" customFormat="1" ht="19.5" customHeight="1">
      <c r="A26" s="3388"/>
      <c r="B26" s="3388"/>
      <c r="C26" s="822" t="s">
        <v>575</v>
      </c>
      <c r="D26" s="823"/>
      <c r="E26" s="821">
        <v>1.1000000000000001</v>
      </c>
      <c r="F26" s="824"/>
      <c r="G26" s="825"/>
      <c r="H26" s="817"/>
      <c r="I26" s="817"/>
    </row>
    <row r="27" spans="1:9" s="826" customFormat="1" ht="19.5" customHeight="1">
      <c r="A27" s="3388"/>
      <c r="B27" s="3388"/>
      <c r="C27" s="822" t="s">
        <v>576</v>
      </c>
      <c r="D27" s="823"/>
      <c r="E27" s="821">
        <v>0.9</v>
      </c>
      <c r="F27" s="824" t="s">
        <v>577</v>
      </c>
      <c r="G27" s="825"/>
      <c r="H27" s="817"/>
      <c r="I27" s="817"/>
    </row>
    <row r="28" spans="1:9" s="826" customFormat="1" ht="19.5" customHeight="1">
      <c r="A28" s="3388"/>
      <c r="B28" s="3388"/>
      <c r="C28" s="822" t="s">
        <v>578</v>
      </c>
      <c r="D28" s="823"/>
      <c r="E28" s="821">
        <v>0.9</v>
      </c>
      <c r="F28" s="824" t="s">
        <v>579</v>
      </c>
      <c r="G28" s="825"/>
      <c r="H28" s="817"/>
      <c r="I28" s="817"/>
    </row>
    <row r="29" spans="1:9" s="826" customFormat="1" ht="19.5" customHeight="1">
      <c r="A29" s="3388"/>
      <c r="B29" s="3388"/>
      <c r="C29" s="822" t="s">
        <v>580</v>
      </c>
      <c r="D29" s="823"/>
      <c r="E29" s="821">
        <v>0.9</v>
      </c>
      <c r="F29" s="824" t="s">
        <v>581</v>
      </c>
      <c r="G29" s="825"/>
      <c r="H29" s="817"/>
      <c r="I29" s="817"/>
    </row>
    <row r="30" spans="1:9" s="826" customFormat="1" ht="19.5" customHeight="1">
      <c r="A30" s="3388"/>
      <c r="B30" s="3388"/>
      <c r="C30" s="822" t="s">
        <v>582</v>
      </c>
      <c r="D30" s="823"/>
      <c r="E30" s="821">
        <v>0.9</v>
      </c>
      <c r="F30" s="824" t="s">
        <v>583</v>
      </c>
      <c r="G30" s="825"/>
      <c r="H30" s="817"/>
      <c r="I30" s="817"/>
    </row>
    <row r="31" spans="1:9" s="826" customFormat="1" ht="19.5" customHeight="1">
      <c r="A31" s="3388"/>
      <c r="B31" s="3388"/>
      <c r="C31" s="822" t="s">
        <v>584</v>
      </c>
      <c r="D31" s="823"/>
      <c r="E31" s="821">
        <v>0.8</v>
      </c>
      <c r="F31" s="824" t="s">
        <v>585</v>
      </c>
      <c r="G31" s="825"/>
      <c r="H31" s="817"/>
      <c r="I31" s="817"/>
    </row>
    <row r="32" spans="1:9" s="826" customFormat="1" ht="19.5" customHeight="1">
      <c r="A32" s="3388"/>
      <c r="B32" s="3388"/>
      <c r="C32" s="822" t="s">
        <v>586</v>
      </c>
      <c r="D32" s="823"/>
      <c r="E32" s="821">
        <v>0.8</v>
      </c>
      <c r="F32" s="824" t="s">
        <v>587</v>
      </c>
      <c r="G32" s="825"/>
      <c r="H32" s="817"/>
      <c r="I32" s="817"/>
    </row>
    <row r="33" spans="1:9" s="826" customFormat="1" ht="19.5" customHeight="1">
      <c r="A33" s="3388" t="s">
        <v>185</v>
      </c>
      <c r="B33" s="821" t="s">
        <v>560</v>
      </c>
      <c r="C33" s="822" t="s">
        <v>588</v>
      </c>
      <c r="D33" s="823"/>
      <c r="E33" s="821">
        <v>1</v>
      </c>
      <c r="F33" s="824" t="s">
        <v>589</v>
      </c>
      <c r="G33" s="825"/>
      <c r="H33" s="817"/>
      <c r="I33" s="817"/>
    </row>
    <row r="34" spans="1:9" s="826" customFormat="1" ht="19.5" customHeight="1">
      <c r="A34" s="3388"/>
      <c r="B34" s="821" t="s">
        <v>563</v>
      </c>
      <c r="C34" s="822" t="s">
        <v>590</v>
      </c>
      <c r="D34" s="823"/>
      <c r="E34" s="821">
        <v>1.5</v>
      </c>
      <c r="F34" s="824" t="s">
        <v>591</v>
      </c>
      <c r="G34" s="825"/>
      <c r="H34" s="817"/>
      <c r="I34" s="817"/>
    </row>
    <row r="35" spans="1:9" s="826" customFormat="1" ht="19.5" customHeight="1">
      <c r="A35" s="3388" t="s">
        <v>186</v>
      </c>
      <c r="B35" s="821" t="s">
        <v>560</v>
      </c>
      <c r="C35" s="822" t="s">
        <v>592</v>
      </c>
      <c r="D35" s="823"/>
      <c r="E35" s="821">
        <v>1</v>
      </c>
      <c r="F35" s="824" t="s">
        <v>593</v>
      </c>
      <c r="G35" s="825"/>
      <c r="H35" s="817"/>
      <c r="I35" s="817"/>
    </row>
    <row r="36" spans="1:9" s="826" customFormat="1" ht="19.5" customHeight="1">
      <c r="A36" s="3388"/>
      <c r="B36" s="3388" t="s">
        <v>563</v>
      </c>
      <c r="C36" s="822" t="s">
        <v>594</v>
      </c>
      <c r="D36" s="823"/>
      <c r="E36" s="821">
        <v>1</v>
      </c>
      <c r="F36" s="824" t="s">
        <v>595</v>
      </c>
      <c r="G36" s="825"/>
      <c r="H36" s="817"/>
      <c r="I36" s="817"/>
    </row>
    <row r="37" spans="1:9" s="826" customFormat="1" ht="19.5" customHeight="1">
      <c r="A37" s="3388"/>
      <c r="B37" s="3388"/>
      <c r="C37" s="822" t="s">
        <v>596</v>
      </c>
      <c r="D37" s="823"/>
      <c r="E37" s="821">
        <v>1.5</v>
      </c>
      <c r="F37" s="824" t="s">
        <v>597</v>
      </c>
      <c r="G37" s="825"/>
      <c r="H37" s="817"/>
      <c r="I37" s="817"/>
    </row>
    <row r="38" spans="1:9" s="826" customFormat="1" ht="19.5" customHeight="1">
      <c r="A38" s="3388"/>
      <c r="B38" s="3388"/>
      <c r="C38" s="822" t="s">
        <v>598</v>
      </c>
      <c r="D38" s="823"/>
      <c r="E38" s="821">
        <v>1</v>
      </c>
      <c r="F38" s="824" t="s">
        <v>599</v>
      </c>
      <c r="G38" s="825"/>
      <c r="H38" s="817"/>
      <c r="I38" s="817"/>
    </row>
    <row r="39" spans="1:9" s="826" customFormat="1" ht="19.5" customHeight="1">
      <c r="A39" s="3388"/>
      <c r="B39" s="33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8" t="s">
        <v>614</v>
      </c>
      <c r="C61" s="757" t="s">
        <v>615</v>
      </c>
      <c r="D61" s="757" t="s">
        <v>616</v>
      </c>
      <c r="E61" s="834">
        <v>0.5</v>
      </c>
      <c r="F61" s="821">
        <v>80</v>
      </c>
    </row>
    <row r="62" spans="1:8" s="817" customFormat="1" ht="24">
      <c r="A62" s="821">
        <v>2</v>
      </c>
      <c r="B62" s="3388"/>
      <c r="C62" s="757" t="s">
        <v>617</v>
      </c>
      <c r="D62" s="757" t="s">
        <v>618</v>
      </c>
      <c r="E62" s="834">
        <v>0.5</v>
      </c>
      <c r="F62" s="821">
        <v>80</v>
      </c>
    </row>
    <row r="63" spans="1:8" s="817" customFormat="1" ht="36">
      <c r="A63" s="821">
        <v>3</v>
      </c>
      <c r="B63" s="3388"/>
      <c r="C63" s="757" t="s">
        <v>619</v>
      </c>
      <c r="D63" s="757" t="s">
        <v>620</v>
      </c>
      <c r="E63" s="834">
        <v>0.5</v>
      </c>
      <c r="F63" s="821">
        <v>80</v>
      </c>
    </row>
    <row r="64" spans="1:8" s="817" customFormat="1" ht="36">
      <c r="A64" s="821">
        <v>4</v>
      </c>
      <c r="B64" s="3388"/>
      <c r="C64" s="757" t="s">
        <v>621</v>
      </c>
      <c r="D64" s="757" t="s">
        <v>622</v>
      </c>
      <c r="E64" s="834">
        <v>0.4</v>
      </c>
      <c r="F64" s="821">
        <v>60</v>
      </c>
    </row>
    <row r="65" spans="1:6" s="817" customFormat="1" ht="36">
      <c r="A65" s="821">
        <v>5</v>
      </c>
      <c r="B65" s="3388"/>
      <c r="C65" s="757" t="s">
        <v>623</v>
      </c>
      <c r="D65" s="757" t="s">
        <v>624</v>
      </c>
      <c r="E65" s="834">
        <v>0.2</v>
      </c>
      <c r="F65" s="821">
        <v>30</v>
      </c>
    </row>
    <row r="66" spans="1:6" s="817" customFormat="1" ht="36">
      <c r="A66" s="821">
        <v>6</v>
      </c>
      <c r="B66" s="3388"/>
      <c r="C66" s="757" t="s">
        <v>625</v>
      </c>
      <c r="D66" s="757" t="s">
        <v>626</v>
      </c>
      <c r="E66" s="834">
        <v>0.3</v>
      </c>
      <c r="F66" s="821">
        <v>50</v>
      </c>
    </row>
    <row r="67" spans="1:6" s="817" customFormat="1" ht="36">
      <c r="A67" s="821">
        <v>7</v>
      </c>
      <c r="B67" s="3388"/>
      <c r="C67" s="757" t="s">
        <v>627</v>
      </c>
      <c r="D67" s="757" t="s">
        <v>628</v>
      </c>
      <c r="E67" s="834">
        <v>0.2</v>
      </c>
      <c r="F67" s="821">
        <v>30</v>
      </c>
    </row>
    <row r="68" spans="1:6" s="817" customFormat="1" ht="36">
      <c r="A68" s="821">
        <v>8</v>
      </c>
      <c r="B68" s="3388"/>
      <c r="C68" s="757" t="s">
        <v>629</v>
      </c>
      <c r="D68" s="757" t="s">
        <v>630</v>
      </c>
      <c r="E68" s="834">
        <v>0.2</v>
      </c>
      <c r="F68" s="821">
        <v>30</v>
      </c>
    </row>
    <row r="69" spans="1:6" s="817" customFormat="1" ht="36">
      <c r="A69" s="821">
        <v>9</v>
      </c>
      <c r="B69" s="3388"/>
      <c r="C69" s="757" t="s">
        <v>631</v>
      </c>
      <c r="D69" s="757" t="s">
        <v>632</v>
      </c>
      <c r="E69" s="834">
        <v>0.2</v>
      </c>
      <c r="F69" s="821">
        <v>30</v>
      </c>
    </row>
    <row r="70" spans="1:6" s="817" customFormat="1" ht="48">
      <c r="A70" s="821">
        <v>10</v>
      </c>
      <c r="B70" s="3388"/>
      <c r="C70" s="757" t="s">
        <v>633</v>
      </c>
      <c r="D70" s="757" t="s">
        <v>634</v>
      </c>
      <c r="E70" s="834">
        <v>0.2</v>
      </c>
      <c r="F70" s="821">
        <v>30</v>
      </c>
    </row>
    <row r="71" spans="1:6" s="817" customFormat="1" ht="48">
      <c r="A71" s="821">
        <v>11</v>
      </c>
      <c r="B71" s="3388"/>
      <c r="C71" s="757" t="s">
        <v>635</v>
      </c>
      <c r="D71" s="757" t="s">
        <v>636</v>
      </c>
      <c r="E71" s="834">
        <v>0.2</v>
      </c>
      <c r="F71" s="821">
        <v>30</v>
      </c>
    </row>
    <row r="72" spans="1:6" s="817" customFormat="1" ht="36">
      <c r="A72" s="821">
        <v>12</v>
      </c>
      <c r="B72" s="3388"/>
      <c r="C72" s="757" t="s">
        <v>637</v>
      </c>
      <c r="D72" s="757" t="s">
        <v>638</v>
      </c>
      <c r="E72" s="834">
        <v>0.5</v>
      </c>
      <c r="F72" s="821">
        <v>80</v>
      </c>
    </row>
    <row r="73" spans="1:6" s="817" customFormat="1" ht="24">
      <c r="A73" s="821">
        <v>13</v>
      </c>
      <c r="B73" s="3388"/>
      <c r="C73" s="757" t="s">
        <v>639</v>
      </c>
      <c r="D73" s="757" t="s">
        <v>640</v>
      </c>
      <c r="E73" s="834">
        <v>0.4</v>
      </c>
      <c r="F73" s="821">
        <v>60</v>
      </c>
    </row>
    <row r="74" spans="1:6" s="817" customFormat="1" ht="24">
      <c r="A74" s="821">
        <v>14</v>
      </c>
      <c r="B74" s="3388"/>
      <c r="C74" s="757" t="s">
        <v>641</v>
      </c>
      <c r="D74" s="757" t="s">
        <v>642</v>
      </c>
      <c r="E74" s="834">
        <v>0.2</v>
      </c>
      <c r="F74" s="821">
        <v>30</v>
      </c>
    </row>
    <row r="75" spans="1:6" s="817" customFormat="1" ht="24">
      <c r="A75" s="821">
        <v>15</v>
      </c>
      <c r="B75" s="3388"/>
      <c r="C75" s="757" t="s">
        <v>643</v>
      </c>
      <c r="D75" s="757" t="s">
        <v>644</v>
      </c>
      <c r="E75" s="834">
        <v>0.2</v>
      </c>
      <c r="F75" s="821">
        <v>30</v>
      </c>
    </row>
    <row r="76" spans="1:6" s="817" customFormat="1" ht="24">
      <c r="A76" s="821">
        <v>16</v>
      </c>
      <c r="B76" s="3388" t="s">
        <v>645</v>
      </c>
      <c r="C76" s="757" t="s">
        <v>646</v>
      </c>
      <c r="D76" s="757" t="s">
        <v>647</v>
      </c>
      <c r="E76" s="834">
        <v>0.5</v>
      </c>
      <c r="F76" s="821">
        <v>80</v>
      </c>
    </row>
    <row r="77" spans="1:6" s="817" customFormat="1" ht="24">
      <c r="A77" s="821">
        <v>17</v>
      </c>
      <c r="B77" s="3388"/>
      <c r="C77" s="757" t="s">
        <v>648</v>
      </c>
      <c r="D77" s="757" t="s">
        <v>649</v>
      </c>
      <c r="E77" s="834">
        <v>0.5</v>
      </c>
      <c r="F77" s="821">
        <v>80</v>
      </c>
    </row>
    <row r="78" spans="1:6" s="817" customFormat="1" ht="24">
      <c r="A78" s="821">
        <v>18</v>
      </c>
      <c r="B78" s="3388"/>
      <c r="C78" s="757" t="s">
        <v>650</v>
      </c>
      <c r="D78" s="757" t="s">
        <v>651</v>
      </c>
      <c r="E78" s="834">
        <v>0.2</v>
      </c>
      <c r="F78" s="821">
        <v>30</v>
      </c>
    </row>
    <row r="79" spans="1:6" s="817" customFormat="1" ht="24">
      <c r="A79" s="821">
        <v>19</v>
      </c>
      <c r="B79" s="3388"/>
      <c r="C79" s="757" t="s">
        <v>652</v>
      </c>
      <c r="D79" s="757" t="s">
        <v>653</v>
      </c>
      <c r="E79" s="834">
        <v>0.5</v>
      </c>
      <c r="F79" s="821">
        <v>80</v>
      </c>
    </row>
    <row r="80" spans="1:6" s="817" customFormat="1" ht="36">
      <c r="A80" s="821">
        <v>20</v>
      </c>
      <c r="B80" s="3388"/>
      <c r="C80" s="757" t="s">
        <v>654</v>
      </c>
      <c r="D80" s="757" t="s">
        <v>655</v>
      </c>
      <c r="E80" s="834">
        <v>0.2</v>
      </c>
      <c r="F80" s="821">
        <v>30</v>
      </c>
    </row>
    <row r="81" spans="1:6" s="817" customFormat="1" ht="36">
      <c r="A81" s="821">
        <v>21</v>
      </c>
      <c r="B81" s="3388"/>
      <c r="C81" s="757" t="s">
        <v>656</v>
      </c>
      <c r="D81" s="757" t="s">
        <v>657</v>
      </c>
      <c r="E81" s="834">
        <v>0.2</v>
      </c>
      <c r="F81" s="821">
        <v>30</v>
      </c>
    </row>
    <row r="82" spans="1:6" s="817" customFormat="1" ht="48">
      <c r="A82" s="821">
        <v>22</v>
      </c>
      <c r="B82" s="3388"/>
      <c r="C82" s="757" t="s">
        <v>658</v>
      </c>
      <c r="D82" s="757" t="s">
        <v>659</v>
      </c>
      <c r="E82" s="834">
        <v>0.2</v>
      </c>
      <c r="F82" s="821">
        <v>30</v>
      </c>
    </row>
    <row r="83" spans="1:6" s="817" customFormat="1" ht="48">
      <c r="A83" s="821">
        <v>23</v>
      </c>
      <c r="B83" s="3388"/>
      <c r="C83" s="757" t="s">
        <v>660</v>
      </c>
      <c r="D83" s="757" t="s">
        <v>661</v>
      </c>
      <c r="E83" s="834">
        <v>0.2</v>
      </c>
      <c r="F83" s="821">
        <v>30</v>
      </c>
    </row>
    <row r="84" spans="1:6" s="817" customFormat="1" ht="36">
      <c r="A84" s="821">
        <v>24</v>
      </c>
      <c r="B84" s="3388"/>
      <c r="C84" s="757" t="s">
        <v>662</v>
      </c>
      <c r="D84" s="757" t="s">
        <v>663</v>
      </c>
      <c r="E84" s="834">
        <v>0.2</v>
      </c>
      <c r="F84" s="821">
        <v>30</v>
      </c>
    </row>
    <row r="85" spans="1:6" s="817" customFormat="1" ht="36">
      <c r="A85" s="821">
        <v>25</v>
      </c>
      <c r="B85" s="3388"/>
      <c r="C85" s="757" t="s">
        <v>664</v>
      </c>
      <c r="D85" s="757" t="s">
        <v>665</v>
      </c>
      <c r="E85" s="834">
        <v>0.5</v>
      </c>
      <c r="F85" s="821">
        <v>80</v>
      </c>
    </row>
    <row r="86" spans="1:6" s="817" customFormat="1" ht="36">
      <c r="A86" s="821">
        <v>26</v>
      </c>
      <c r="B86" s="3388"/>
      <c r="C86" s="757" t="s">
        <v>666</v>
      </c>
      <c r="D86" s="757" t="s">
        <v>667</v>
      </c>
      <c r="E86" s="834">
        <v>0.2</v>
      </c>
      <c r="F86" s="821">
        <v>30</v>
      </c>
    </row>
    <row r="87" spans="1:6" s="817" customFormat="1" ht="36">
      <c r="A87" s="821">
        <v>27</v>
      </c>
      <c r="B87" s="3388"/>
      <c r="C87" s="757" t="s">
        <v>668</v>
      </c>
      <c r="D87" s="757" t="s">
        <v>669</v>
      </c>
      <c r="E87" s="834">
        <v>0.2</v>
      </c>
      <c r="F87" s="821">
        <v>30</v>
      </c>
    </row>
    <row r="88" spans="1:6" s="817" customFormat="1" ht="36">
      <c r="A88" s="821">
        <v>28</v>
      </c>
      <c r="B88" s="3388"/>
      <c r="C88" s="757" t="s">
        <v>670</v>
      </c>
      <c r="D88" s="757" t="s">
        <v>671</v>
      </c>
      <c r="E88" s="834">
        <v>0.2</v>
      </c>
      <c r="F88" s="821">
        <v>30</v>
      </c>
    </row>
    <row r="89" spans="1:6" s="817" customFormat="1" ht="24">
      <c r="A89" s="821">
        <v>29</v>
      </c>
      <c r="B89" s="3388"/>
      <c r="C89" s="757" t="s">
        <v>672</v>
      </c>
      <c r="D89" s="757" t="s">
        <v>673</v>
      </c>
      <c r="E89" s="834">
        <v>0.2</v>
      </c>
      <c r="F89" s="821">
        <v>30</v>
      </c>
    </row>
    <row r="90" spans="1:6" s="817" customFormat="1" ht="24">
      <c r="A90" s="821">
        <v>30</v>
      </c>
      <c r="B90" s="3388"/>
      <c r="C90" s="757" t="s">
        <v>674</v>
      </c>
      <c r="D90" s="757" t="s">
        <v>675</v>
      </c>
      <c r="E90" s="834">
        <v>0.2</v>
      </c>
      <c r="F90" s="821">
        <v>30</v>
      </c>
    </row>
    <row r="91" spans="1:6" s="817" customFormat="1" ht="36">
      <c r="A91" s="821">
        <v>31</v>
      </c>
      <c r="B91" s="3388"/>
      <c r="C91" s="757" t="s">
        <v>676</v>
      </c>
      <c r="D91" s="757" t="s">
        <v>677</v>
      </c>
      <c r="E91" s="834">
        <v>0.2</v>
      </c>
      <c r="F91" s="821">
        <v>30</v>
      </c>
    </row>
    <row r="92" spans="1:6" s="817" customFormat="1" ht="24">
      <c r="A92" s="821">
        <v>32</v>
      </c>
      <c r="B92" s="3388" t="s">
        <v>678</v>
      </c>
      <c r="C92" s="821" t="s">
        <v>679</v>
      </c>
      <c r="D92" s="757" t="s">
        <v>680</v>
      </c>
      <c r="E92" s="834">
        <v>0.2</v>
      </c>
      <c r="F92" s="821">
        <v>30</v>
      </c>
    </row>
    <row r="93" spans="1:6" s="817" customFormat="1" ht="36">
      <c r="A93" s="821">
        <v>33</v>
      </c>
      <c r="B93" s="3388"/>
      <c r="C93" s="821" t="s">
        <v>681</v>
      </c>
      <c r="D93" s="757" t="s">
        <v>682</v>
      </c>
      <c r="E93" s="834">
        <v>0.2</v>
      </c>
      <c r="F93" s="821">
        <v>30</v>
      </c>
    </row>
    <row r="94" spans="1:6" s="817" customFormat="1" ht="48">
      <c r="A94" s="821">
        <v>34</v>
      </c>
      <c r="B94" s="3388"/>
      <c r="C94" s="821" t="s">
        <v>683</v>
      </c>
      <c r="D94" s="757" t="s">
        <v>684</v>
      </c>
      <c r="E94" s="834">
        <v>0.2</v>
      </c>
      <c r="F94" s="821">
        <v>30</v>
      </c>
    </row>
    <row r="95" spans="1:6" s="817" customFormat="1" ht="36">
      <c r="A95" s="821">
        <v>35</v>
      </c>
      <c r="B95" s="3388"/>
      <c r="C95" s="821" t="s">
        <v>685</v>
      </c>
      <c r="D95" s="757" t="s">
        <v>686</v>
      </c>
      <c r="E95" s="834">
        <v>0.2</v>
      </c>
      <c r="F95" s="821">
        <v>30</v>
      </c>
    </row>
    <row r="96" spans="1:6" s="817" customFormat="1" ht="48">
      <c r="A96" s="821">
        <v>36</v>
      </c>
      <c r="B96" s="3388"/>
      <c r="C96" s="757" t="s">
        <v>687</v>
      </c>
      <c r="D96" s="757" t="s">
        <v>688</v>
      </c>
      <c r="E96" s="834">
        <v>0.2</v>
      </c>
      <c r="F96" s="821">
        <v>30</v>
      </c>
    </row>
    <row r="97" spans="1:6" s="817" customFormat="1" ht="36">
      <c r="A97" s="821">
        <v>37</v>
      </c>
      <c r="B97" s="3388"/>
      <c r="C97" s="821" t="s">
        <v>689</v>
      </c>
      <c r="D97" s="757" t="s">
        <v>690</v>
      </c>
      <c r="E97" s="834">
        <v>0.2</v>
      </c>
      <c r="F97" s="821">
        <v>30</v>
      </c>
    </row>
    <row r="98" spans="1:6" s="817" customFormat="1" ht="36">
      <c r="A98" s="821">
        <v>38</v>
      </c>
      <c r="B98" s="3388"/>
      <c r="C98" s="821" t="s">
        <v>691</v>
      </c>
      <c r="D98" s="757" t="s">
        <v>692</v>
      </c>
      <c r="E98" s="834">
        <v>0.2</v>
      </c>
      <c r="F98" s="821">
        <v>30</v>
      </c>
    </row>
    <row r="99" spans="1:6" s="817" customFormat="1" ht="36">
      <c r="A99" s="821">
        <v>39</v>
      </c>
      <c r="B99" s="3388" t="s">
        <v>693</v>
      </c>
      <c r="C99" s="821" t="s">
        <v>694</v>
      </c>
      <c r="D99" s="757" t="s">
        <v>695</v>
      </c>
      <c r="E99" s="834">
        <v>0.3</v>
      </c>
      <c r="F99" s="821">
        <v>50</v>
      </c>
    </row>
    <row r="100" spans="1:6" s="817" customFormat="1" ht="24">
      <c r="A100" s="821">
        <v>40</v>
      </c>
      <c r="B100" s="3388"/>
      <c r="C100" s="821" t="s">
        <v>696</v>
      </c>
      <c r="D100" s="757" t="s">
        <v>697</v>
      </c>
      <c r="E100" s="834">
        <v>0.2</v>
      </c>
      <c r="F100" s="821">
        <v>30</v>
      </c>
    </row>
    <row r="101" spans="1:6" s="817" customFormat="1" ht="36">
      <c r="A101" s="821">
        <v>41</v>
      </c>
      <c r="B101" s="33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8" t="s">
        <v>708</v>
      </c>
      <c r="C105" s="821" t="s">
        <v>709</v>
      </c>
      <c r="D105" s="757" t="s">
        <v>710</v>
      </c>
      <c r="E105" s="834">
        <v>0.2</v>
      </c>
      <c r="F105" s="821">
        <v>30</v>
      </c>
    </row>
    <row r="106" spans="1:6" s="817" customFormat="1" ht="36">
      <c r="A106" s="821">
        <v>46</v>
      </c>
      <c r="B106" s="3388"/>
      <c r="C106" s="821" t="s">
        <v>711</v>
      </c>
      <c r="D106" s="757" t="s">
        <v>712</v>
      </c>
      <c r="E106" s="834">
        <v>0.2</v>
      </c>
      <c r="F106" s="821">
        <v>30</v>
      </c>
    </row>
    <row r="107" spans="1:6" s="817" customFormat="1" ht="36">
      <c r="A107" s="821">
        <v>47</v>
      </c>
      <c r="B107" s="3388" t="s">
        <v>713</v>
      </c>
      <c r="C107" s="821" t="s">
        <v>714</v>
      </c>
      <c r="D107" s="757" t="s">
        <v>715</v>
      </c>
      <c r="E107" s="834">
        <v>0.3</v>
      </c>
      <c r="F107" s="821">
        <v>50</v>
      </c>
    </row>
    <row r="108" spans="1:6" s="817" customFormat="1" ht="36">
      <c r="A108" s="821">
        <v>48</v>
      </c>
      <c r="B108" s="33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8" t="s">
        <v>724</v>
      </c>
      <c r="C111" s="821" t="s">
        <v>725</v>
      </c>
      <c r="D111" s="757" t="s">
        <v>726</v>
      </c>
      <c r="E111" s="834">
        <v>0.2</v>
      </c>
      <c r="F111" s="821">
        <v>30</v>
      </c>
    </row>
    <row r="112" spans="1:6" s="817" customFormat="1" ht="24">
      <c r="A112" s="821">
        <v>52</v>
      </c>
      <c r="B112" s="3388"/>
      <c r="C112" s="821" t="s">
        <v>727</v>
      </c>
      <c r="D112" s="757" t="s">
        <v>728</v>
      </c>
      <c r="E112" s="834">
        <v>0.2</v>
      </c>
      <c r="F112" s="821">
        <v>30</v>
      </c>
    </row>
    <row r="113" spans="1:6" s="817" customFormat="1" ht="24">
      <c r="A113" s="821">
        <v>53</v>
      </c>
      <c r="B113" s="33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8" t="s">
        <v>737</v>
      </c>
      <c r="C116" s="821" t="s">
        <v>738</v>
      </c>
      <c r="D116" s="757" t="s">
        <v>739</v>
      </c>
      <c r="E116" s="834">
        <v>0.2</v>
      </c>
      <c r="F116" s="821">
        <v>30</v>
      </c>
    </row>
    <row r="117" spans="1:6" ht="36">
      <c r="A117" s="821">
        <v>57</v>
      </c>
      <c r="B117" s="33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3"/>
      <c r="G1" s="3023"/>
      <c r="H1" s="3023"/>
      <c r="I1" s="3023"/>
      <c r="J1" s="3023"/>
      <c r="K1" s="3023"/>
      <c r="L1" s="3023"/>
      <c r="M1" s="3023"/>
      <c r="N1" s="3023"/>
      <c r="O1" s="3023"/>
      <c r="P1" s="3023"/>
    </row>
    <row r="2" spans="1:16" ht="15.75">
      <c r="A2" s="2361" t="s">
        <v>2814</v>
      </c>
      <c r="B2" s="2827" t="e">
        <f ca="1">SUMIF(B6:B13,"&lt;&gt;#ref!",B6:B13)</f>
        <v>#DIV/0!</v>
      </c>
      <c r="C2" s="2361" t="s">
        <v>2815</v>
      </c>
      <c r="D2" s="2361" t="s">
        <v>2816</v>
      </c>
      <c r="E2" s="2837">
        <f ca="1">SUMIF(E6:E13,"&lt;&gt;#ref!",E6:E13)</f>
        <v>0</v>
      </c>
      <c r="F2" s="3023"/>
      <c r="G2" s="3023"/>
      <c r="H2" s="3023"/>
      <c r="I2" s="3023"/>
      <c r="J2" s="3023"/>
      <c r="K2" s="3023"/>
      <c r="L2" s="3023"/>
      <c r="M2" s="3023"/>
      <c r="N2" s="3023"/>
      <c r="O2" s="3023"/>
      <c r="P2" s="3023"/>
    </row>
    <row r="3" spans="1:16" ht="15.75">
      <c r="A3" s="2361" t="s">
        <v>2817</v>
      </c>
      <c r="B3" s="2827" t="e">
        <f ca="1">ROUND(B2*10000/E2,0)</f>
        <v>#DIV/0!</v>
      </c>
      <c r="C3" s="2361"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2"/>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1"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1"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4" t="s">
        <v>1117</v>
      </c>
      <c r="C1" s="3394"/>
      <c r="D1" s="3394"/>
      <c r="E1" s="3394"/>
      <c r="F1" s="3394"/>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2">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3060</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2">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3058</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39">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2872</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2870</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2869</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2868</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2866</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2864</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2867</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39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2862</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39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2861</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39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2854</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399"/>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2852</v>
      </c>
      <c r="B18" s="2438">
        <v>439</v>
      </c>
      <c r="C18" s="2438">
        <v>327</v>
      </c>
      <c r="D18" s="2438">
        <f>C18</f>
        <v>327</v>
      </c>
      <c r="E18" s="2438">
        <v>627</v>
      </c>
      <c r="F18" s="2439">
        <v>283</v>
      </c>
      <c r="G18" s="3395">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2853</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39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39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399"/>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395">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39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39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39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38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39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39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39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38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39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39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39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396">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397"/>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397"/>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398"/>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38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39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39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39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38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39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39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39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38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39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39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39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38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39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39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39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38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39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39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39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38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39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39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39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38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39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39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39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38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39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39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39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38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39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39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39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38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39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39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39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38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39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39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39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3" t="s">
        <v>2825</v>
      </c>
      <c r="D1" s="3404"/>
      <c r="E1" s="3404"/>
      <c r="F1" s="3404"/>
      <c r="G1" s="3404"/>
      <c r="H1" s="3404"/>
      <c r="I1" s="3404"/>
      <c r="J1" s="3404"/>
      <c r="K1" s="3404"/>
      <c r="L1" s="3404"/>
      <c r="M1" s="3404"/>
      <c r="N1" s="3404"/>
      <c r="O1" s="3404"/>
      <c r="P1" s="3404"/>
      <c r="Q1" s="3404"/>
      <c r="R1" s="3404"/>
      <c r="S1" s="340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78"/>
      <c r="B4" s="3075" t="s">
        <v>1595</v>
      </c>
      <c r="C4" s="3075"/>
      <c r="D4" s="3075"/>
      <c r="E4" s="1678"/>
    </row>
    <row r="5" spans="1:5" ht="16.5" thickTop="1">
      <c r="A5" s="1676"/>
      <c r="B5" s="3073" t="s">
        <v>1587</v>
      </c>
      <c r="C5" s="1679" t="s">
        <v>1588</v>
      </c>
      <c r="D5" s="959">
        <f ca="1">结果表!H101</f>
        <v>121794</v>
      </c>
      <c r="E5" s="1676"/>
    </row>
    <row r="6" spans="1:5" ht="15.75">
      <c r="A6" s="1676"/>
      <c r="B6" s="3073"/>
      <c r="C6" s="1679" t="s">
        <v>1589</v>
      </c>
      <c r="D6" s="959" t="str">
        <f ca="1">NUMBERSTRING(INT(D5*10000),2)&amp;"元整"</f>
        <v>壹拾贰亿壹仟柒佰玖拾肆万元整</v>
      </c>
      <c r="E6" s="1676"/>
    </row>
    <row r="7" spans="1:5" ht="15.75">
      <c r="A7" s="1676"/>
      <c r="B7" s="3078"/>
      <c r="C7" s="1680" t="s">
        <v>1590</v>
      </c>
      <c r="D7" s="960">
        <f ca="1">结果表!H102</f>
        <v>12537</v>
      </c>
      <c r="E7" s="1676"/>
    </row>
    <row r="8" spans="1:5" ht="15.75">
      <c r="A8" s="1676"/>
      <c r="B8" s="3079" t="str">
        <f>结果表!E103</f>
        <v>2.估价师知悉的法定优先受偿款</v>
      </c>
      <c r="C8" s="1681" t="s">
        <v>1591</v>
      </c>
      <c r="D8" s="960">
        <f>结果表!H103</f>
        <v>0</v>
      </c>
      <c r="E8" s="1676"/>
    </row>
    <row r="9" spans="1:5" ht="15.75">
      <c r="A9" s="1676"/>
      <c r="B9" s="308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2" t="str">
        <f>结果表!E107</f>
        <v>3.房地产抵押价值</v>
      </c>
      <c r="C13" s="1684" t="s">
        <v>1588</v>
      </c>
      <c r="D13" s="962">
        <f ca="1">结果表!H107</f>
        <v>121794</v>
      </c>
      <c r="E13" s="1676"/>
    </row>
    <row r="14" spans="1:5" ht="15.75">
      <c r="A14" s="1676"/>
      <c r="B14" s="3073"/>
      <c r="C14" s="1679" t="s">
        <v>1589</v>
      </c>
      <c r="D14" s="959" t="str">
        <f ca="1">NUMBERSTRING(INT(D13*10000),2)&amp;"元整"</f>
        <v>壹拾贰亿壹仟柒佰玖拾肆万元整</v>
      </c>
      <c r="E14" s="1676"/>
    </row>
    <row r="15" spans="1:5" ht="15">
      <c r="A15" s="1676"/>
      <c r="B15" s="3078"/>
      <c r="C15" s="1680" t="s">
        <v>1599</v>
      </c>
      <c r="D15" s="968">
        <f ca="1">结果表!H108</f>
        <v>12537</v>
      </c>
      <c r="E15" s="1676"/>
    </row>
    <row r="16" spans="1:5" ht="15">
      <c r="A16" s="1676"/>
      <c r="B16" s="3079" t="str">
        <f>结果表!E109</f>
        <v>——</v>
      </c>
      <c r="C16" s="1684" t="s">
        <v>1600</v>
      </c>
      <c r="D16" s="1685" t="str">
        <f>结果表!H109</f>
        <v>——</v>
      </c>
      <c r="E16" s="1676"/>
    </row>
    <row r="17" spans="1:5" ht="15.75">
      <c r="A17" s="1676"/>
      <c r="B17" s="3080"/>
      <c r="C17" s="1679" t="s">
        <v>1601</v>
      </c>
      <c r="D17" s="959" t="e">
        <f>NUMBERSTRING(INT(D16*10000),2)&amp;"元整"</f>
        <v>#VALUE!</v>
      </c>
      <c r="E17" s="1676"/>
    </row>
    <row r="18" spans="1:5" ht="15">
      <c r="A18" s="1676"/>
      <c r="B18" s="3081"/>
      <c r="C18" s="1680" t="s">
        <v>1590</v>
      </c>
      <c r="D18" s="968" t="str">
        <f>结果表!H110</f>
        <v>——</v>
      </c>
      <c r="E18" s="1676"/>
    </row>
    <row r="19" spans="1:5" ht="15.75">
      <c r="A19" s="1676"/>
      <c r="B19" s="3072" t="str">
        <f>结果表!E111</f>
        <v>4.抵押净值</v>
      </c>
      <c r="C19" s="1684" t="s">
        <v>1588</v>
      </c>
      <c r="D19" s="960">
        <f ca="1">结果表!H111</f>
        <v>111767</v>
      </c>
      <c r="E19" s="1676"/>
    </row>
    <row r="20" spans="1:5" ht="15.75">
      <c r="A20" s="1676"/>
      <c r="B20" s="3073"/>
      <c r="C20" s="1679" t="s">
        <v>1601</v>
      </c>
      <c r="D20" s="959" t="str">
        <f ca="1">NUMBERSTRING(INT(D19*10000),2)&amp;"元整"</f>
        <v>壹拾壹亿壹仟柒佰陆拾柒万元整</v>
      </c>
      <c r="E20" s="1676"/>
    </row>
    <row r="21" spans="1:5" ht="15.75" thickBot="1">
      <c r="A21" s="1676"/>
      <c r="B21" s="3074"/>
      <c r="C21" s="1686" t="s">
        <v>1599</v>
      </c>
      <c r="D21" s="969">
        <f ca="1">结果表!H112</f>
        <v>11505</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102247</v>
      </c>
      <c r="C2" s="2" t="s">
        <v>133</v>
      </c>
      <c r="D2" s="205"/>
      <c r="E2" s="205"/>
      <c r="F2" s="205"/>
      <c r="G2" s="205"/>
    </row>
    <row r="3" spans="1:7" s="206" customFormat="1" ht="18" customHeight="1" thickBot="1">
      <c r="A3" s="209" t="s">
        <v>85</v>
      </c>
      <c r="B3" s="210">
        <f ca="1">ROUND(B2*10000/'数据-汇总表'!E3,0)</f>
        <v>10525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962</v>
      </c>
      <c r="D10" s="954">
        <f>'数据-汇总表'!E6</f>
        <v>97146.700000000012</v>
      </c>
      <c r="E10" s="231">
        <f>'数据-取费表'!B28</f>
        <v>99</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1943</v>
      </c>
      <c r="D19" s="958">
        <f>'数据-汇总表'!E3</f>
        <v>97146.700000000012</v>
      </c>
      <c r="E19" s="217">
        <f>'数据-取费表'!B31</f>
        <v>200</v>
      </c>
      <c r="F19" s="237"/>
      <c r="G19" s="1" t="s">
        <v>1042</v>
      </c>
    </row>
    <row r="20" spans="1:7" s="220" customFormat="1" ht="13.5" customHeight="1">
      <c r="A20" s="885" t="s">
        <v>1025</v>
      </c>
      <c r="B20" s="216" t="s">
        <v>104</v>
      </c>
      <c r="C20" s="238">
        <f>ROUND((C5+C19)*F20,0)</f>
        <v>677</v>
      </c>
      <c r="D20" s="238"/>
      <c r="E20" s="238"/>
      <c r="F20" s="239">
        <f>'数据-取费表'!B37</f>
        <v>0.03</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1509</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128</v>
      </c>
      <c r="D24" s="244"/>
      <c r="E24" s="244"/>
      <c r="F24" s="245"/>
      <c r="G24" s="246" t="s">
        <v>109</v>
      </c>
    </row>
    <row r="25" spans="1:7" s="220" customFormat="1" ht="24">
      <c r="A25" s="888" t="s">
        <v>793</v>
      </c>
      <c r="B25" s="221" t="s">
        <v>1026</v>
      </c>
      <c r="C25" s="1265">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4646</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4646</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52702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48573</v>
      </c>
      <c r="D34" s="223"/>
      <c r="E34" s="226"/>
      <c r="F34" s="263">
        <f>IF('数据-取费表'!B24=0,1,'数据-取费表'!N16)</f>
        <v>1</v>
      </c>
      <c r="G34" s="225" t="s">
        <v>116</v>
      </c>
    </row>
    <row r="35" spans="1:7" ht="13.5" customHeight="1">
      <c r="A35" s="888" t="s">
        <v>796</v>
      </c>
      <c r="B35" s="221" t="s">
        <v>60</v>
      </c>
      <c r="C35" s="226">
        <f>ROUND(C34*F35,0)</f>
        <v>1457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1943</v>
      </c>
      <c r="D37" s="223">
        <f>'数据-汇总表'!E3</f>
        <v>97146.700000000012</v>
      </c>
      <c r="E37" s="255">
        <f>'数据-取费表'!B35</f>
        <v>200</v>
      </c>
      <c r="F37" s="265"/>
      <c r="G37" s="267" t="s">
        <v>119</v>
      </c>
    </row>
    <row r="38" spans="1:7" ht="13.5" customHeight="1">
      <c r="A38" s="888" t="s">
        <v>799</v>
      </c>
      <c r="B38" s="221" t="s">
        <v>63</v>
      </c>
      <c r="C38" s="226">
        <f>ROUND(C34*F38,0)</f>
        <v>729</v>
      </c>
      <c r="D38" s="226"/>
      <c r="E38" s="226"/>
      <c r="F38" s="265">
        <f>'数据-取费表'!B36</f>
        <v>1.4999999999999999E-2</v>
      </c>
      <c r="G38" s="225" t="s">
        <v>117</v>
      </c>
    </row>
    <row r="39" spans="1:7" s="220" customFormat="1" ht="13.5" customHeight="1">
      <c r="A39" s="885" t="s">
        <v>783</v>
      </c>
      <c r="B39" s="216" t="s">
        <v>104</v>
      </c>
      <c r="C39" s="238">
        <f>ROUND(C33*F20,0)</f>
        <v>1581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1761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1710</v>
      </c>
      <c r="D42" s="244"/>
      <c r="E42" s="244"/>
      <c r="F42" s="245"/>
      <c r="G42" s="3260" t="s">
        <v>121</v>
      </c>
    </row>
    <row r="43" spans="1:7" ht="13.5" customHeight="1">
      <c r="A43" s="888" t="s">
        <v>792</v>
      </c>
      <c r="B43" s="221" t="s">
        <v>1032</v>
      </c>
      <c r="C43" s="244">
        <f ca="1">ROUND(IF('数据-取费表'!B22&lt;=1,C39*F22*'数据-取费表'!B21/2,C39*(POWER((1+F22),'数据-取费表'!B21/2)-1)),0)</f>
        <v>51</v>
      </c>
      <c r="D43" s="244"/>
      <c r="E43" s="244"/>
      <c r="F43" s="245"/>
      <c r="G43" s="3261"/>
    </row>
    <row r="44" spans="1:7" ht="13.5" customHeight="1">
      <c r="A44" s="888" t="s">
        <v>793</v>
      </c>
      <c r="B44" s="221" t="s">
        <v>1034</v>
      </c>
      <c r="C44" s="244">
        <f ca="1">ROUND(IF('数据-取费表'!B22&lt;=1,C40*F22*'数据-取费表'!B21/2,C40*(POWER((1+F22),'数据-取费表'!B21/2)-1)),4)</f>
        <v>5.9999999999999995E-4</v>
      </c>
      <c r="D44" s="244"/>
      <c r="E44" s="244"/>
      <c r="F44" s="245"/>
      <c r="G44" s="3262"/>
    </row>
    <row r="45" spans="1:7" s="220" customFormat="1" ht="13.5" customHeight="1">
      <c r="A45" s="885" t="s">
        <v>786</v>
      </c>
      <c r="B45" s="250" t="s">
        <v>112</v>
      </c>
      <c r="C45" s="251">
        <f>C46</f>
        <v>10857</v>
      </c>
      <c r="D45" s="241">
        <f>C47</f>
        <v>4.0000000000000001E-3</v>
      </c>
      <c r="E45" s="242" t="s">
        <v>129</v>
      </c>
      <c r="F45" s="252"/>
      <c r="G45" s="253" t="s">
        <v>1040</v>
      </c>
    </row>
    <row r="46" spans="1:7" s="220" customFormat="1" ht="13.5" customHeight="1">
      <c r="A46" s="888" t="s">
        <v>794</v>
      </c>
      <c r="B46" s="254" t="s">
        <v>1033</v>
      </c>
      <c r="C46" s="255">
        <f>ROUND((C33+C39)*F27,0)</f>
        <v>10857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72555</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70378</v>
      </c>
      <c r="D51" s="238"/>
      <c r="E51" s="238"/>
      <c r="F51" s="270"/>
      <c r="G51" s="240" t="s">
        <v>64</v>
      </c>
    </row>
    <row r="52" spans="1:7" s="214" customFormat="1" ht="16.5" thickBot="1">
      <c r="A52" s="271" t="s">
        <v>65</v>
      </c>
      <c r="B52" s="272"/>
      <c r="C52" s="273">
        <f ca="1">C31+C51</f>
        <v>102247</v>
      </c>
      <c r="D52" s="272"/>
      <c r="E52" s="272"/>
      <c r="F52" s="272"/>
      <c r="G52" s="274"/>
    </row>
    <row r="55" spans="1:7" ht="15">
      <c r="B55" s="276" t="s">
        <v>66</v>
      </c>
      <c r="C55" s="277"/>
    </row>
    <row r="56" spans="1:7">
      <c r="B56" s="279" t="s">
        <v>67</v>
      </c>
      <c r="C56" s="280">
        <f ca="1">ROUND(C51/C52,3)</f>
        <v>0.68799999999999994</v>
      </c>
    </row>
    <row r="57" spans="1:7">
      <c r="B57" s="279" t="s">
        <v>68</v>
      </c>
      <c r="C57" s="281">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6" t="s">
        <v>156</v>
      </c>
      <c r="B1" s="3406"/>
      <c r="C1" s="3406"/>
      <c r="D1" s="3406"/>
      <c r="E1" s="3406"/>
      <c r="F1" s="34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7" t="s">
        <v>169</v>
      </c>
      <c r="B2" s="3407"/>
      <c r="C2" s="3407"/>
      <c r="D2" s="3407"/>
      <c r="E2" s="3407"/>
      <c r="F2" s="34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6" t="s">
        <v>839</v>
      </c>
      <c r="B1" s="34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44309</v>
      </c>
      <c r="D1" s="1470" t="s">
        <v>1268</v>
      </c>
      <c r="E1" s="1465">
        <f>'数据-取费表'!B22</f>
        <v>1.5</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45" t="s">
        <v>3061</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8"/>
  <sheetViews>
    <sheetView workbookViewId="0">
      <pane ySplit="1" topLeftCell="A113" activePane="bottomLeft" state="frozen"/>
      <selection pane="bottomLeft" activeCell="L171" sqref="L171"/>
    </sheetView>
  </sheetViews>
  <sheetFormatPr defaultRowHeight="13.5"/>
  <cols>
    <col min="2" max="2" width="6.375" customWidth="1"/>
    <col min="4" max="4" width="6.625" customWidth="1"/>
    <col min="8" max="8" width="12.5" customWidth="1"/>
    <col min="10" max="10" width="21.625" customWidth="1"/>
  </cols>
  <sheetData>
    <row r="1" spans="1:15">
      <c r="A1" s="3055" t="s">
        <v>3082</v>
      </c>
      <c r="B1" s="3055" t="s">
        <v>3083</v>
      </c>
      <c r="C1" s="3055" t="s">
        <v>3084</v>
      </c>
      <c r="D1" s="3055" t="s">
        <v>3085</v>
      </c>
      <c r="E1" s="3055" t="s">
        <v>3086</v>
      </c>
      <c r="F1" s="3055" t="s">
        <v>3087</v>
      </c>
      <c r="G1" s="3055" t="s">
        <v>3088</v>
      </c>
      <c r="H1" s="3055" t="s">
        <v>3089</v>
      </c>
      <c r="I1" s="3055" t="s">
        <v>3090</v>
      </c>
      <c r="J1" s="3055" t="s">
        <v>3091</v>
      </c>
      <c r="K1" s="3055" t="s">
        <v>3092</v>
      </c>
      <c r="L1" s="3055" t="s">
        <v>3093</v>
      </c>
      <c r="M1" s="3055" t="s">
        <v>3094</v>
      </c>
      <c r="N1" s="3055" t="s">
        <v>3095</v>
      </c>
      <c r="O1" s="3055" t="s">
        <v>3096</v>
      </c>
    </row>
    <row r="2" spans="1:15">
      <c r="A2" s="3055" t="s">
        <v>3097</v>
      </c>
      <c r="B2" s="3055" t="s">
        <v>3098</v>
      </c>
      <c r="C2" s="3055" t="s">
        <v>3099</v>
      </c>
      <c r="D2" s="3055" t="s">
        <v>3100</v>
      </c>
      <c r="E2" s="3055" t="s">
        <v>3101</v>
      </c>
      <c r="F2" s="3055">
        <v>4937</v>
      </c>
      <c r="G2" s="3055">
        <v>14811</v>
      </c>
      <c r="H2" s="3055" t="s">
        <v>3102</v>
      </c>
      <c r="I2" s="3055" t="s">
        <v>3103</v>
      </c>
      <c r="J2" s="3055" t="s">
        <v>3104</v>
      </c>
      <c r="K2" s="3055">
        <v>519</v>
      </c>
      <c r="L2" s="3055">
        <v>70.08</v>
      </c>
      <c r="M2" s="3055">
        <v>350.42</v>
      </c>
      <c r="N2" s="3055" t="s">
        <v>1298</v>
      </c>
      <c r="O2" s="3055" t="s">
        <v>3105</v>
      </c>
    </row>
    <row r="3" spans="1:15">
      <c r="A3" s="3055" t="s">
        <v>3097</v>
      </c>
      <c r="B3" s="3055" t="s">
        <v>3098</v>
      </c>
      <c r="C3" s="3055" t="s">
        <v>3099</v>
      </c>
      <c r="D3" s="3055" t="s">
        <v>3100</v>
      </c>
      <c r="E3" s="3055" t="s">
        <v>3101</v>
      </c>
      <c r="F3" s="3055">
        <v>5294</v>
      </c>
      <c r="G3" s="3055">
        <v>22234.799999999999</v>
      </c>
      <c r="H3" s="3055" t="s">
        <v>3106</v>
      </c>
      <c r="I3" s="3055" t="s">
        <v>3103</v>
      </c>
      <c r="J3" s="3055" t="s">
        <v>3107</v>
      </c>
      <c r="K3" s="3055">
        <v>739</v>
      </c>
      <c r="L3" s="3055">
        <v>93.06</v>
      </c>
      <c r="M3" s="3055">
        <v>332.36</v>
      </c>
      <c r="N3" s="3055" t="s">
        <v>1298</v>
      </c>
      <c r="O3" s="3055" t="s">
        <v>3105</v>
      </c>
    </row>
    <row r="4" spans="1:15">
      <c r="A4" s="3055" t="s">
        <v>3108</v>
      </c>
      <c r="B4" s="3055" t="s">
        <v>3098</v>
      </c>
      <c r="C4" s="3055" t="s">
        <v>3099</v>
      </c>
      <c r="D4" s="3055" t="s">
        <v>3100</v>
      </c>
      <c r="E4" s="3055" t="s">
        <v>3101</v>
      </c>
      <c r="F4" s="3055">
        <v>5357</v>
      </c>
      <c r="G4" s="3055">
        <v>18749.5</v>
      </c>
      <c r="H4" s="3055" t="s">
        <v>3109</v>
      </c>
      <c r="I4" s="3055" t="s">
        <v>3110</v>
      </c>
      <c r="J4" s="3055" t="s">
        <v>3111</v>
      </c>
      <c r="K4" s="3055">
        <v>640</v>
      </c>
      <c r="L4" s="3055">
        <v>79.650000000000006</v>
      </c>
      <c r="M4" s="3055">
        <v>341.33</v>
      </c>
      <c r="N4" s="3055">
        <v>0</v>
      </c>
      <c r="O4" s="3055" t="s">
        <v>3105</v>
      </c>
    </row>
    <row r="5" spans="1:15">
      <c r="A5" s="3055" t="s">
        <v>3108</v>
      </c>
      <c r="B5" s="3055" t="s">
        <v>3098</v>
      </c>
      <c r="C5" s="3055" t="s">
        <v>3099</v>
      </c>
      <c r="D5" s="3055" t="s">
        <v>3100</v>
      </c>
      <c r="E5" s="3055" t="s">
        <v>3101</v>
      </c>
      <c r="F5" s="3055">
        <v>5295</v>
      </c>
      <c r="G5" s="3055">
        <v>18532.5</v>
      </c>
      <c r="H5" s="3055" t="s">
        <v>3109</v>
      </c>
      <c r="I5" s="3055" t="s">
        <v>3110</v>
      </c>
      <c r="J5" s="3055" t="s">
        <v>3112</v>
      </c>
      <c r="K5" s="3055">
        <v>633</v>
      </c>
      <c r="L5" s="3055">
        <v>79.7</v>
      </c>
      <c r="M5" s="3055">
        <v>341.56</v>
      </c>
      <c r="N5" s="3055">
        <v>0</v>
      </c>
      <c r="O5" s="3055" t="s">
        <v>3105</v>
      </c>
    </row>
    <row r="6" spans="1:15" s="3059" customFormat="1">
      <c r="A6" s="3058" t="s">
        <v>3113</v>
      </c>
      <c r="B6" s="3058" t="s">
        <v>3098</v>
      </c>
      <c r="C6" s="3058" t="s">
        <v>3099</v>
      </c>
      <c r="D6" s="3058" t="s">
        <v>3114</v>
      </c>
      <c r="E6" s="3058" t="s">
        <v>3115</v>
      </c>
      <c r="F6" s="3058">
        <v>6591.19</v>
      </c>
      <c r="G6" s="3058">
        <v>7909.43</v>
      </c>
      <c r="H6" s="3058" t="s">
        <v>3116</v>
      </c>
      <c r="I6" s="3058" t="s">
        <v>3117</v>
      </c>
      <c r="J6" s="3058" t="s">
        <v>3118</v>
      </c>
      <c r="K6" s="3058">
        <v>3646.25</v>
      </c>
      <c r="L6" s="3058">
        <v>368.8</v>
      </c>
      <c r="M6" s="3058">
        <v>4610</v>
      </c>
      <c r="N6" s="3058">
        <v>0</v>
      </c>
      <c r="O6" s="3058" t="s">
        <v>3119</v>
      </c>
    </row>
    <row r="7" spans="1:15">
      <c r="A7" s="3055" t="s">
        <v>3120</v>
      </c>
      <c r="B7" s="3055" t="s">
        <v>3098</v>
      </c>
      <c r="C7" s="3055" t="s">
        <v>3099</v>
      </c>
      <c r="D7" s="3055" t="s">
        <v>3100</v>
      </c>
      <c r="E7" s="3055" t="s">
        <v>3101</v>
      </c>
      <c r="F7" s="3055">
        <v>6170</v>
      </c>
      <c r="G7" s="3055">
        <v>21595</v>
      </c>
      <c r="H7" s="3055" t="s">
        <v>3109</v>
      </c>
      <c r="I7" s="3055" t="s">
        <v>3121</v>
      </c>
      <c r="J7" s="3055" t="s">
        <v>3122</v>
      </c>
      <c r="K7" s="3055">
        <v>737</v>
      </c>
      <c r="L7" s="3055">
        <v>79.63</v>
      </c>
      <c r="M7" s="3055">
        <v>341.27</v>
      </c>
      <c r="N7" s="3055" t="s">
        <v>1298</v>
      </c>
      <c r="O7" s="3055" t="s">
        <v>3105</v>
      </c>
    </row>
    <row r="8" spans="1:15">
      <c r="A8" s="3055" t="s">
        <v>3120</v>
      </c>
      <c r="B8" s="3055" t="s">
        <v>3098</v>
      </c>
      <c r="C8" s="3055" t="s">
        <v>3099</v>
      </c>
      <c r="D8" s="3055" t="s">
        <v>3100</v>
      </c>
      <c r="E8" s="3055" t="s">
        <v>3101</v>
      </c>
      <c r="F8" s="3055">
        <v>6820</v>
      </c>
      <c r="G8" s="3055">
        <v>23870</v>
      </c>
      <c r="H8" s="3055" t="s">
        <v>3109</v>
      </c>
      <c r="I8" s="3055" t="s">
        <v>3121</v>
      </c>
      <c r="J8" s="3055" t="s">
        <v>3123</v>
      </c>
      <c r="K8" s="3055">
        <v>815</v>
      </c>
      <c r="L8" s="3055">
        <v>79.67</v>
      </c>
      <c r="M8" s="3055">
        <v>341.43</v>
      </c>
      <c r="N8" s="3055" t="s">
        <v>1298</v>
      </c>
      <c r="O8" s="3055" t="s">
        <v>3105</v>
      </c>
    </row>
    <row r="9" spans="1:15">
      <c r="A9" s="3055" t="s">
        <v>3120</v>
      </c>
      <c r="B9" s="3055" t="s">
        <v>3098</v>
      </c>
      <c r="C9" s="3055" t="s">
        <v>3099</v>
      </c>
      <c r="D9" s="3055" t="s">
        <v>3100</v>
      </c>
      <c r="E9" s="3055" t="s">
        <v>3124</v>
      </c>
      <c r="F9" s="3055">
        <v>17794</v>
      </c>
      <c r="G9" s="3055">
        <v>44485</v>
      </c>
      <c r="H9" s="3055" t="s">
        <v>3125</v>
      </c>
      <c r="I9" s="3055" t="s">
        <v>3126</v>
      </c>
      <c r="J9" s="3055" t="s">
        <v>3127</v>
      </c>
      <c r="K9" s="3055">
        <v>2624</v>
      </c>
      <c r="L9" s="3055">
        <v>98.31</v>
      </c>
      <c r="M9" s="3055">
        <v>589.86</v>
      </c>
      <c r="N9" s="3055">
        <v>0</v>
      </c>
      <c r="O9" s="3055" t="s">
        <v>3105</v>
      </c>
    </row>
    <row r="10" spans="1:15">
      <c r="A10" s="3055" t="s">
        <v>3120</v>
      </c>
      <c r="B10" s="3055" t="s">
        <v>3098</v>
      </c>
      <c r="C10" s="3055" t="s">
        <v>3099</v>
      </c>
      <c r="D10" s="3055" t="s">
        <v>3100</v>
      </c>
      <c r="E10" s="3055" t="s">
        <v>3101</v>
      </c>
      <c r="F10" s="3055">
        <v>8877</v>
      </c>
      <c r="G10" s="3055">
        <v>31069.5</v>
      </c>
      <c r="H10" s="3055" t="s">
        <v>3109</v>
      </c>
      <c r="I10" s="3055" t="s">
        <v>3126</v>
      </c>
      <c r="J10" s="3055" t="s">
        <v>3128</v>
      </c>
      <c r="K10" s="3055">
        <v>1065</v>
      </c>
      <c r="L10" s="3055">
        <v>79.98</v>
      </c>
      <c r="M10" s="3055">
        <v>342.77</v>
      </c>
      <c r="N10" s="3055">
        <v>0</v>
      </c>
      <c r="O10" s="3055" t="s">
        <v>3105</v>
      </c>
    </row>
    <row r="11" spans="1:15">
      <c r="A11" s="3055" t="s">
        <v>3129</v>
      </c>
      <c r="B11" s="3055" t="s">
        <v>3098</v>
      </c>
      <c r="C11" s="3055" t="s">
        <v>3099</v>
      </c>
      <c r="D11" s="3055" t="s">
        <v>3100</v>
      </c>
      <c r="E11" s="3055" t="s">
        <v>1343</v>
      </c>
      <c r="F11" s="3055">
        <v>7247</v>
      </c>
      <c r="G11" s="3055">
        <v>21741</v>
      </c>
      <c r="H11" s="3055" t="s">
        <v>3130</v>
      </c>
      <c r="I11" s="3055" t="s">
        <v>3131</v>
      </c>
      <c r="J11" s="3055" t="s">
        <v>3132</v>
      </c>
      <c r="K11" s="3055">
        <v>838</v>
      </c>
      <c r="L11" s="3055">
        <v>77.09</v>
      </c>
      <c r="M11" s="3055">
        <v>385.44</v>
      </c>
      <c r="N11" s="3055">
        <v>0</v>
      </c>
      <c r="O11" s="3055" t="s">
        <v>3105</v>
      </c>
    </row>
    <row r="12" spans="1:15">
      <c r="A12" s="3055" t="s">
        <v>3120</v>
      </c>
      <c r="B12" s="3055" t="s">
        <v>3098</v>
      </c>
      <c r="C12" s="3055" t="s">
        <v>3099</v>
      </c>
      <c r="D12" s="3055" t="s">
        <v>3100</v>
      </c>
      <c r="E12" s="3055" t="s">
        <v>3101</v>
      </c>
      <c r="F12" s="3055">
        <v>6041</v>
      </c>
      <c r="G12" s="3055">
        <v>21143.5</v>
      </c>
      <c r="H12" s="3055" t="s">
        <v>3109</v>
      </c>
      <c r="I12" s="3055" t="s">
        <v>3133</v>
      </c>
      <c r="J12" s="3055" t="s">
        <v>3134</v>
      </c>
      <c r="K12" s="3055">
        <v>722</v>
      </c>
      <c r="L12" s="3055">
        <v>79.680000000000007</v>
      </c>
      <c r="M12" s="3055">
        <v>341.48</v>
      </c>
      <c r="N12" s="3055">
        <v>0</v>
      </c>
      <c r="O12" s="3055" t="s">
        <v>3105</v>
      </c>
    </row>
    <row r="13" spans="1:15">
      <c r="A13" s="3055" t="s">
        <v>3120</v>
      </c>
      <c r="B13" s="3055" t="s">
        <v>3098</v>
      </c>
      <c r="C13" s="3055" t="s">
        <v>3099</v>
      </c>
      <c r="D13" s="3055" t="s">
        <v>3100</v>
      </c>
      <c r="E13" s="3055" t="s">
        <v>3101</v>
      </c>
      <c r="F13" s="3055">
        <v>6500</v>
      </c>
      <c r="G13" s="3055">
        <v>22750</v>
      </c>
      <c r="H13" s="3055" t="s">
        <v>3109</v>
      </c>
      <c r="I13" s="3055" t="s">
        <v>3133</v>
      </c>
      <c r="J13" s="3055" t="s">
        <v>3135</v>
      </c>
      <c r="K13" s="3055">
        <v>777</v>
      </c>
      <c r="L13" s="3055">
        <v>79.69</v>
      </c>
      <c r="M13" s="3055">
        <v>341.54</v>
      </c>
      <c r="N13" s="3055">
        <v>0</v>
      </c>
      <c r="O13" s="3055" t="s">
        <v>3105</v>
      </c>
    </row>
    <row r="14" spans="1:15" s="3054" customFormat="1">
      <c r="A14" s="3056" t="s">
        <v>3136</v>
      </c>
      <c r="B14" s="3056" t="s">
        <v>3098</v>
      </c>
      <c r="C14" s="3056" t="s">
        <v>3099</v>
      </c>
      <c r="D14" s="3056" t="s">
        <v>3100</v>
      </c>
      <c r="E14" s="3056" t="s">
        <v>3137</v>
      </c>
      <c r="F14" s="3056">
        <v>13349.65</v>
      </c>
      <c r="G14" s="3056">
        <v>28034.27</v>
      </c>
      <c r="H14" s="3056" t="s">
        <v>3138</v>
      </c>
      <c r="I14" s="3056" t="s">
        <v>3139</v>
      </c>
      <c r="J14" s="3056" t="s">
        <v>3140</v>
      </c>
      <c r="K14" s="3056">
        <v>2831.46</v>
      </c>
      <c r="L14" s="3056">
        <v>141.4</v>
      </c>
      <c r="M14" s="3056">
        <v>1010</v>
      </c>
      <c r="N14" s="3056">
        <v>0</v>
      </c>
      <c r="O14" s="3056" t="s">
        <v>3105</v>
      </c>
    </row>
    <row r="15" spans="1:15">
      <c r="A15" s="3055" t="s">
        <v>3120</v>
      </c>
      <c r="B15" s="3055" t="s">
        <v>3098</v>
      </c>
      <c r="C15" s="3055" t="s">
        <v>3099</v>
      </c>
      <c r="D15" s="3055" t="s">
        <v>3100</v>
      </c>
      <c r="E15" s="3055" t="s">
        <v>3141</v>
      </c>
      <c r="F15" s="3055">
        <v>57680</v>
      </c>
      <c r="G15" s="3055">
        <v>69216</v>
      </c>
      <c r="H15" s="3055" t="s">
        <v>3142</v>
      </c>
      <c r="I15" s="3055" t="s">
        <v>3143</v>
      </c>
      <c r="J15" s="3055" t="s">
        <v>3144</v>
      </c>
      <c r="K15" s="3055">
        <v>5797</v>
      </c>
      <c r="L15" s="3055">
        <v>67</v>
      </c>
      <c r="M15" s="3055">
        <v>837.51</v>
      </c>
      <c r="N15" s="3055">
        <v>0</v>
      </c>
      <c r="O15" s="3055" t="s">
        <v>3105</v>
      </c>
    </row>
    <row r="16" spans="1:15">
      <c r="A16" s="3055" t="s">
        <v>3145</v>
      </c>
      <c r="B16" s="3055" t="s">
        <v>3098</v>
      </c>
      <c r="C16" s="3055" t="s">
        <v>3099</v>
      </c>
      <c r="D16" s="3055" t="s">
        <v>3100</v>
      </c>
      <c r="E16" s="3055" t="s">
        <v>3146</v>
      </c>
      <c r="F16" s="3055">
        <v>16817</v>
      </c>
      <c r="G16" s="3055">
        <v>33634</v>
      </c>
      <c r="H16" s="3055" t="s">
        <v>3147</v>
      </c>
      <c r="I16" s="3055" t="s">
        <v>3143</v>
      </c>
      <c r="J16" s="3055" t="s">
        <v>3148</v>
      </c>
      <c r="K16" s="3055">
        <v>1440</v>
      </c>
      <c r="L16" s="3055">
        <v>57.09</v>
      </c>
      <c r="M16" s="3055">
        <v>428.13</v>
      </c>
      <c r="N16" s="3055">
        <v>0</v>
      </c>
      <c r="O16" s="3055" t="s">
        <v>3105</v>
      </c>
    </row>
    <row r="17" spans="1:15">
      <c r="A17" s="3055" t="s">
        <v>3120</v>
      </c>
      <c r="B17" s="3055" t="s">
        <v>3098</v>
      </c>
      <c r="C17" s="3055" t="s">
        <v>3099</v>
      </c>
      <c r="D17" s="3055" t="s">
        <v>3100</v>
      </c>
      <c r="E17" s="3055" t="s">
        <v>3101</v>
      </c>
      <c r="F17" s="3055">
        <v>8904</v>
      </c>
      <c r="G17" s="3055">
        <v>53424</v>
      </c>
      <c r="H17" s="3055" t="s">
        <v>3149</v>
      </c>
      <c r="I17" s="3055" t="s">
        <v>3150</v>
      </c>
      <c r="J17" s="3055" t="s">
        <v>3151</v>
      </c>
      <c r="K17" s="3055">
        <v>1740</v>
      </c>
      <c r="L17" s="3055">
        <v>130.28</v>
      </c>
      <c r="M17" s="3055">
        <v>325.69</v>
      </c>
      <c r="N17" s="3055">
        <v>0</v>
      </c>
      <c r="O17" s="3055" t="s">
        <v>3105</v>
      </c>
    </row>
    <row r="18" spans="1:15">
      <c r="A18" s="3055" t="s">
        <v>3120</v>
      </c>
      <c r="B18" s="3055" t="s">
        <v>3098</v>
      </c>
      <c r="C18" s="3055" t="s">
        <v>3099</v>
      </c>
      <c r="D18" s="3055" t="s">
        <v>3100</v>
      </c>
      <c r="E18" s="3055" t="s">
        <v>3101</v>
      </c>
      <c r="F18" s="3055">
        <v>8691</v>
      </c>
      <c r="G18" s="3055">
        <v>39109.5</v>
      </c>
      <c r="H18" s="3055" t="s">
        <v>3152</v>
      </c>
      <c r="I18" s="3055" t="s">
        <v>3150</v>
      </c>
      <c r="J18" s="3055" t="s">
        <v>3153</v>
      </c>
      <c r="K18" s="3055">
        <v>1322</v>
      </c>
      <c r="L18" s="3055">
        <v>101.41</v>
      </c>
      <c r="M18" s="3055">
        <v>338.02</v>
      </c>
      <c r="N18" s="3055">
        <v>0</v>
      </c>
      <c r="O18" s="3055" t="s">
        <v>3105</v>
      </c>
    </row>
    <row r="19" spans="1:15">
      <c r="A19" s="3055" t="s">
        <v>3154</v>
      </c>
      <c r="B19" s="3055" t="s">
        <v>3098</v>
      </c>
      <c r="C19" s="3055" t="s">
        <v>3099</v>
      </c>
      <c r="D19" s="3055" t="s">
        <v>3100</v>
      </c>
      <c r="E19" s="3055" t="s">
        <v>3155</v>
      </c>
      <c r="F19" s="3055">
        <v>32499.61</v>
      </c>
      <c r="G19" s="3055">
        <v>38999.53</v>
      </c>
      <c r="H19" s="3055" t="s">
        <v>3116</v>
      </c>
      <c r="I19" s="3055" t="s">
        <v>3156</v>
      </c>
      <c r="J19" s="3055" t="s">
        <v>3157</v>
      </c>
      <c r="K19" s="3055">
        <v>2417.96</v>
      </c>
      <c r="L19" s="3055">
        <v>49.6</v>
      </c>
      <c r="M19" s="3055">
        <v>620</v>
      </c>
      <c r="N19" s="3055">
        <v>0</v>
      </c>
      <c r="O19" s="3055" t="s">
        <v>3158</v>
      </c>
    </row>
    <row r="20" spans="1:15">
      <c r="A20" s="3055" t="s">
        <v>3159</v>
      </c>
      <c r="B20" s="3055" t="s">
        <v>3098</v>
      </c>
      <c r="C20" s="3055" t="s">
        <v>3099</v>
      </c>
      <c r="D20" s="3055" t="s">
        <v>3100</v>
      </c>
      <c r="E20" s="3055" t="s">
        <v>3155</v>
      </c>
      <c r="F20" s="3055">
        <v>12196.39</v>
      </c>
      <c r="G20" s="3055">
        <v>12196.39</v>
      </c>
      <c r="H20" s="3055" t="s">
        <v>3160</v>
      </c>
      <c r="I20" s="3055" t="s">
        <v>3156</v>
      </c>
      <c r="J20" s="3055" t="s">
        <v>3157</v>
      </c>
      <c r="K20" s="3055">
        <v>756.17</v>
      </c>
      <c r="L20" s="3055">
        <v>41.33</v>
      </c>
      <c r="M20" s="3055">
        <v>620</v>
      </c>
      <c r="N20" s="3055">
        <v>0</v>
      </c>
      <c r="O20" s="3055" t="s">
        <v>3158</v>
      </c>
    </row>
    <row r="21" spans="1:15">
      <c r="A21" s="3055" t="s">
        <v>3161</v>
      </c>
      <c r="B21" s="3055" t="s">
        <v>3098</v>
      </c>
      <c r="C21" s="3055" t="s">
        <v>3099</v>
      </c>
      <c r="D21" s="3055" t="s">
        <v>3100</v>
      </c>
      <c r="E21" s="3055" t="s">
        <v>3155</v>
      </c>
      <c r="F21" s="3055">
        <v>5567.34</v>
      </c>
      <c r="G21" s="3055">
        <v>5567.34</v>
      </c>
      <c r="H21" s="3055" t="s">
        <v>3160</v>
      </c>
      <c r="I21" s="3055" t="s">
        <v>3156</v>
      </c>
      <c r="J21" s="3055" t="s">
        <v>3157</v>
      </c>
      <c r="K21" s="3055">
        <v>345.18</v>
      </c>
      <c r="L21" s="3055">
        <v>41.33</v>
      </c>
      <c r="M21" s="3055">
        <v>620</v>
      </c>
      <c r="N21" s="3055">
        <v>0</v>
      </c>
      <c r="O21" s="3055" t="s">
        <v>3158</v>
      </c>
    </row>
    <row r="22" spans="1:15">
      <c r="A22" s="3055" t="s">
        <v>3162</v>
      </c>
      <c r="B22" s="3055" t="s">
        <v>3098</v>
      </c>
      <c r="C22" s="3055" t="s">
        <v>3099</v>
      </c>
      <c r="D22" s="3055" t="s">
        <v>3100</v>
      </c>
      <c r="E22" s="3055" t="s">
        <v>3155</v>
      </c>
      <c r="F22" s="3055">
        <v>6372.14</v>
      </c>
      <c r="G22" s="3055">
        <v>6372.14</v>
      </c>
      <c r="H22" s="3055" t="s">
        <v>3160</v>
      </c>
      <c r="I22" s="3055" t="s">
        <v>3156</v>
      </c>
      <c r="J22" s="3055" t="s">
        <v>3157</v>
      </c>
      <c r="K22" s="3055">
        <v>395.06</v>
      </c>
      <c r="L22" s="3055">
        <v>41.33</v>
      </c>
      <c r="M22" s="3055">
        <v>620</v>
      </c>
      <c r="N22" s="3055">
        <v>0</v>
      </c>
      <c r="O22" s="3055" t="s">
        <v>3158</v>
      </c>
    </row>
    <row r="23" spans="1:15">
      <c r="A23" s="3055" t="s">
        <v>3163</v>
      </c>
      <c r="B23" s="3055" t="s">
        <v>3098</v>
      </c>
      <c r="C23" s="3055" t="s">
        <v>3099</v>
      </c>
      <c r="D23" s="3055" t="s">
        <v>3100</v>
      </c>
      <c r="E23" s="3055" t="s">
        <v>3155</v>
      </c>
      <c r="F23" s="3055">
        <v>6450.01</v>
      </c>
      <c r="G23" s="3055">
        <v>6450.01</v>
      </c>
      <c r="H23" s="3055" t="s">
        <v>3160</v>
      </c>
      <c r="I23" s="3055" t="s">
        <v>3156</v>
      </c>
      <c r="J23" s="3055" t="s">
        <v>3157</v>
      </c>
      <c r="K23" s="3055">
        <v>399.89</v>
      </c>
      <c r="L23" s="3055">
        <v>41.33</v>
      </c>
      <c r="M23" s="3055">
        <v>620</v>
      </c>
      <c r="N23" s="3055">
        <v>0</v>
      </c>
      <c r="O23" s="3055" t="s">
        <v>3158</v>
      </c>
    </row>
    <row r="24" spans="1:15">
      <c r="A24" s="3055" t="s">
        <v>3164</v>
      </c>
      <c r="B24" s="3055" t="s">
        <v>3098</v>
      </c>
      <c r="C24" s="3055" t="s">
        <v>3099</v>
      </c>
      <c r="D24" s="3055" t="s">
        <v>3100</v>
      </c>
      <c r="E24" s="3055" t="s">
        <v>3155</v>
      </c>
      <c r="F24" s="3055">
        <v>6324.12</v>
      </c>
      <c r="G24" s="3055">
        <v>6324.12</v>
      </c>
      <c r="H24" s="3055" t="s">
        <v>3160</v>
      </c>
      <c r="I24" s="3055" t="s">
        <v>3156</v>
      </c>
      <c r="J24" s="3055" t="s">
        <v>3157</v>
      </c>
      <c r="K24" s="3055">
        <v>392.1</v>
      </c>
      <c r="L24" s="3055">
        <v>41.33</v>
      </c>
      <c r="M24" s="3055">
        <v>620</v>
      </c>
      <c r="N24" s="3055">
        <v>0</v>
      </c>
      <c r="O24" s="3055" t="s">
        <v>3158</v>
      </c>
    </row>
    <row r="25" spans="1:15" s="3054" customFormat="1">
      <c r="A25" s="3056" t="s">
        <v>3165</v>
      </c>
      <c r="B25" s="3056" t="s">
        <v>3098</v>
      </c>
      <c r="C25" s="3056" t="s">
        <v>3099</v>
      </c>
      <c r="D25" s="3056" t="s">
        <v>3100</v>
      </c>
      <c r="E25" s="3056" t="s">
        <v>3155</v>
      </c>
      <c r="F25" s="3056">
        <v>29212.42</v>
      </c>
      <c r="G25" s="3056">
        <v>93479.74</v>
      </c>
      <c r="H25" s="3056" t="s">
        <v>3166</v>
      </c>
      <c r="I25" s="3056" t="s">
        <v>3156</v>
      </c>
      <c r="J25" s="3056" t="s">
        <v>3167</v>
      </c>
      <c r="K25" s="3056">
        <v>9815.3700000000008</v>
      </c>
      <c r="L25" s="3056">
        <v>224</v>
      </c>
      <c r="M25" s="3056">
        <v>1050</v>
      </c>
      <c r="N25" s="3056">
        <v>0</v>
      </c>
      <c r="O25" s="3056" t="s">
        <v>3119</v>
      </c>
    </row>
    <row r="26" spans="1:15">
      <c r="A26" s="3055" t="s">
        <v>3168</v>
      </c>
      <c r="B26" s="3055" t="s">
        <v>3098</v>
      </c>
      <c r="C26" s="3055" t="s">
        <v>3099</v>
      </c>
      <c r="D26" s="3055" t="s">
        <v>3100</v>
      </c>
      <c r="E26" s="3055" t="s">
        <v>3101</v>
      </c>
      <c r="F26" s="3055">
        <v>4606</v>
      </c>
      <c r="G26" s="3055">
        <v>13818</v>
      </c>
      <c r="H26" s="3055" t="s">
        <v>3102</v>
      </c>
      <c r="I26" s="3055" t="s">
        <v>3169</v>
      </c>
      <c r="J26" s="3055" t="s">
        <v>3170</v>
      </c>
      <c r="K26" s="3055">
        <v>484</v>
      </c>
      <c r="L26" s="3055">
        <v>70.05</v>
      </c>
      <c r="M26" s="3055">
        <v>350.26</v>
      </c>
      <c r="N26" s="3055" t="s">
        <v>1298</v>
      </c>
      <c r="O26" s="3055" t="s">
        <v>3105</v>
      </c>
    </row>
    <row r="27" spans="1:15">
      <c r="A27" s="3055" t="s">
        <v>3168</v>
      </c>
      <c r="B27" s="3055" t="s">
        <v>3098</v>
      </c>
      <c r="C27" s="3055" t="s">
        <v>3099</v>
      </c>
      <c r="D27" s="3055" t="s">
        <v>3100</v>
      </c>
      <c r="E27" s="3055" t="s">
        <v>3101</v>
      </c>
      <c r="F27" s="3055">
        <v>4859</v>
      </c>
      <c r="G27" s="3055">
        <v>20407.8</v>
      </c>
      <c r="H27" s="3055" t="s">
        <v>3106</v>
      </c>
      <c r="I27" s="3055" t="s">
        <v>3169</v>
      </c>
      <c r="J27" s="3055" t="s">
        <v>3171</v>
      </c>
      <c r="K27" s="3055">
        <v>678</v>
      </c>
      <c r="L27" s="3055">
        <v>93.02</v>
      </c>
      <c r="M27" s="3055">
        <v>332.23</v>
      </c>
      <c r="N27" s="3055" t="s">
        <v>1298</v>
      </c>
      <c r="O27" s="3055" t="s">
        <v>3105</v>
      </c>
    </row>
    <row r="28" spans="1:15">
      <c r="A28" s="3055" t="s">
        <v>3168</v>
      </c>
      <c r="B28" s="3055" t="s">
        <v>3098</v>
      </c>
      <c r="C28" s="3055" t="s">
        <v>3099</v>
      </c>
      <c r="D28" s="3055" t="s">
        <v>3100</v>
      </c>
      <c r="E28" s="3055" t="s">
        <v>3101</v>
      </c>
      <c r="F28" s="3055">
        <v>6240</v>
      </c>
      <c r="G28" s="3055">
        <v>21840</v>
      </c>
      <c r="H28" s="3055" t="s">
        <v>3109</v>
      </c>
      <c r="I28" s="3055" t="s">
        <v>3169</v>
      </c>
      <c r="J28" s="3055" t="s">
        <v>3172</v>
      </c>
      <c r="K28" s="3055">
        <v>746</v>
      </c>
      <c r="L28" s="3055">
        <v>79.7</v>
      </c>
      <c r="M28" s="3055">
        <v>341.57</v>
      </c>
      <c r="N28" s="3055" t="s">
        <v>1298</v>
      </c>
      <c r="O28" s="3055" t="s">
        <v>3105</v>
      </c>
    </row>
    <row r="29" spans="1:15">
      <c r="A29" s="3055" t="s">
        <v>3168</v>
      </c>
      <c r="B29" s="3055" t="s">
        <v>3098</v>
      </c>
      <c r="C29" s="3055" t="s">
        <v>3099</v>
      </c>
      <c r="D29" s="3055" t="s">
        <v>3100</v>
      </c>
      <c r="E29" s="3055" t="s">
        <v>3101</v>
      </c>
      <c r="F29" s="3055">
        <v>5699</v>
      </c>
      <c r="G29" s="3055">
        <v>19946.5</v>
      </c>
      <c r="H29" s="3055" t="s">
        <v>3109</v>
      </c>
      <c r="I29" s="3055" t="s">
        <v>3169</v>
      </c>
      <c r="J29" s="3055" t="s">
        <v>3173</v>
      </c>
      <c r="K29" s="3055">
        <v>681</v>
      </c>
      <c r="L29" s="3055">
        <v>79.66</v>
      </c>
      <c r="M29" s="3055">
        <v>341.41</v>
      </c>
      <c r="N29" s="3055" t="s">
        <v>1298</v>
      </c>
      <c r="O29" s="3055" t="s">
        <v>3105</v>
      </c>
    </row>
    <row r="30" spans="1:15">
      <c r="A30" s="3055" t="s">
        <v>3168</v>
      </c>
      <c r="B30" s="3055" t="s">
        <v>3098</v>
      </c>
      <c r="C30" s="3055" t="s">
        <v>3099</v>
      </c>
      <c r="D30" s="3055" t="s">
        <v>3100</v>
      </c>
      <c r="E30" s="3055" t="s">
        <v>3101</v>
      </c>
      <c r="F30" s="3055">
        <v>6367</v>
      </c>
      <c r="G30" s="3055">
        <v>19101</v>
      </c>
      <c r="H30" s="3055" t="s">
        <v>3102</v>
      </c>
      <c r="I30" s="3055" t="s">
        <v>3169</v>
      </c>
      <c r="J30" s="3055" t="s">
        <v>3174</v>
      </c>
      <c r="K30" s="3055">
        <v>669</v>
      </c>
      <c r="L30" s="3055">
        <v>70.05</v>
      </c>
      <c r="M30" s="3055">
        <v>350.24</v>
      </c>
      <c r="N30" s="3055" t="s">
        <v>1298</v>
      </c>
      <c r="O30" s="3055" t="s">
        <v>3105</v>
      </c>
    </row>
    <row r="31" spans="1:15">
      <c r="A31" s="3055" t="s">
        <v>3168</v>
      </c>
      <c r="B31" s="3055" t="s">
        <v>3098</v>
      </c>
      <c r="C31" s="3055" t="s">
        <v>3099</v>
      </c>
      <c r="D31" s="3055" t="s">
        <v>3100</v>
      </c>
      <c r="E31" s="3055" t="s">
        <v>3101</v>
      </c>
      <c r="F31" s="3055">
        <v>6041</v>
      </c>
      <c r="G31" s="3055">
        <v>25372.2</v>
      </c>
      <c r="H31" s="3055" t="s">
        <v>3106</v>
      </c>
      <c r="I31" s="3055" t="s">
        <v>3169</v>
      </c>
      <c r="J31" s="3055" t="s">
        <v>3175</v>
      </c>
      <c r="K31" s="3055">
        <v>843</v>
      </c>
      <c r="L31" s="3055">
        <v>93.03</v>
      </c>
      <c r="M31" s="3055">
        <v>332.25</v>
      </c>
      <c r="N31" s="3055" t="s">
        <v>1298</v>
      </c>
      <c r="O31" s="3055" t="s">
        <v>3105</v>
      </c>
    </row>
    <row r="32" spans="1:15">
      <c r="A32" s="3055" t="s">
        <v>3168</v>
      </c>
      <c r="B32" s="3055" t="s">
        <v>3098</v>
      </c>
      <c r="C32" s="3055" t="s">
        <v>3099</v>
      </c>
      <c r="D32" s="3055" t="s">
        <v>3100</v>
      </c>
      <c r="E32" s="3055" t="s">
        <v>3101</v>
      </c>
      <c r="F32" s="3055">
        <v>5989</v>
      </c>
      <c r="G32" s="3055">
        <v>20961.5</v>
      </c>
      <c r="H32" s="3055" t="s">
        <v>3109</v>
      </c>
      <c r="I32" s="3055" t="s">
        <v>3169</v>
      </c>
      <c r="J32" s="3055" t="s">
        <v>3176</v>
      </c>
      <c r="K32" s="3055">
        <v>716</v>
      </c>
      <c r="L32" s="3055">
        <v>79.7</v>
      </c>
      <c r="M32" s="3055">
        <v>341.57</v>
      </c>
      <c r="N32" s="3055" t="s">
        <v>1298</v>
      </c>
      <c r="O32" s="3055" t="s">
        <v>3105</v>
      </c>
    </row>
    <row r="33" spans="1:15">
      <c r="A33" s="3055" t="s">
        <v>3168</v>
      </c>
      <c r="B33" s="3055" t="s">
        <v>3098</v>
      </c>
      <c r="C33" s="3055" t="s">
        <v>3099</v>
      </c>
      <c r="D33" s="3055" t="s">
        <v>3100</v>
      </c>
      <c r="E33" s="3055" t="s">
        <v>3101</v>
      </c>
      <c r="F33" s="3055">
        <v>6335</v>
      </c>
      <c r="G33" s="3055">
        <v>22172.5</v>
      </c>
      <c r="H33" s="3055" t="s">
        <v>3109</v>
      </c>
      <c r="I33" s="3055" t="s">
        <v>3169</v>
      </c>
      <c r="J33" s="3055" t="s">
        <v>3177</v>
      </c>
      <c r="K33" s="3055">
        <v>757</v>
      </c>
      <c r="L33" s="3055">
        <v>79.66</v>
      </c>
      <c r="M33" s="3055">
        <v>341.41</v>
      </c>
      <c r="N33" s="3055" t="s">
        <v>1298</v>
      </c>
      <c r="O33" s="3055" t="s">
        <v>3105</v>
      </c>
    </row>
    <row r="34" spans="1:15">
      <c r="A34" s="3055" t="s">
        <v>3168</v>
      </c>
      <c r="B34" s="3055" t="s">
        <v>3098</v>
      </c>
      <c r="C34" s="3055" t="s">
        <v>3099</v>
      </c>
      <c r="D34" s="3055" t="s">
        <v>3100</v>
      </c>
      <c r="E34" s="3055" t="s">
        <v>3101</v>
      </c>
      <c r="F34" s="3055">
        <v>8493</v>
      </c>
      <c r="G34" s="3055">
        <v>29725.5</v>
      </c>
      <c r="H34" s="3055" t="s">
        <v>3109</v>
      </c>
      <c r="I34" s="3055" t="s">
        <v>3169</v>
      </c>
      <c r="J34" s="3055" t="s">
        <v>3178</v>
      </c>
      <c r="K34" s="3055">
        <v>1015</v>
      </c>
      <c r="L34" s="3055">
        <v>79.67</v>
      </c>
      <c r="M34" s="3055">
        <v>341.45</v>
      </c>
      <c r="N34" s="3055" t="s">
        <v>1298</v>
      </c>
      <c r="O34" s="3055" t="s">
        <v>3105</v>
      </c>
    </row>
    <row r="35" spans="1:15">
      <c r="A35" s="3055" t="s">
        <v>3120</v>
      </c>
      <c r="B35" s="3055" t="s">
        <v>3098</v>
      </c>
      <c r="C35" s="3055" t="s">
        <v>3099</v>
      </c>
      <c r="D35" s="3055" t="s">
        <v>3100</v>
      </c>
      <c r="E35" s="3055" t="s">
        <v>3179</v>
      </c>
      <c r="F35" s="3055">
        <v>41947</v>
      </c>
      <c r="G35" s="3055">
        <v>83894</v>
      </c>
      <c r="H35" s="3055" t="s">
        <v>3180</v>
      </c>
      <c r="I35" s="3055" t="s">
        <v>3181</v>
      </c>
      <c r="J35" s="3055" t="s">
        <v>3182</v>
      </c>
      <c r="K35" s="3055">
        <v>2391</v>
      </c>
      <c r="L35" s="3055">
        <v>38</v>
      </c>
      <c r="M35" s="3055">
        <v>285</v>
      </c>
      <c r="N35" s="3055" t="s">
        <v>1298</v>
      </c>
      <c r="O35" s="3055" t="s">
        <v>3105</v>
      </c>
    </row>
    <row r="36" spans="1:15">
      <c r="A36" s="3055" t="s">
        <v>3120</v>
      </c>
      <c r="B36" s="3055" t="s">
        <v>3098</v>
      </c>
      <c r="C36" s="3055" t="s">
        <v>3099</v>
      </c>
      <c r="D36" s="3055" t="s">
        <v>3100</v>
      </c>
      <c r="E36" s="3055" t="s">
        <v>3101</v>
      </c>
      <c r="F36" s="3055">
        <v>38632</v>
      </c>
      <c r="G36" s="3055">
        <v>57948</v>
      </c>
      <c r="H36" s="3055" t="s">
        <v>3183</v>
      </c>
      <c r="I36" s="3055" t="s">
        <v>3181</v>
      </c>
      <c r="J36" s="3055" t="s">
        <v>3182</v>
      </c>
      <c r="K36" s="3055">
        <v>2788</v>
      </c>
      <c r="L36" s="3055">
        <v>48.11</v>
      </c>
      <c r="M36" s="3055">
        <v>481.12</v>
      </c>
      <c r="N36" s="3055" t="s">
        <v>1298</v>
      </c>
      <c r="O36" s="3055" t="s">
        <v>3105</v>
      </c>
    </row>
    <row r="37" spans="1:15">
      <c r="A37" s="3055" t="s">
        <v>3120</v>
      </c>
      <c r="B37" s="3055" t="s">
        <v>3098</v>
      </c>
      <c r="C37" s="3055" t="s">
        <v>3099</v>
      </c>
      <c r="D37" s="3055" t="s">
        <v>3100</v>
      </c>
      <c r="E37" s="3055" t="s">
        <v>3101</v>
      </c>
      <c r="F37" s="3055">
        <v>7591</v>
      </c>
      <c r="G37" s="3055">
        <v>22773</v>
      </c>
      <c r="H37" s="3055" t="s">
        <v>3102</v>
      </c>
      <c r="I37" s="3055" t="s">
        <v>3184</v>
      </c>
      <c r="J37" s="3055" t="s">
        <v>3128</v>
      </c>
      <c r="K37" s="3055">
        <v>866</v>
      </c>
      <c r="L37" s="3055">
        <v>76.05</v>
      </c>
      <c r="M37" s="3055">
        <v>380.26</v>
      </c>
      <c r="N37" s="3055" t="s">
        <v>1298</v>
      </c>
      <c r="O37" s="3055" t="s">
        <v>3105</v>
      </c>
    </row>
    <row r="38" spans="1:15">
      <c r="A38" s="3055" t="s">
        <v>3120</v>
      </c>
      <c r="B38" s="3055" t="s">
        <v>3098</v>
      </c>
      <c r="C38" s="3055" t="s">
        <v>3099</v>
      </c>
      <c r="D38" s="3055" t="s">
        <v>3100</v>
      </c>
      <c r="E38" s="3055" t="s">
        <v>3101</v>
      </c>
      <c r="F38" s="3055">
        <v>33807</v>
      </c>
      <c r="G38" s="3055">
        <v>50710.5</v>
      </c>
      <c r="H38" s="3055" t="s">
        <v>3185</v>
      </c>
      <c r="I38" s="3055" t="s">
        <v>3186</v>
      </c>
      <c r="J38" s="3055" t="s">
        <v>3187</v>
      </c>
      <c r="K38" s="3055">
        <v>1927</v>
      </c>
      <c r="L38" s="3055">
        <v>38</v>
      </c>
      <c r="M38" s="3055">
        <v>380</v>
      </c>
      <c r="N38" s="3055" t="s">
        <v>1298</v>
      </c>
      <c r="O38" s="3055" t="s">
        <v>3158</v>
      </c>
    </row>
    <row r="39" spans="1:15">
      <c r="A39" s="3055" t="s">
        <v>3120</v>
      </c>
      <c r="B39" s="3055" t="s">
        <v>3098</v>
      </c>
      <c r="C39" s="3055" t="s">
        <v>3099</v>
      </c>
      <c r="D39" s="3055" t="s">
        <v>3100</v>
      </c>
      <c r="E39" s="3055" t="s">
        <v>3141</v>
      </c>
      <c r="F39" s="3055">
        <v>63121</v>
      </c>
      <c r="G39" s="3055">
        <v>75745.2</v>
      </c>
      <c r="H39" s="3055" t="s">
        <v>3188</v>
      </c>
      <c r="I39" s="3055" t="s">
        <v>3186</v>
      </c>
      <c r="J39" s="3055" t="s">
        <v>3187</v>
      </c>
      <c r="K39" s="3055">
        <v>3598</v>
      </c>
      <c r="L39" s="3055">
        <v>38</v>
      </c>
      <c r="M39" s="3055">
        <v>475</v>
      </c>
      <c r="N39" s="3055" t="s">
        <v>1298</v>
      </c>
      <c r="O39" s="3055" t="s">
        <v>3105</v>
      </c>
    </row>
    <row r="40" spans="1:15">
      <c r="A40" s="3055" t="s">
        <v>3120</v>
      </c>
      <c r="B40" s="3055" t="s">
        <v>3098</v>
      </c>
      <c r="C40" s="3055" t="s">
        <v>3099</v>
      </c>
      <c r="D40" s="3055" t="s">
        <v>3100</v>
      </c>
      <c r="E40" s="3055" t="s">
        <v>3141</v>
      </c>
      <c r="F40" s="3055">
        <v>31762</v>
      </c>
      <c r="G40" s="3055">
        <v>31762</v>
      </c>
      <c r="H40" s="3055" t="s">
        <v>3189</v>
      </c>
      <c r="I40" s="3055" t="s">
        <v>3186</v>
      </c>
      <c r="J40" s="3055" t="s">
        <v>3187</v>
      </c>
      <c r="K40" s="3055">
        <v>1811</v>
      </c>
      <c r="L40" s="3055">
        <v>38.01</v>
      </c>
      <c r="M40" s="3055">
        <v>570.16999999999996</v>
      </c>
      <c r="N40" s="3055" t="s">
        <v>1298</v>
      </c>
      <c r="O40" s="3055" t="s">
        <v>3105</v>
      </c>
    </row>
    <row r="41" spans="1:15">
      <c r="A41" s="3055" t="s">
        <v>3120</v>
      </c>
      <c r="B41" s="3055" t="s">
        <v>3098</v>
      </c>
      <c r="C41" s="3055" t="s">
        <v>3099</v>
      </c>
      <c r="D41" s="3055" t="s">
        <v>3100</v>
      </c>
      <c r="E41" s="3055" t="s">
        <v>3101</v>
      </c>
      <c r="F41" s="3055">
        <v>48745</v>
      </c>
      <c r="G41" s="3055">
        <v>73117.5</v>
      </c>
      <c r="H41" s="3055" t="s">
        <v>3185</v>
      </c>
      <c r="I41" s="3055" t="s">
        <v>3186</v>
      </c>
      <c r="J41" s="3055" t="s">
        <v>3187</v>
      </c>
      <c r="K41" s="3055">
        <v>2779</v>
      </c>
      <c r="L41" s="3055">
        <v>38.01</v>
      </c>
      <c r="M41" s="3055">
        <v>380.06</v>
      </c>
      <c r="N41" s="3055" t="s">
        <v>1298</v>
      </c>
      <c r="O41" s="3055" t="s">
        <v>3105</v>
      </c>
    </row>
    <row r="42" spans="1:15" s="3059" customFormat="1">
      <c r="A42" s="3058" t="s">
        <v>3190</v>
      </c>
      <c r="B42" s="3058" t="s">
        <v>3098</v>
      </c>
      <c r="C42" s="3058" t="s">
        <v>3099</v>
      </c>
      <c r="D42" s="3058" t="s">
        <v>3100</v>
      </c>
      <c r="E42" s="3058" t="s">
        <v>1343</v>
      </c>
      <c r="F42" s="3058">
        <v>19998.57</v>
      </c>
      <c r="G42" s="3058">
        <v>39997.14</v>
      </c>
      <c r="H42" s="3058" t="s">
        <v>3191</v>
      </c>
      <c r="I42" s="3058" t="s">
        <v>3192</v>
      </c>
      <c r="J42" s="3058" t="s">
        <v>3193</v>
      </c>
      <c r="K42" s="3058">
        <v>13551.03</v>
      </c>
      <c r="L42" s="3058">
        <v>451.73</v>
      </c>
      <c r="M42" s="3058">
        <v>3388</v>
      </c>
      <c r="N42" s="3058">
        <v>0</v>
      </c>
      <c r="O42" s="3058" t="s">
        <v>3119</v>
      </c>
    </row>
    <row r="43" spans="1:15">
      <c r="A43" s="3055" t="s">
        <v>3194</v>
      </c>
      <c r="B43" s="3055" t="s">
        <v>3098</v>
      </c>
      <c r="C43" s="3055" t="s">
        <v>3099</v>
      </c>
      <c r="D43" s="3055" t="s">
        <v>3100</v>
      </c>
      <c r="E43" s="3055" t="s">
        <v>1343</v>
      </c>
      <c r="F43" s="3055">
        <v>15136.17</v>
      </c>
      <c r="G43" s="3055">
        <v>13622.55</v>
      </c>
      <c r="H43" s="3055" t="s">
        <v>3195</v>
      </c>
      <c r="I43" s="3055" t="s">
        <v>3196</v>
      </c>
      <c r="J43" s="3055" t="s">
        <v>3197</v>
      </c>
      <c r="K43" s="3055">
        <v>11353.04</v>
      </c>
      <c r="L43" s="3055">
        <v>500.04</v>
      </c>
      <c r="M43" s="3055">
        <v>8334.01</v>
      </c>
      <c r="N43" s="3055">
        <v>0</v>
      </c>
      <c r="O43" s="3055" t="s">
        <v>3119</v>
      </c>
    </row>
    <row r="44" spans="1:15">
      <c r="A44" s="3055" t="s">
        <v>3198</v>
      </c>
      <c r="B44" s="3055" t="s">
        <v>3098</v>
      </c>
      <c r="C44" s="3055" t="s">
        <v>3099</v>
      </c>
      <c r="D44" s="3055" t="s">
        <v>3114</v>
      </c>
      <c r="E44" s="3055" t="s">
        <v>3199</v>
      </c>
      <c r="F44" s="3055">
        <v>16462.77</v>
      </c>
      <c r="G44" s="3055">
        <v>31279.26</v>
      </c>
      <c r="H44" s="3055" t="s">
        <v>3200</v>
      </c>
      <c r="I44" s="3055" t="s">
        <v>3201</v>
      </c>
      <c r="J44" s="3055" t="s">
        <v>3202</v>
      </c>
      <c r="K44" s="3055">
        <v>2220.8200000000002</v>
      </c>
      <c r="L44" s="3055">
        <v>89.93</v>
      </c>
      <c r="M44" s="3055">
        <v>710</v>
      </c>
      <c r="N44" s="3055">
        <v>9.23</v>
      </c>
      <c r="O44" s="3055" t="s">
        <v>3203</v>
      </c>
    </row>
    <row r="45" spans="1:15" s="3054" customFormat="1">
      <c r="A45" s="3056" t="s">
        <v>3204</v>
      </c>
      <c r="B45" s="3056" t="s">
        <v>3098</v>
      </c>
      <c r="C45" s="3056" t="s">
        <v>3099</v>
      </c>
      <c r="D45" s="3056" t="s">
        <v>3114</v>
      </c>
      <c r="E45" s="3056" t="s">
        <v>3141</v>
      </c>
      <c r="F45" s="3056">
        <v>20000</v>
      </c>
      <c r="G45" s="3056">
        <v>40000</v>
      </c>
      <c r="H45" s="3056" t="s">
        <v>3191</v>
      </c>
      <c r="I45" s="3056" t="s">
        <v>3205</v>
      </c>
      <c r="J45" s="3056" t="s">
        <v>3206</v>
      </c>
      <c r="K45" s="3056">
        <v>17200</v>
      </c>
      <c r="L45" s="3056">
        <v>573.33000000000004</v>
      </c>
      <c r="M45" s="3056">
        <v>4300</v>
      </c>
      <c r="N45" s="3056">
        <v>34.380000000000003</v>
      </c>
      <c r="O45" s="3056" t="s">
        <v>3119</v>
      </c>
    </row>
    <row r="46" spans="1:15">
      <c r="A46" s="3055" t="s">
        <v>3207</v>
      </c>
      <c r="B46" s="3055" t="s">
        <v>3098</v>
      </c>
      <c r="C46" s="3055" t="s">
        <v>3099</v>
      </c>
      <c r="D46" s="3055" t="s">
        <v>3114</v>
      </c>
      <c r="E46" s="3055" t="s">
        <v>3141</v>
      </c>
      <c r="F46" s="3055">
        <v>12739.79</v>
      </c>
      <c r="G46" s="3055">
        <v>19109.689999999999</v>
      </c>
      <c r="H46" s="3055" t="s">
        <v>3208</v>
      </c>
      <c r="I46" s="3055" t="s">
        <v>3209</v>
      </c>
      <c r="J46" s="3055" t="s">
        <v>3210</v>
      </c>
      <c r="K46" s="3055">
        <v>10510.32</v>
      </c>
      <c r="L46" s="3055">
        <v>550</v>
      </c>
      <c r="M46" s="3055">
        <v>5500</v>
      </c>
      <c r="N46" s="3055">
        <v>71.069999999999993</v>
      </c>
      <c r="O46" s="3055" t="s">
        <v>3119</v>
      </c>
    </row>
    <row r="47" spans="1:15" s="3054" customFormat="1">
      <c r="A47" s="3056" t="s">
        <v>3211</v>
      </c>
      <c r="B47" s="3056" t="s">
        <v>3098</v>
      </c>
      <c r="C47" s="3056" t="s">
        <v>3099</v>
      </c>
      <c r="D47" s="3056" t="s">
        <v>3114</v>
      </c>
      <c r="E47" s="3056" t="s">
        <v>1343</v>
      </c>
      <c r="F47" s="3056">
        <v>2589.9299999999998</v>
      </c>
      <c r="G47" s="3056">
        <v>3107.92</v>
      </c>
      <c r="H47" s="3056" t="s">
        <v>3116</v>
      </c>
      <c r="I47" s="3056" t="s">
        <v>3212</v>
      </c>
      <c r="J47" s="3056" t="s">
        <v>3210</v>
      </c>
      <c r="K47" s="3056">
        <v>2219.0500000000002</v>
      </c>
      <c r="L47" s="3056">
        <v>571.20000000000005</v>
      </c>
      <c r="M47" s="3056">
        <v>7139.97</v>
      </c>
      <c r="N47" s="3056">
        <v>225.88</v>
      </c>
      <c r="O47" s="3056" t="s">
        <v>3119</v>
      </c>
    </row>
    <row r="48" spans="1:15">
      <c r="A48" s="3055" t="s">
        <v>3213</v>
      </c>
      <c r="B48" s="3055" t="s">
        <v>3098</v>
      </c>
      <c r="C48" s="3055" t="s">
        <v>3099</v>
      </c>
      <c r="D48" s="3055" t="s">
        <v>3114</v>
      </c>
      <c r="E48" s="3055" t="s">
        <v>1343</v>
      </c>
      <c r="F48" s="3055">
        <v>10204.59</v>
      </c>
      <c r="G48" s="3055">
        <v>86739.01</v>
      </c>
      <c r="H48" s="3055" t="s">
        <v>3214</v>
      </c>
      <c r="I48" s="3055" t="s">
        <v>3215</v>
      </c>
      <c r="J48" s="3055" t="s">
        <v>3216</v>
      </c>
      <c r="K48" s="3055">
        <v>35563</v>
      </c>
      <c r="L48" s="3055">
        <v>2323.33</v>
      </c>
      <c r="M48" s="3055">
        <v>4100</v>
      </c>
      <c r="N48" s="3055">
        <v>193.07</v>
      </c>
      <c r="O48" s="3055" t="s">
        <v>3217</v>
      </c>
    </row>
    <row r="49" spans="1:15">
      <c r="A49" s="3055" t="s">
        <v>3218</v>
      </c>
      <c r="B49" s="3055" t="s">
        <v>3098</v>
      </c>
      <c r="C49" s="3055" t="s">
        <v>3099</v>
      </c>
      <c r="D49" s="3055" t="s">
        <v>3114</v>
      </c>
      <c r="E49" s="3055" t="s">
        <v>3115</v>
      </c>
      <c r="F49" s="3055">
        <v>3319.91</v>
      </c>
      <c r="G49" s="3055">
        <v>4979.87</v>
      </c>
      <c r="H49" s="3055" t="s">
        <v>3219</v>
      </c>
      <c r="I49" s="3055" t="s">
        <v>3220</v>
      </c>
      <c r="J49" s="3055" t="s">
        <v>3221</v>
      </c>
      <c r="K49" s="3055">
        <v>265.43</v>
      </c>
      <c r="L49" s="3055">
        <v>53.3</v>
      </c>
      <c r="M49" s="3055">
        <v>533</v>
      </c>
      <c r="N49" s="3055">
        <v>0.56999999999999995</v>
      </c>
      <c r="O49" s="3055" t="s">
        <v>3158</v>
      </c>
    </row>
    <row r="50" spans="1:15">
      <c r="A50" s="3055" t="s">
        <v>3222</v>
      </c>
      <c r="B50" s="3055" t="s">
        <v>3098</v>
      </c>
      <c r="C50" s="3055" t="s">
        <v>3099</v>
      </c>
      <c r="D50" s="3055" t="s">
        <v>3114</v>
      </c>
      <c r="E50" s="3055" t="s">
        <v>3223</v>
      </c>
      <c r="F50" s="3055">
        <v>8000</v>
      </c>
      <c r="G50" s="3055">
        <v>13600</v>
      </c>
      <c r="H50" s="3055" t="s">
        <v>3224</v>
      </c>
      <c r="I50" s="3055" t="s">
        <v>3220</v>
      </c>
      <c r="J50" s="3055" t="s">
        <v>3225</v>
      </c>
      <c r="K50" s="3055">
        <v>3856.8</v>
      </c>
      <c r="L50" s="3055">
        <v>321.39999999999998</v>
      </c>
      <c r="M50" s="3055">
        <v>2835.88</v>
      </c>
      <c r="N50" s="3055">
        <v>0.06</v>
      </c>
      <c r="O50" s="3055" t="s">
        <v>3105</v>
      </c>
    </row>
    <row r="51" spans="1:15">
      <c r="A51" s="3055" t="s">
        <v>3226</v>
      </c>
      <c r="B51" s="3055" t="s">
        <v>3098</v>
      </c>
      <c r="C51" s="3055" t="s">
        <v>3099</v>
      </c>
      <c r="D51" s="3055" t="s">
        <v>3114</v>
      </c>
      <c r="E51" s="3055" t="s">
        <v>3115</v>
      </c>
      <c r="F51" s="3055">
        <v>53380.160000000003</v>
      </c>
      <c r="G51" s="3055">
        <v>96084.29</v>
      </c>
      <c r="H51" s="3055" t="s">
        <v>3227</v>
      </c>
      <c r="I51" s="3055" t="s">
        <v>3228</v>
      </c>
      <c r="J51" s="3055" t="s">
        <v>3229</v>
      </c>
      <c r="K51" s="3055">
        <v>9627.64</v>
      </c>
      <c r="L51" s="3055">
        <v>120.24</v>
      </c>
      <c r="M51" s="3055">
        <v>1002</v>
      </c>
      <c r="N51" s="3055">
        <v>0.2</v>
      </c>
      <c r="O51" s="3055" t="s">
        <v>3119</v>
      </c>
    </row>
    <row r="52" spans="1:15">
      <c r="A52" s="3057" t="s">
        <v>3230</v>
      </c>
      <c r="D52" s="3057" t="s">
        <v>3232</v>
      </c>
      <c r="E52" s="3057" t="s">
        <v>3233</v>
      </c>
      <c r="K52" s="3053" t="s">
        <v>3231</v>
      </c>
    </row>
    <row r="63" spans="1:15">
      <c r="A63" s="3060" t="s">
        <v>3082</v>
      </c>
      <c r="B63" s="3060" t="s">
        <v>3083</v>
      </c>
      <c r="C63" s="3060" t="s">
        <v>3084</v>
      </c>
      <c r="D63" s="3060" t="s">
        <v>3087</v>
      </c>
      <c r="E63" s="3060" t="s">
        <v>3088</v>
      </c>
      <c r="F63" s="3060" t="s">
        <v>3089</v>
      </c>
      <c r="G63" s="3060" t="s">
        <v>3085</v>
      </c>
      <c r="H63" s="3060" t="s">
        <v>3086</v>
      </c>
      <c r="I63" s="3060" t="s">
        <v>3090</v>
      </c>
      <c r="J63" s="3060" t="s">
        <v>3092</v>
      </c>
      <c r="K63" s="3060" t="s">
        <v>3094</v>
      </c>
      <c r="L63" s="3060" t="s">
        <v>3095</v>
      </c>
      <c r="M63" s="3060" t="s">
        <v>3091</v>
      </c>
      <c r="N63" s="3060" t="s">
        <v>3096</v>
      </c>
    </row>
    <row r="64" spans="1:15">
      <c r="A64" s="3060" t="s">
        <v>3234</v>
      </c>
      <c r="B64" s="3060" t="s">
        <v>3098</v>
      </c>
      <c r="C64" s="3060" t="s">
        <v>3099</v>
      </c>
      <c r="D64" s="3060">
        <v>44179.92</v>
      </c>
      <c r="E64" s="3060">
        <v>114867.79</v>
      </c>
      <c r="F64" s="3060" t="s">
        <v>3235</v>
      </c>
      <c r="G64" s="3060" t="s">
        <v>3114</v>
      </c>
      <c r="H64" s="3060" t="s">
        <v>3101</v>
      </c>
      <c r="I64" s="3060" t="s">
        <v>3236</v>
      </c>
      <c r="J64" s="3060">
        <v>8600</v>
      </c>
      <c r="K64" s="3060">
        <v>748.69</v>
      </c>
      <c r="L64" s="3060" t="s">
        <v>1298</v>
      </c>
      <c r="M64" s="3060" t="s">
        <v>3237</v>
      </c>
      <c r="N64" s="3060" t="s">
        <v>3105</v>
      </c>
    </row>
    <row r="65" spans="1:14">
      <c r="A65" s="3060" t="s">
        <v>3238</v>
      </c>
      <c r="B65" s="3060" t="s">
        <v>3098</v>
      </c>
      <c r="C65" s="3060" t="s">
        <v>3099</v>
      </c>
      <c r="D65" s="3060">
        <v>5200</v>
      </c>
      <c r="E65" s="3060">
        <v>5200</v>
      </c>
      <c r="F65" s="3060" t="s">
        <v>3239</v>
      </c>
      <c r="G65" s="3060" t="s">
        <v>3114</v>
      </c>
      <c r="H65" s="3060" t="s">
        <v>3141</v>
      </c>
      <c r="I65" s="3060" t="s">
        <v>3240</v>
      </c>
      <c r="J65" s="3060">
        <v>1118</v>
      </c>
      <c r="K65" s="3060">
        <v>2150</v>
      </c>
      <c r="L65" s="3060" t="s">
        <v>1298</v>
      </c>
      <c r="M65" s="3060" t="s">
        <v>3241</v>
      </c>
      <c r="N65" s="3060" t="s">
        <v>3158</v>
      </c>
    </row>
    <row r="66" spans="1:14">
      <c r="A66" s="3060" t="s">
        <v>3242</v>
      </c>
      <c r="B66" s="3060" t="s">
        <v>3098</v>
      </c>
      <c r="C66" s="3060" t="s">
        <v>3099</v>
      </c>
      <c r="D66" s="3060">
        <v>20637.11</v>
      </c>
      <c r="E66" s="3060">
        <v>72229.89</v>
      </c>
      <c r="F66" s="3060" t="s">
        <v>3243</v>
      </c>
      <c r="G66" s="3060" t="s">
        <v>3100</v>
      </c>
      <c r="H66" s="3060" t="s">
        <v>3101</v>
      </c>
      <c r="I66" s="3060" t="s">
        <v>3244</v>
      </c>
      <c r="J66" s="3060">
        <v>15507.76</v>
      </c>
      <c r="K66" s="3060">
        <v>2147</v>
      </c>
      <c r="L66" s="3060">
        <v>0</v>
      </c>
      <c r="M66" s="3060" t="s">
        <v>3245</v>
      </c>
      <c r="N66" s="3060" t="s">
        <v>3217</v>
      </c>
    </row>
    <row r="67" spans="1:14">
      <c r="A67" s="3060" t="s">
        <v>3246</v>
      </c>
      <c r="B67" s="3060" t="s">
        <v>3098</v>
      </c>
      <c r="C67" s="3060" t="s">
        <v>3099</v>
      </c>
      <c r="D67" s="3060">
        <v>34875</v>
      </c>
      <c r="E67" s="3060">
        <v>139500</v>
      </c>
      <c r="F67" s="3060" t="s">
        <v>3247</v>
      </c>
      <c r="G67" s="3060" t="s">
        <v>3100</v>
      </c>
      <c r="H67" s="3060" t="s">
        <v>3248</v>
      </c>
      <c r="I67" s="3060" t="s">
        <v>3244</v>
      </c>
      <c r="J67" s="3060">
        <v>11494.79</v>
      </c>
      <c r="K67" s="3060">
        <v>824</v>
      </c>
      <c r="L67" s="3060">
        <v>3</v>
      </c>
      <c r="M67" s="3060" t="s">
        <v>3249</v>
      </c>
      <c r="N67" s="3060" t="s">
        <v>3217</v>
      </c>
    </row>
    <row r="68" spans="1:14">
      <c r="A68" s="3060" t="s">
        <v>3250</v>
      </c>
      <c r="B68" s="3060" t="s">
        <v>3098</v>
      </c>
      <c r="C68" s="3060" t="s">
        <v>3099</v>
      </c>
      <c r="D68" s="3060">
        <v>15766</v>
      </c>
      <c r="E68" s="3060">
        <v>44144.800000000003</v>
      </c>
      <c r="F68" s="3060" t="s">
        <v>3251</v>
      </c>
      <c r="G68" s="3060" t="s">
        <v>3100</v>
      </c>
      <c r="H68" s="3060" t="s">
        <v>3101</v>
      </c>
      <c r="I68" s="3060" t="s">
        <v>3244</v>
      </c>
      <c r="J68" s="3060">
        <v>3090.13</v>
      </c>
      <c r="K68" s="3060">
        <v>700</v>
      </c>
      <c r="L68" s="3060">
        <v>0</v>
      </c>
      <c r="M68" s="3060" t="s">
        <v>3252</v>
      </c>
      <c r="N68" s="3060" t="s">
        <v>3217</v>
      </c>
    </row>
    <row r="69" spans="1:14">
      <c r="A69" s="3060" t="s">
        <v>3253</v>
      </c>
      <c r="B69" s="3060" t="s">
        <v>3098</v>
      </c>
      <c r="C69" s="3060" t="s">
        <v>3099</v>
      </c>
      <c r="D69" s="3060">
        <v>11148.65</v>
      </c>
      <c r="E69" s="3060">
        <v>11148.65</v>
      </c>
      <c r="F69" s="3060" t="s">
        <v>3160</v>
      </c>
      <c r="G69" s="3060" t="s">
        <v>3100</v>
      </c>
      <c r="H69" s="3060" t="s">
        <v>3115</v>
      </c>
      <c r="I69" s="3060" t="s">
        <v>3254</v>
      </c>
      <c r="J69" s="3060">
        <v>992.23</v>
      </c>
      <c r="K69" s="3060">
        <v>890</v>
      </c>
      <c r="L69" s="3060">
        <v>0</v>
      </c>
      <c r="M69" s="3060" t="s">
        <v>3255</v>
      </c>
      <c r="N69" s="3060" t="s">
        <v>3158</v>
      </c>
    </row>
    <row r="70" spans="1:14">
      <c r="A70" s="3060" t="s">
        <v>3256</v>
      </c>
      <c r="B70" s="3060" t="s">
        <v>3098</v>
      </c>
      <c r="C70" s="3060" t="s">
        <v>3099</v>
      </c>
      <c r="D70" s="3060">
        <v>1258.5899999999999</v>
      </c>
      <c r="E70" s="3060">
        <v>1636.17</v>
      </c>
      <c r="F70" s="3060" t="s">
        <v>3257</v>
      </c>
      <c r="G70" s="3060" t="s">
        <v>3100</v>
      </c>
      <c r="H70" s="3060" t="s">
        <v>3115</v>
      </c>
      <c r="I70" s="3060" t="s">
        <v>3254</v>
      </c>
      <c r="J70" s="3060">
        <v>142.34</v>
      </c>
      <c r="K70" s="3060">
        <v>870.01</v>
      </c>
      <c r="L70" s="3060">
        <v>0</v>
      </c>
      <c r="M70" s="3060" t="s">
        <v>3255</v>
      </c>
      <c r="N70" s="3060" t="s">
        <v>3158</v>
      </c>
    </row>
    <row r="71" spans="1:14">
      <c r="A71" s="3060" t="s">
        <v>3258</v>
      </c>
      <c r="B71" s="3060" t="s">
        <v>3098</v>
      </c>
      <c r="C71" s="3060" t="s">
        <v>3099</v>
      </c>
      <c r="D71" s="3060">
        <v>18113</v>
      </c>
      <c r="E71" s="3060">
        <v>38037.300000000003</v>
      </c>
      <c r="F71" s="3060" t="s">
        <v>3259</v>
      </c>
      <c r="G71" s="3060" t="s">
        <v>3100</v>
      </c>
      <c r="H71" s="3060" t="s">
        <v>3124</v>
      </c>
      <c r="I71" s="3060" t="s">
        <v>3260</v>
      </c>
      <c r="J71" s="3060">
        <v>5363.26</v>
      </c>
      <c r="K71" s="3060">
        <v>1410</v>
      </c>
      <c r="L71" s="3060">
        <v>28.18</v>
      </c>
      <c r="M71" s="3060" t="s">
        <v>3261</v>
      </c>
      <c r="N71" s="3060" t="s">
        <v>3203</v>
      </c>
    </row>
    <row r="72" spans="1:14">
      <c r="A72" s="3060" t="s">
        <v>3262</v>
      </c>
      <c r="B72" s="3060" t="s">
        <v>3098</v>
      </c>
      <c r="C72" s="3060" t="s">
        <v>3099</v>
      </c>
      <c r="D72" s="3060">
        <v>109710.39</v>
      </c>
      <c r="E72" s="3060">
        <v>164565.59</v>
      </c>
      <c r="F72" s="3060" t="s">
        <v>3208</v>
      </c>
      <c r="G72" s="3060" t="s">
        <v>3100</v>
      </c>
      <c r="H72" s="3060" t="s">
        <v>3155</v>
      </c>
      <c r="I72" s="3060" t="s">
        <v>3263</v>
      </c>
      <c r="J72" s="3060">
        <v>19747.86</v>
      </c>
      <c r="K72" s="3060">
        <v>1200</v>
      </c>
      <c r="L72" s="3060">
        <v>0</v>
      </c>
      <c r="M72" s="3060" t="s">
        <v>3264</v>
      </c>
      <c r="N72" s="3060" t="s">
        <v>3119</v>
      </c>
    </row>
    <row r="73" spans="1:14">
      <c r="A73" s="3060" t="s">
        <v>3265</v>
      </c>
      <c r="B73" s="3060" t="s">
        <v>3098</v>
      </c>
      <c r="C73" s="3060" t="s">
        <v>3099</v>
      </c>
      <c r="D73" s="3060">
        <v>60435</v>
      </c>
      <c r="E73" s="3060">
        <v>120870</v>
      </c>
      <c r="F73" s="3060" t="s">
        <v>3266</v>
      </c>
      <c r="G73" s="3060" t="s">
        <v>3100</v>
      </c>
      <c r="H73" s="3060" t="s">
        <v>3267</v>
      </c>
      <c r="I73" s="3060" t="s">
        <v>3268</v>
      </c>
      <c r="J73" s="3060">
        <v>13295.7</v>
      </c>
      <c r="K73" s="3060">
        <v>1100</v>
      </c>
      <c r="L73" s="3060">
        <v>0</v>
      </c>
      <c r="M73" s="3060" t="s">
        <v>3269</v>
      </c>
      <c r="N73" s="3060" t="s">
        <v>3217</v>
      </c>
    </row>
    <row r="74" spans="1:14">
      <c r="A74" s="3060" t="s">
        <v>3270</v>
      </c>
      <c r="B74" s="3060" t="s">
        <v>3098</v>
      </c>
      <c r="C74" s="3060" t="s">
        <v>3099</v>
      </c>
      <c r="D74" s="3060">
        <v>8177</v>
      </c>
      <c r="E74" s="3060">
        <v>28619.5</v>
      </c>
      <c r="F74" s="3060" t="s">
        <v>3271</v>
      </c>
      <c r="G74" s="3060" t="s">
        <v>3100</v>
      </c>
      <c r="H74" s="3060" t="s">
        <v>3137</v>
      </c>
      <c r="I74" s="3060" t="s">
        <v>3272</v>
      </c>
      <c r="J74" s="3060">
        <v>2890.57</v>
      </c>
      <c r="K74" s="3060">
        <v>1010</v>
      </c>
      <c r="L74" s="3060">
        <v>0</v>
      </c>
      <c r="M74" s="3060" t="s">
        <v>3273</v>
      </c>
      <c r="N74" s="3060" t="s">
        <v>3217</v>
      </c>
    </row>
    <row r="75" spans="1:14">
      <c r="A75" s="3060" t="s">
        <v>3274</v>
      </c>
      <c r="B75" s="3060" t="s">
        <v>3098</v>
      </c>
      <c r="C75" s="3060" t="s">
        <v>3099</v>
      </c>
      <c r="D75" s="3060">
        <v>2817</v>
      </c>
      <c r="E75" s="3060">
        <v>2817</v>
      </c>
      <c r="F75" s="3060" t="s">
        <v>3160</v>
      </c>
      <c r="G75" s="3060" t="s">
        <v>3114</v>
      </c>
      <c r="H75" s="3060" t="s">
        <v>3275</v>
      </c>
      <c r="I75" s="3060" t="s">
        <v>3276</v>
      </c>
      <c r="J75" s="3060">
        <v>13380.75</v>
      </c>
      <c r="K75" s="3060">
        <v>47500</v>
      </c>
      <c r="L75" s="3060">
        <v>137.5</v>
      </c>
      <c r="M75" s="3060" t="s">
        <v>3277</v>
      </c>
      <c r="N75" s="3060" t="s">
        <v>3217</v>
      </c>
    </row>
    <row r="76" spans="1:14">
      <c r="A76" s="3060" t="s">
        <v>3278</v>
      </c>
      <c r="B76" s="3060" t="s">
        <v>3098</v>
      </c>
      <c r="C76" s="3060" t="s">
        <v>3099</v>
      </c>
      <c r="D76" s="3060">
        <v>4380</v>
      </c>
      <c r="E76" s="3060">
        <v>6570</v>
      </c>
      <c r="F76" s="3060" t="s">
        <v>3208</v>
      </c>
      <c r="G76" s="3060" t="s">
        <v>3100</v>
      </c>
      <c r="H76" s="3060" t="s">
        <v>3279</v>
      </c>
      <c r="I76" s="3060" t="s">
        <v>3280</v>
      </c>
      <c r="J76" s="3060">
        <v>295.64</v>
      </c>
      <c r="K76" s="3060">
        <v>450</v>
      </c>
      <c r="L76" s="3060">
        <v>0</v>
      </c>
      <c r="M76" s="3060" t="s">
        <v>3281</v>
      </c>
      <c r="N76" s="3060" t="s">
        <v>3203</v>
      </c>
    </row>
    <row r="77" spans="1:14">
      <c r="A77" s="3060" t="s">
        <v>3282</v>
      </c>
      <c r="B77" s="3060" t="s">
        <v>3098</v>
      </c>
      <c r="C77" s="3060" t="s">
        <v>3099</v>
      </c>
      <c r="D77" s="3060">
        <v>50058</v>
      </c>
      <c r="E77" s="3060">
        <v>140162.4</v>
      </c>
      <c r="F77" s="3060" t="s">
        <v>3283</v>
      </c>
      <c r="G77" s="3060" t="s">
        <v>3100</v>
      </c>
      <c r="H77" s="3060" t="s">
        <v>1343</v>
      </c>
      <c r="I77" s="3060" t="s">
        <v>3280</v>
      </c>
      <c r="J77" s="3060">
        <v>9811.3700000000008</v>
      </c>
      <c r="K77" s="3060">
        <v>700</v>
      </c>
      <c r="L77" s="3060">
        <v>0</v>
      </c>
      <c r="M77" s="3060" t="s">
        <v>3284</v>
      </c>
      <c r="N77" s="3060" t="s">
        <v>3217</v>
      </c>
    </row>
    <row r="78" spans="1:14">
      <c r="A78" s="3060" t="s">
        <v>3285</v>
      </c>
      <c r="B78" s="3060" t="s">
        <v>3098</v>
      </c>
      <c r="C78" s="3060" t="s">
        <v>3099</v>
      </c>
      <c r="D78" s="3060">
        <v>3804</v>
      </c>
      <c r="E78" s="3060">
        <v>4564.8</v>
      </c>
      <c r="F78" s="3060" t="s">
        <v>3116</v>
      </c>
      <c r="G78" s="3060" t="s">
        <v>3100</v>
      </c>
      <c r="H78" s="3060" t="s">
        <v>3286</v>
      </c>
      <c r="I78" s="3060" t="s">
        <v>3280</v>
      </c>
      <c r="J78" s="3060">
        <v>410.82</v>
      </c>
      <c r="K78" s="3060">
        <v>900</v>
      </c>
      <c r="L78" s="3060">
        <v>0</v>
      </c>
      <c r="M78" s="3060" t="s">
        <v>3287</v>
      </c>
      <c r="N78" s="3060" t="s">
        <v>3158</v>
      </c>
    </row>
    <row r="79" spans="1:14">
      <c r="A79" s="3060" t="s">
        <v>3288</v>
      </c>
      <c r="B79" s="3060" t="s">
        <v>3098</v>
      </c>
      <c r="C79" s="3060" t="s">
        <v>3099</v>
      </c>
      <c r="D79" s="3060">
        <v>20741</v>
      </c>
      <c r="E79" s="3060">
        <v>31111.5</v>
      </c>
      <c r="F79" s="3060" t="s">
        <v>3208</v>
      </c>
      <c r="G79" s="3060" t="s">
        <v>3100</v>
      </c>
      <c r="H79" s="3060" t="s">
        <v>3289</v>
      </c>
      <c r="I79" s="3060" t="s">
        <v>3280</v>
      </c>
      <c r="J79" s="3060">
        <v>1555.57</v>
      </c>
      <c r="K79" s="3060">
        <v>500</v>
      </c>
      <c r="L79" s="3060">
        <v>0</v>
      </c>
      <c r="M79" s="3060" t="s">
        <v>3290</v>
      </c>
      <c r="N79" s="3060" t="s">
        <v>3105</v>
      </c>
    </row>
    <row r="80" spans="1:14">
      <c r="A80" s="3060" t="s">
        <v>3291</v>
      </c>
      <c r="B80" s="3060" t="s">
        <v>3098</v>
      </c>
      <c r="C80" s="3060" t="s">
        <v>3099</v>
      </c>
      <c r="D80" s="3060">
        <v>18584</v>
      </c>
      <c r="E80" s="3060">
        <v>24159.200000000001</v>
      </c>
      <c r="F80" s="3060" t="s">
        <v>3257</v>
      </c>
      <c r="G80" s="3060" t="s">
        <v>3100</v>
      </c>
      <c r="H80" s="3060" t="s">
        <v>3292</v>
      </c>
      <c r="I80" s="3060" t="s">
        <v>3280</v>
      </c>
      <c r="J80" s="3060">
        <v>2101.84</v>
      </c>
      <c r="K80" s="3060">
        <v>870</v>
      </c>
      <c r="L80" s="3060">
        <v>0</v>
      </c>
      <c r="M80" s="3060" t="s">
        <v>3293</v>
      </c>
      <c r="N80" s="3060" t="s">
        <v>3203</v>
      </c>
    </row>
    <row r="81" spans="1:14">
      <c r="A81" s="3060" t="s">
        <v>3294</v>
      </c>
      <c r="B81" s="3060" t="s">
        <v>3098</v>
      </c>
      <c r="C81" s="3060" t="s">
        <v>3099</v>
      </c>
      <c r="D81" s="3060">
        <v>2860</v>
      </c>
      <c r="E81" s="3060">
        <v>2860</v>
      </c>
      <c r="F81" s="3060" t="s">
        <v>3295</v>
      </c>
      <c r="G81" s="3060" t="s">
        <v>3114</v>
      </c>
      <c r="H81" s="3060" t="s">
        <v>3296</v>
      </c>
      <c r="I81" s="3060" t="s">
        <v>3297</v>
      </c>
      <c r="J81" s="3060">
        <v>13585</v>
      </c>
      <c r="K81" s="3060">
        <v>47500</v>
      </c>
      <c r="L81" s="3060">
        <v>216.67</v>
      </c>
      <c r="M81" s="3060" t="s">
        <v>3298</v>
      </c>
      <c r="N81" s="3060" t="s">
        <v>3217</v>
      </c>
    </row>
    <row r="82" spans="1:14">
      <c r="A82" s="3060" t="s">
        <v>3299</v>
      </c>
      <c r="B82" s="3060" t="s">
        <v>3098</v>
      </c>
      <c r="C82" s="3060" t="s">
        <v>3099</v>
      </c>
      <c r="D82" s="3060">
        <v>36495</v>
      </c>
      <c r="E82" s="3060">
        <v>145980</v>
      </c>
      <c r="F82" s="3060" t="s">
        <v>3300</v>
      </c>
      <c r="G82" s="3060" t="s">
        <v>3100</v>
      </c>
      <c r="H82" s="3060" t="s">
        <v>3301</v>
      </c>
      <c r="I82" s="3060" t="s">
        <v>3192</v>
      </c>
      <c r="J82" s="3060">
        <v>8247.8700000000008</v>
      </c>
      <c r="K82" s="3060">
        <v>565</v>
      </c>
      <c r="L82" s="3060">
        <v>0</v>
      </c>
      <c r="M82" s="3060" t="s">
        <v>3302</v>
      </c>
      <c r="N82" s="3060" t="s">
        <v>3105</v>
      </c>
    </row>
    <row r="83" spans="1:14" s="3059" customFormat="1">
      <c r="A83" s="3058" t="s">
        <v>3303</v>
      </c>
      <c r="B83" s="3058" t="s">
        <v>3098</v>
      </c>
      <c r="C83" s="3058" t="s">
        <v>3099</v>
      </c>
      <c r="D83" s="3058">
        <v>10023.86</v>
      </c>
      <c r="E83" s="3058">
        <v>15035.79</v>
      </c>
      <c r="F83" s="3058" t="s">
        <v>3208</v>
      </c>
      <c r="G83" s="3058" t="s">
        <v>3114</v>
      </c>
      <c r="H83" s="3058" t="s">
        <v>3304</v>
      </c>
      <c r="I83" s="3058" t="s">
        <v>3305</v>
      </c>
      <c r="J83" s="3058">
        <v>4811.4399999999996</v>
      </c>
      <c r="K83" s="3058">
        <v>3200</v>
      </c>
      <c r="L83" s="3058">
        <v>26.43</v>
      </c>
      <c r="M83" s="3058" t="s">
        <v>3306</v>
      </c>
      <c r="N83" s="3058" t="s">
        <v>3217</v>
      </c>
    </row>
    <row r="84" spans="1:14">
      <c r="A84" s="3060" t="s">
        <v>3307</v>
      </c>
      <c r="B84" s="3060" t="s">
        <v>3098</v>
      </c>
      <c r="C84" s="3060" t="s">
        <v>3099</v>
      </c>
      <c r="D84" s="3060">
        <v>57567.02</v>
      </c>
      <c r="E84" s="3060">
        <v>57567.02</v>
      </c>
      <c r="F84" s="3060" t="s">
        <v>3160</v>
      </c>
      <c r="G84" s="3060" t="s">
        <v>3100</v>
      </c>
      <c r="H84" s="3060" t="s">
        <v>3308</v>
      </c>
      <c r="I84" s="3060" t="s">
        <v>3309</v>
      </c>
      <c r="J84" s="3060">
        <v>2072.4</v>
      </c>
      <c r="K84" s="3060">
        <v>360</v>
      </c>
      <c r="L84" s="3060">
        <v>0</v>
      </c>
      <c r="M84" s="3060" t="s">
        <v>3310</v>
      </c>
      <c r="N84" s="3060" t="s">
        <v>3203</v>
      </c>
    </row>
    <row r="85" spans="1:14">
      <c r="A85" s="3060" t="s">
        <v>3311</v>
      </c>
      <c r="B85" s="3060" t="s">
        <v>3098</v>
      </c>
      <c r="C85" s="3060" t="s">
        <v>3099</v>
      </c>
      <c r="D85" s="3060">
        <v>40499.31</v>
      </c>
      <c r="E85" s="3060">
        <v>40499.31</v>
      </c>
      <c r="F85" s="3060" t="s">
        <v>3160</v>
      </c>
      <c r="G85" s="3060" t="s">
        <v>3100</v>
      </c>
      <c r="H85" s="3060" t="s">
        <v>3312</v>
      </c>
      <c r="I85" s="3060" t="s">
        <v>3309</v>
      </c>
      <c r="J85" s="3060">
        <v>2369.21</v>
      </c>
      <c r="K85" s="3060">
        <v>585</v>
      </c>
      <c r="L85" s="3060">
        <v>0</v>
      </c>
      <c r="M85" s="3060" t="s">
        <v>3313</v>
      </c>
      <c r="N85" s="3060" t="s">
        <v>3158</v>
      </c>
    </row>
    <row r="86" spans="1:14">
      <c r="A86" s="3060" t="s">
        <v>3314</v>
      </c>
      <c r="B86" s="3060" t="s">
        <v>3098</v>
      </c>
      <c r="C86" s="3060" t="s">
        <v>3099</v>
      </c>
      <c r="D86" s="3060">
        <v>41694.400000000001</v>
      </c>
      <c r="E86" s="3060">
        <v>41694.400000000001</v>
      </c>
      <c r="F86" s="3060" t="s">
        <v>3160</v>
      </c>
      <c r="G86" s="3060" t="s">
        <v>3100</v>
      </c>
      <c r="H86" s="3060" t="s">
        <v>3312</v>
      </c>
      <c r="I86" s="3060" t="s">
        <v>3309</v>
      </c>
      <c r="J86" s="3060">
        <v>2439.11</v>
      </c>
      <c r="K86" s="3060">
        <v>585</v>
      </c>
      <c r="L86" s="3060">
        <v>0</v>
      </c>
      <c r="M86" s="3060" t="s">
        <v>3313</v>
      </c>
      <c r="N86" s="3060" t="s">
        <v>3158</v>
      </c>
    </row>
    <row r="87" spans="1:14">
      <c r="A87" s="3060" t="s">
        <v>3315</v>
      </c>
      <c r="B87" s="3060" t="s">
        <v>3098</v>
      </c>
      <c r="C87" s="3060" t="s">
        <v>3099</v>
      </c>
      <c r="D87" s="3060">
        <v>33030.03</v>
      </c>
      <c r="E87" s="3060">
        <v>16515.02</v>
      </c>
      <c r="F87" s="3060" t="s">
        <v>3316</v>
      </c>
      <c r="G87" s="3060" t="s">
        <v>3100</v>
      </c>
      <c r="H87" s="3060" t="s">
        <v>3308</v>
      </c>
      <c r="I87" s="3060" t="s">
        <v>3309</v>
      </c>
      <c r="J87" s="3060">
        <v>1189.07</v>
      </c>
      <c r="K87" s="3060">
        <v>720</v>
      </c>
      <c r="L87" s="3060">
        <v>0</v>
      </c>
      <c r="M87" s="3060" t="s">
        <v>3317</v>
      </c>
      <c r="N87" s="3060" t="s">
        <v>3158</v>
      </c>
    </row>
    <row r="88" spans="1:14">
      <c r="A88" s="3060" t="s">
        <v>3318</v>
      </c>
      <c r="B88" s="3060" t="s">
        <v>3098</v>
      </c>
      <c r="C88" s="3060" t="s">
        <v>3099</v>
      </c>
      <c r="D88" s="3060">
        <v>141992.70000000001</v>
      </c>
      <c r="E88" s="3060">
        <v>141992.70000000001</v>
      </c>
      <c r="F88" s="3060" t="s">
        <v>3160</v>
      </c>
      <c r="G88" s="3060" t="s">
        <v>3100</v>
      </c>
      <c r="H88" s="3060" t="s">
        <v>3308</v>
      </c>
      <c r="I88" s="3060" t="s">
        <v>3309</v>
      </c>
      <c r="J88" s="3060">
        <v>5111.7299999999996</v>
      </c>
      <c r="K88" s="3060">
        <v>360</v>
      </c>
      <c r="L88" s="3060">
        <v>0</v>
      </c>
      <c r="M88" s="3060" t="s">
        <v>3319</v>
      </c>
      <c r="N88" s="3060" t="s">
        <v>3158</v>
      </c>
    </row>
    <row r="89" spans="1:14">
      <c r="A89" s="3060" t="s">
        <v>3320</v>
      </c>
      <c r="B89" s="3060" t="s">
        <v>3098</v>
      </c>
      <c r="C89" s="3060" t="s">
        <v>3099</v>
      </c>
      <c r="D89" s="3060">
        <v>31094.080000000002</v>
      </c>
      <c r="E89" s="3060">
        <v>31094.080000000002</v>
      </c>
      <c r="F89" s="3060" t="s">
        <v>3160</v>
      </c>
      <c r="G89" s="3060" t="s">
        <v>3100</v>
      </c>
      <c r="H89" s="3060" t="s">
        <v>3312</v>
      </c>
      <c r="I89" s="3060" t="s">
        <v>3309</v>
      </c>
      <c r="J89" s="3060">
        <v>1819</v>
      </c>
      <c r="K89" s="3060">
        <v>585</v>
      </c>
      <c r="L89" s="3060">
        <v>0</v>
      </c>
      <c r="M89" s="3060" t="s">
        <v>3317</v>
      </c>
      <c r="N89" s="3060" t="s">
        <v>3158</v>
      </c>
    </row>
    <row r="90" spans="1:14">
      <c r="A90" s="3060" t="s">
        <v>3321</v>
      </c>
      <c r="B90" s="3060" t="s">
        <v>3098</v>
      </c>
      <c r="C90" s="3060" t="s">
        <v>3099</v>
      </c>
      <c r="D90" s="3060">
        <v>170800.5</v>
      </c>
      <c r="E90" s="3060">
        <v>170800.5</v>
      </c>
      <c r="F90" s="3060" t="s">
        <v>3160</v>
      </c>
      <c r="G90" s="3060" t="s">
        <v>3100</v>
      </c>
      <c r="H90" s="3060" t="s">
        <v>3308</v>
      </c>
      <c r="I90" s="3060" t="s">
        <v>3309</v>
      </c>
      <c r="J90" s="3060">
        <v>6148.81</v>
      </c>
      <c r="K90" s="3060">
        <v>360</v>
      </c>
      <c r="L90" s="3060">
        <v>0</v>
      </c>
      <c r="M90" s="3060" t="s">
        <v>3313</v>
      </c>
      <c r="N90" s="3060" t="s">
        <v>3158</v>
      </c>
    </row>
    <row r="91" spans="1:14">
      <c r="A91" s="3060" t="s">
        <v>3322</v>
      </c>
      <c r="B91" s="3060" t="s">
        <v>3098</v>
      </c>
      <c r="C91" s="3060" t="s">
        <v>3099</v>
      </c>
      <c r="D91" s="3060">
        <v>15422</v>
      </c>
      <c r="E91" s="3060">
        <v>38555</v>
      </c>
      <c r="F91" s="3060" t="s">
        <v>3323</v>
      </c>
      <c r="G91" s="3060" t="s">
        <v>3100</v>
      </c>
      <c r="H91" s="3060" t="s">
        <v>3301</v>
      </c>
      <c r="I91" s="3060" t="s">
        <v>3324</v>
      </c>
      <c r="J91" s="3060">
        <v>3477.65</v>
      </c>
      <c r="K91" s="3060">
        <v>902</v>
      </c>
      <c r="L91" s="3060">
        <v>0</v>
      </c>
      <c r="M91" s="3060" t="s">
        <v>3325</v>
      </c>
      <c r="N91" s="3060" t="s">
        <v>3105</v>
      </c>
    </row>
    <row r="92" spans="1:14">
      <c r="A92" s="3060" t="s">
        <v>3326</v>
      </c>
      <c r="B92" s="3060" t="s">
        <v>3098</v>
      </c>
      <c r="C92" s="3060" t="s">
        <v>3099</v>
      </c>
      <c r="D92" s="3060">
        <v>29304</v>
      </c>
      <c r="E92" s="3060">
        <v>87912</v>
      </c>
      <c r="F92" s="3060" t="s">
        <v>3327</v>
      </c>
      <c r="G92" s="3060" t="s">
        <v>3100</v>
      </c>
      <c r="H92" s="3060" t="s">
        <v>3301</v>
      </c>
      <c r="I92" s="3060" t="s">
        <v>3324</v>
      </c>
      <c r="J92" s="3060">
        <v>4967.0200000000004</v>
      </c>
      <c r="K92" s="3060">
        <v>565</v>
      </c>
      <c r="L92" s="3060">
        <v>0</v>
      </c>
      <c r="M92" s="3060" t="s">
        <v>3328</v>
      </c>
      <c r="N92" s="3060" t="s">
        <v>3203</v>
      </c>
    </row>
    <row r="93" spans="1:14">
      <c r="A93" s="3060" t="s">
        <v>3329</v>
      </c>
      <c r="B93" s="3060" t="s">
        <v>3098</v>
      </c>
      <c r="C93" s="3060" t="s">
        <v>3099</v>
      </c>
      <c r="D93" s="3060">
        <v>27885.65</v>
      </c>
      <c r="E93" s="3060">
        <v>66925.56</v>
      </c>
      <c r="F93" s="3060" t="s">
        <v>3330</v>
      </c>
      <c r="G93" s="3060" t="s">
        <v>3100</v>
      </c>
      <c r="H93" s="3060" t="s">
        <v>3141</v>
      </c>
      <c r="I93" s="3060" t="s">
        <v>3331</v>
      </c>
      <c r="J93" s="3060">
        <v>8700.31</v>
      </c>
      <c r="K93" s="3060">
        <v>1300</v>
      </c>
      <c r="L93" s="3060" t="s">
        <v>1298</v>
      </c>
      <c r="M93" s="3060" t="s">
        <v>3332</v>
      </c>
      <c r="N93" s="3060" t="s">
        <v>3217</v>
      </c>
    </row>
    <row r="94" spans="1:14">
      <c r="A94" s="3060" t="s">
        <v>3333</v>
      </c>
      <c r="B94" s="3060" t="s">
        <v>3098</v>
      </c>
      <c r="C94" s="3060" t="s">
        <v>3099</v>
      </c>
      <c r="D94" s="3060">
        <v>34945</v>
      </c>
      <c r="E94" s="3060">
        <v>41934</v>
      </c>
      <c r="F94" s="3060" t="s">
        <v>3116</v>
      </c>
      <c r="G94" s="3060" t="s">
        <v>3114</v>
      </c>
      <c r="H94" s="3060" t="s">
        <v>3292</v>
      </c>
      <c r="I94" s="3060" t="s">
        <v>3334</v>
      </c>
      <c r="J94" s="3060">
        <v>3983.73</v>
      </c>
      <c r="K94" s="3060">
        <v>950</v>
      </c>
      <c r="L94" s="3060">
        <v>1.06</v>
      </c>
      <c r="M94" s="3060" t="s">
        <v>3335</v>
      </c>
      <c r="N94" s="3060" t="s">
        <v>3105</v>
      </c>
    </row>
    <row r="95" spans="1:14">
      <c r="A95" s="3060" t="s">
        <v>3336</v>
      </c>
      <c r="B95" s="3060" t="s">
        <v>3098</v>
      </c>
      <c r="C95" s="3060" t="s">
        <v>3099</v>
      </c>
      <c r="D95" s="3060">
        <v>25408</v>
      </c>
      <c r="E95" s="3060">
        <v>25408</v>
      </c>
      <c r="F95" s="3060" t="s">
        <v>3295</v>
      </c>
      <c r="G95" s="3060" t="s">
        <v>3114</v>
      </c>
      <c r="H95" s="3060" t="s">
        <v>3141</v>
      </c>
      <c r="I95" s="3060" t="s">
        <v>3201</v>
      </c>
      <c r="J95" s="3060">
        <v>2566.21</v>
      </c>
      <c r="K95" s="3060">
        <v>1010</v>
      </c>
      <c r="L95" s="3060">
        <v>12.22</v>
      </c>
      <c r="M95" s="3060" t="s">
        <v>3337</v>
      </c>
      <c r="N95" s="3060" t="s">
        <v>3158</v>
      </c>
    </row>
    <row r="96" spans="1:14">
      <c r="A96" s="3060" t="s">
        <v>3338</v>
      </c>
      <c r="B96" s="3060" t="s">
        <v>3098</v>
      </c>
      <c r="C96" s="3060" t="s">
        <v>3099</v>
      </c>
      <c r="D96" s="3060">
        <v>72651</v>
      </c>
      <c r="E96" s="3060">
        <v>72651</v>
      </c>
      <c r="F96" s="3060" t="s">
        <v>3295</v>
      </c>
      <c r="G96" s="3060" t="s">
        <v>3114</v>
      </c>
      <c r="H96" s="3060" t="s">
        <v>3141</v>
      </c>
      <c r="I96" s="3060" t="s">
        <v>3201</v>
      </c>
      <c r="J96" s="3060">
        <v>7337.75</v>
      </c>
      <c r="K96" s="3060">
        <v>1010</v>
      </c>
      <c r="L96" s="3060">
        <v>12.22</v>
      </c>
      <c r="M96" s="3060" t="s">
        <v>3337</v>
      </c>
      <c r="N96" s="3060" t="s">
        <v>3158</v>
      </c>
    </row>
    <row r="97" spans="1:14">
      <c r="A97" s="3060" t="s">
        <v>3339</v>
      </c>
      <c r="B97" s="3060" t="s">
        <v>3098</v>
      </c>
      <c r="C97" s="3060" t="s">
        <v>3099</v>
      </c>
      <c r="D97" s="3060">
        <v>11478</v>
      </c>
      <c r="E97" s="3060">
        <v>17217</v>
      </c>
      <c r="F97" s="3060" t="s">
        <v>3208</v>
      </c>
      <c r="G97" s="3060" t="s">
        <v>3114</v>
      </c>
      <c r="H97" s="3060" t="s">
        <v>3199</v>
      </c>
      <c r="I97" s="3060" t="s">
        <v>3340</v>
      </c>
      <c r="J97" s="3060">
        <v>3959.9</v>
      </c>
      <c r="K97" s="3060">
        <v>2300</v>
      </c>
      <c r="L97" s="3060">
        <v>187.5</v>
      </c>
      <c r="M97" s="3060" t="s">
        <v>3341</v>
      </c>
      <c r="N97" s="3060" t="s">
        <v>3203</v>
      </c>
    </row>
    <row r="98" spans="1:14">
      <c r="A98" s="3060" t="s">
        <v>3342</v>
      </c>
      <c r="B98" s="3060" t="s">
        <v>3098</v>
      </c>
      <c r="C98" s="3060" t="s">
        <v>3099</v>
      </c>
      <c r="D98" s="3060">
        <v>18160.75</v>
      </c>
      <c r="E98" s="3060">
        <v>50850.1</v>
      </c>
      <c r="F98" s="3060" t="s">
        <v>3283</v>
      </c>
      <c r="G98" s="3060" t="s">
        <v>3114</v>
      </c>
      <c r="H98" s="3060" t="s">
        <v>3343</v>
      </c>
      <c r="I98" s="3060" t="s">
        <v>3344</v>
      </c>
      <c r="J98" s="3060">
        <v>10983.62</v>
      </c>
      <c r="K98" s="3060">
        <v>2160</v>
      </c>
      <c r="L98" s="3060">
        <v>0</v>
      </c>
      <c r="M98" s="3060" t="s">
        <v>3345</v>
      </c>
      <c r="N98" s="3060" t="s">
        <v>3217</v>
      </c>
    </row>
    <row r="99" spans="1:14">
      <c r="A99" s="3060" t="s">
        <v>3346</v>
      </c>
      <c r="B99" s="3060" t="s">
        <v>3098</v>
      </c>
      <c r="C99" s="3060" t="s">
        <v>3099</v>
      </c>
      <c r="D99" s="3060">
        <v>6665.59</v>
      </c>
      <c r="E99" s="3060">
        <v>13331.18</v>
      </c>
      <c r="F99" s="3060" t="s">
        <v>3191</v>
      </c>
      <c r="G99" s="3060" t="s">
        <v>3114</v>
      </c>
      <c r="H99" s="3060" t="s">
        <v>3141</v>
      </c>
      <c r="I99" s="3060" t="s">
        <v>3205</v>
      </c>
      <c r="J99" s="3060">
        <v>3332.8</v>
      </c>
      <c r="K99" s="3060">
        <v>2500</v>
      </c>
      <c r="L99" s="3060">
        <v>19.79</v>
      </c>
      <c r="M99" s="3060" t="s">
        <v>3347</v>
      </c>
      <c r="N99" s="3060" t="s">
        <v>3119</v>
      </c>
    </row>
    <row r="100" spans="1:14">
      <c r="A100" s="3060" t="s">
        <v>3348</v>
      </c>
      <c r="B100" s="3060" t="s">
        <v>3098</v>
      </c>
      <c r="C100" s="3060" t="s">
        <v>3099</v>
      </c>
      <c r="D100" s="3060">
        <v>4333.1400000000003</v>
      </c>
      <c r="E100" s="3060">
        <v>6933.02</v>
      </c>
      <c r="F100" s="3060" t="s">
        <v>3349</v>
      </c>
      <c r="G100" s="3060" t="s">
        <v>3114</v>
      </c>
      <c r="H100" s="3060" t="s">
        <v>3141</v>
      </c>
      <c r="I100" s="3060" t="s">
        <v>3209</v>
      </c>
      <c r="J100" s="3060">
        <v>5269.1</v>
      </c>
      <c r="K100" s="3060">
        <v>7600.01</v>
      </c>
      <c r="L100" s="3060">
        <v>1.33</v>
      </c>
      <c r="M100" s="3060" t="s">
        <v>3350</v>
      </c>
      <c r="N100" s="3060" t="s">
        <v>3119</v>
      </c>
    </row>
    <row r="101" spans="1:14">
      <c r="A101" s="3060" t="s">
        <v>3351</v>
      </c>
      <c r="B101" s="3060" t="s">
        <v>3098</v>
      </c>
      <c r="C101" s="3060" t="s">
        <v>3099</v>
      </c>
      <c r="D101" s="3060">
        <v>8591.5400000000009</v>
      </c>
      <c r="E101" s="3060">
        <v>10309.85</v>
      </c>
      <c r="F101" s="3060" t="s">
        <v>3116</v>
      </c>
      <c r="G101" s="3060" t="s">
        <v>3114</v>
      </c>
      <c r="H101" s="3060" t="s">
        <v>1343</v>
      </c>
      <c r="I101" s="3060" t="s">
        <v>3352</v>
      </c>
      <c r="J101" s="3060">
        <v>1659.89</v>
      </c>
      <c r="K101" s="3060">
        <v>1610</v>
      </c>
      <c r="L101" s="3060">
        <v>7.69</v>
      </c>
      <c r="M101" s="3060" t="s">
        <v>3210</v>
      </c>
      <c r="N101" s="3060" t="s">
        <v>3217</v>
      </c>
    </row>
    <row r="102" spans="1:14">
      <c r="A102" s="3060" t="s">
        <v>3353</v>
      </c>
      <c r="B102" s="3060" t="s">
        <v>3098</v>
      </c>
      <c r="C102" s="3060" t="s">
        <v>3099</v>
      </c>
      <c r="D102" s="3060">
        <v>135568</v>
      </c>
      <c r="E102" s="3060">
        <v>203352</v>
      </c>
      <c r="F102" s="3060" t="s">
        <v>3208</v>
      </c>
      <c r="G102" s="3060" t="s">
        <v>3114</v>
      </c>
      <c r="H102" s="3060" t="s">
        <v>3354</v>
      </c>
      <c r="I102" s="3060" t="s">
        <v>3355</v>
      </c>
      <c r="J102" s="3060">
        <v>10777.65</v>
      </c>
      <c r="K102" s="3060">
        <v>530</v>
      </c>
      <c r="L102" s="3060">
        <v>1.1499999999999999</v>
      </c>
      <c r="M102" s="3060" t="s">
        <v>3356</v>
      </c>
      <c r="N102" s="3060" t="s">
        <v>3105</v>
      </c>
    </row>
    <row r="103" spans="1:14">
      <c r="A103" s="3060" t="s">
        <v>3357</v>
      </c>
      <c r="B103" s="3060" t="s">
        <v>3098</v>
      </c>
      <c r="C103" s="3060" t="s">
        <v>3099</v>
      </c>
      <c r="D103" s="3060">
        <v>38443</v>
      </c>
      <c r="E103" s="3060">
        <v>69197.399999999994</v>
      </c>
      <c r="F103" s="3060" t="s">
        <v>3358</v>
      </c>
      <c r="G103" s="3060" t="s">
        <v>3114</v>
      </c>
      <c r="H103" s="3060" t="s">
        <v>3141</v>
      </c>
      <c r="I103" s="3060" t="s">
        <v>3359</v>
      </c>
      <c r="J103" s="3060">
        <v>3999.61</v>
      </c>
      <c r="K103" s="3060">
        <v>578</v>
      </c>
      <c r="L103" s="3060">
        <v>1.23</v>
      </c>
      <c r="M103" s="3060" t="s">
        <v>3360</v>
      </c>
      <c r="N103" s="3060" t="s">
        <v>3105</v>
      </c>
    </row>
    <row r="104" spans="1:14">
      <c r="A104" s="3060" t="s">
        <v>3361</v>
      </c>
      <c r="B104" s="3060" t="s">
        <v>3098</v>
      </c>
      <c r="C104" s="3060" t="s">
        <v>3099</v>
      </c>
      <c r="D104" s="3060">
        <v>19051</v>
      </c>
      <c r="E104" s="3060">
        <v>22861.200000000001</v>
      </c>
      <c r="F104" s="3060" t="s">
        <v>3116</v>
      </c>
      <c r="G104" s="3060" t="s">
        <v>3114</v>
      </c>
      <c r="H104" s="3060" t="s">
        <v>3115</v>
      </c>
      <c r="I104" s="3060" t="s">
        <v>3359</v>
      </c>
      <c r="J104" s="3060">
        <v>4999.75</v>
      </c>
      <c r="K104" s="3060">
        <v>2187</v>
      </c>
      <c r="L104" s="3060">
        <v>0.32</v>
      </c>
      <c r="M104" s="3060" t="s">
        <v>3362</v>
      </c>
      <c r="N104" s="3060" t="s">
        <v>3217</v>
      </c>
    </row>
    <row r="105" spans="1:14">
      <c r="A105" s="3060" t="s">
        <v>3363</v>
      </c>
      <c r="B105" s="3060" t="s">
        <v>3098</v>
      </c>
      <c r="C105" s="3060" t="s">
        <v>3099</v>
      </c>
      <c r="D105" s="3060">
        <v>80730</v>
      </c>
      <c r="E105" s="3060">
        <v>145314</v>
      </c>
      <c r="F105" s="3060" t="s">
        <v>3364</v>
      </c>
      <c r="G105" s="3060" t="s">
        <v>3114</v>
      </c>
      <c r="H105" s="3060" t="s">
        <v>3365</v>
      </c>
      <c r="I105" s="3060" t="s">
        <v>3366</v>
      </c>
      <c r="J105" s="3060">
        <v>10636.97</v>
      </c>
      <c r="K105" s="3060">
        <v>732</v>
      </c>
      <c r="L105" s="3060">
        <v>0.97</v>
      </c>
      <c r="M105" s="3060" t="s">
        <v>3367</v>
      </c>
      <c r="N105" s="3060" t="s">
        <v>3203</v>
      </c>
    </row>
    <row r="106" spans="1:14">
      <c r="A106" s="3060" t="s">
        <v>3368</v>
      </c>
      <c r="B106" s="3060" t="s">
        <v>3098</v>
      </c>
      <c r="C106" s="3060" t="s">
        <v>3099</v>
      </c>
      <c r="D106" s="3060">
        <v>3312.91</v>
      </c>
      <c r="E106" s="3060">
        <v>728.84</v>
      </c>
      <c r="F106" s="3060" t="s">
        <v>3369</v>
      </c>
      <c r="G106" s="3060" t="s">
        <v>3114</v>
      </c>
      <c r="H106" s="3060" t="s">
        <v>3370</v>
      </c>
      <c r="I106" s="3060" t="s">
        <v>3371</v>
      </c>
      <c r="J106" s="3060">
        <v>2955.11</v>
      </c>
      <c r="K106" s="3060">
        <v>40545.51</v>
      </c>
      <c r="L106" s="3060">
        <v>75.180000000000007</v>
      </c>
      <c r="M106" s="3060" t="s">
        <v>3372</v>
      </c>
      <c r="N106" s="3060" t="s">
        <v>3105</v>
      </c>
    </row>
    <row r="107" spans="1:14">
      <c r="A107" s="3060" t="s">
        <v>3373</v>
      </c>
      <c r="B107" s="3060" t="s">
        <v>3098</v>
      </c>
      <c r="C107" s="3060" t="s">
        <v>3099</v>
      </c>
      <c r="D107" s="3060">
        <v>2667.07</v>
      </c>
      <c r="E107" s="3060">
        <v>1333.54</v>
      </c>
      <c r="F107" s="3060" t="s">
        <v>3374</v>
      </c>
      <c r="G107" s="3060" t="s">
        <v>3114</v>
      </c>
      <c r="H107" s="3060" t="s">
        <v>3375</v>
      </c>
      <c r="I107" s="3060" t="s">
        <v>3376</v>
      </c>
      <c r="J107" s="3060">
        <v>1301.25</v>
      </c>
      <c r="K107" s="3060">
        <v>9757.94</v>
      </c>
      <c r="L107" s="3060">
        <v>0.14000000000000001</v>
      </c>
      <c r="M107" s="3060" t="s">
        <v>3377</v>
      </c>
      <c r="N107" s="3060" t="s">
        <v>3105</v>
      </c>
    </row>
    <row r="108" spans="1:14">
      <c r="A108" s="3060" t="s">
        <v>3378</v>
      </c>
      <c r="B108" s="3060" t="s">
        <v>3098</v>
      </c>
      <c r="C108" s="3060" t="s">
        <v>3099</v>
      </c>
      <c r="D108" s="3060">
        <v>1676.41</v>
      </c>
      <c r="E108" s="3060">
        <v>8382.0499999999993</v>
      </c>
      <c r="F108" s="3060" t="s">
        <v>3379</v>
      </c>
      <c r="G108" s="3060" t="s">
        <v>3114</v>
      </c>
      <c r="H108" s="3060" t="s">
        <v>3380</v>
      </c>
      <c r="I108" s="3060" t="s">
        <v>3381</v>
      </c>
      <c r="J108" s="3060">
        <v>409.04</v>
      </c>
      <c r="K108" s="3060">
        <v>488</v>
      </c>
      <c r="L108" s="3060">
        <v>1.45</v>
      </c>
      <c r="M108" s="3060" t="s">
        <v>3382</v>
      </c>
      <c r="N108" s="3060" t="s">
        <v>3158</v>
      </c>
    </row>
    <row r="109" spans="1:14">
      <c r="A109" s="3060" t="s">
        <v>3383</v>
      </c>
      <c r="B109" s="3060" t="s">
        <v>3098</v>
      </c>
      <c r="C109" s="3060" t="s">
        <v>3099</v>
      </c>
      <c r="D109" s="3060">
        <v>2787.2</v>
      </c>
      <c r="E109" s="3060">
        <v>5574.4</v>
      </c>
      <c r="F109" s="3060" t="s">
        <v>3384</v>
      </c>
      <c r="G109" s="3060" t="s">
        <v>3114</v>
      </c>
      <c r="H109" s="3060" t="s">
        <v>3115</v>
      </c>
      <c r="I109" s="3060" t="s">
        <v>3385</v>
      </c>
      <c r="J109" s="3060">
        <v>2524.09</v>
      </c>
      <c r="K109" s="3060">
        <v>4528</v>
      </c>
      <c r="L109" s="3060">
        <v>0.15</v>
      </c>
      <c r="M109" s="3060" t="s">
        <v>3386</v>
      </c>
      <c r="N109" s="3060" t="s">
        <v>3119</v>
      </c>
    </row>
    <row r="110" spans="1:14">
      <c r="A110" s="3060" t="s">
        <v>3387</v>
      </c>
      <c r="B110" s="3060" t="s">
        <v>3098</v>
      </c>
      <c r="C110" s="3060" t="s">
        <v>3099</v>
      </c>
      <c r="D110" s="3060">
        <v>8800</v>
      </c>
      <c r="E110" s="3060">
        <v>14960</v>
      </c>
      <c r="F110" s="3060" t="s">
        <v>3388</v>
      </c>
      <c r="G110" s="3060" t="s">
        <v>3114</v>
      </c>
      <c r="H110" s="3060" t="s">
        <v>3115</v>
      </c>
      <c r="I110" s="3060" t="s">
        <v>3389</v>
      </c>
      <c r="J110" s="3060">
        <v>18411.27</v>
      </c>
      <c r="K110" s="3060">
        <v>12307</v>
      </c>
      <c r="L110" s="3060">
        <v>0.06</v>
      </c>
      <c r="M110" s="3060" t="s">
        <v>3390</v>
      </c>
      <c r="N110" s="3060" t="s">
        <v>3217</v>
      </c>
    </row>
    <row r="111" spans="1:14">
      <c r="A111" s="3060" t="s">
        <v>3391</v>
      </c>
      <c r="B111" s="3060" t="s">
        <v>3098</v>
      </c>
      <c r="C111" s="3060" t="s">
        <v>3099</v>
      </c>
      <c r="D111" s="3060">
        <v>6668.26</v>
      </c>
      <c r="E111" s="3060">
        <v>14003.35</v>
      </c>
      <c r="F111" s="3060" t="s">
        <v>3392</v>
      </c>
      <c r="G111" s="3060" t="s">
        <v>3114</v>
      </c>
      <c r="H111" s="3060" t="s">
        <v>3115</v>
      </c>
      <c r="I111" s="3060" t="s">
        <v>3393</v>
      </c>
      <c r="J111" s="3060">
        <v>1169.27</v>
      </c>
      <c r="K111" s="3060">
        <v>835</v>
      </c>
      <c r="L111" s="3060">
        <v>0.85</v>
      </c>
      <c r="M111" s="3060" t="s">
        <v>3394</v>
      </c>
      <c r="N111" s="3060" t="s">
        <v>3158</v>
      </c>
    </row>
    <row r="112" spans="1:14">
      <c r="A112" s="3060" t="s">
        <v>3395</v>
      </c>
      <c r="B112" s="3060" t="s">
        <v>3098</v>
      </c>
      <c r="C112" s="3060" t="s">
        <v>3099</v>
      </c>
      <c r="D112" s="3060">
        <v>8819.16</v>
      </c>
      <c r="E112" s="3060">
        <v>13228.74</v>
      </c>
      <c r="F112" s="3060" t="s">
        <v>3396</v>
      </c>
      <c r="G112" s="3060" t="s">
        <v>3114</v>
      </c>
      <c r="H112" s="3060" t="s">
        <v>3115</v>
      </c>
      <c r="I112" s="3060" t="s">
        <v>3393</v>
      </c>
      <c r="J112" s="3060">
        <v>1002.74</v>
      </c>
      <c r="K112" s="3060">
        <v>758</v>
      </c>
      <c r="L112" s="3060">
        <v>0.93</v>
      </c>
      <c r="M112" s="3060" t="s">
        <v>3397</v>
      </c>
      <c r="N112" s="3060" t="s">
        <v>3158</v>
      </c>
    </row>
    <row r="113" spans="1:23">
      <c r="A113" s="3060" t="s">
        <v>3398</v>
      </c>
      <c r="B113" s="3060" t="s">
        <v>3098</v>
      </c>
      <c r="C113" s="3060" t="s">
        <v>3099</v>
      </c>
      <c r="D113" s="3060">
        <v>7335</v>
      </c>
      <c r="E113" s="3060">
        <v>11002.5</v>
      </c>
      <c r="F113" s="3060" t="s">
        <v>3399</v>
      </c>
      <c r="G113" s="3060" t="s">
        <v>3114</v>
      </c>
      <c r="H113" s="3060" t="s">
        <v>3115</v>
      </c>
      <c r="I113" s="3060" t="s">
        <v>3400</v>
      </c>
      <c r="J113" s="3060">
        <v>1004.52</v>
      </c>
      <c r="K113" s="3060">
        <v>913</v>
      </c>
      <c r="L113" s="3060">
        <v>0.77</v>
      </c>
      <c r="M113" s="3060" t="s">
        <v>3290</v>
      </c>
      <c r="N113" s="3060" t="s">
        <v>3217</v>
      </c>
    </row>
    <row r="123" spans="1:23">
      <c r="W123" s="3053" t="s">
        <v>3415</v>
      </c>
    </row>
    <row r="135" spans="1:16">
      <c r="A135" s="3053" t="s">
        <v>3410</v>
      </c>
    </row>
    <row r="136" spans="1:16">
      <c r="L136" s="3053" t="s">
        <v>3413</v>
      </c>
    </row>
    <row r="137" spans="1:16">
      <c r="L137" s="3053" t="s">
        <v>3414</v>
      </c>
    </row>
    <row r="138" spans="1:16">
      <c r="L138" s="3053" t="s">
        <v>3416</v>
      </c>
    </row>
    <row r="139" spans="1:16" ht="39" customHeight="1">
      <c r="L139" s="3410" t="s">
        <v>3426</v>
      </c>
      <c r="M139" s="3410"/>
      <c r="N139" s="3410"/>
      <c r="O139" s="3410"/>
      <c r="P139" s="3410"/>
    </row>
    <row r="159" spans="1:1">
      <c r="A159" s="3053" t="s">
        <v>3411</v>
      </c>
    </row>
    <row r="181" spans="1:1">
      <c r="A181" s="3053" t="s">
        <v>3412</v>
      </c>
    </row>
    <row r="204" spans="1:1">
      <c r="A204" s="3053" t="s">
        <v>3427</v>
      </c>
    </row>
    <row r="307" spans="1:1">
      <c r="A307" s="3053" t="s">
        <v>3428</v>
      </c>
    </row>
    <row r="308" spans="1:1">
      <c r="A308" s="3053" t="s">
        <v>3433</v>
      </c>
    </row>
  </sheetData>
  <mergeCells count="1">
    <mergeCell ref="L139:P139"/>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L29"/>
  <sheetViews>
    <sheetView tabSelected="1" workbookViewId="0">
      <selection activeCell="G23" sqref="G23"/>
    </sheetView>
  </sheetViews>
  <sheetFormatPr defaultRowHeight="13.5"/>
  <cols>
    <col min="8" max="8" width="11.625" bestFit="1" customWidth="1"/>
  </cols>
  <sheetData>
    <row r="21" spans="2:12">
      <c r="B21" s="3053" t="s">
        <v>3075</v>
      </c>
      <c r="C21">
        <v>22920.77</v>
      </c>
      <c r="E21" s="3062" t="s">
        <v>3425</v>
      </c>
      <c r="F21" s="3062" t="s">
        <v>3424</v>
      </c>
    </row>
    <row r="22" spans="2:12">
      <c r="B22" s="3053" t="s">
        <v>3076</v>
      </c>
      <c r="C22">
        <v>22559.279999999999</v>
      </c>
      <c r="E22" s="3062" t="s">
        <v>3075</v>
      </c>
      <c r="F22" s="3063">
        <f>'数据-汇总表'!G19</f>
        <v>9963.2900000000009</v>
      </c>
      <c r="G22">
        <f>G23*0.5</f>
        <v>15000</v>
      </c>
      <c r="H22">
        <f>G22*F22</f>
        <v>149449350</v>
      </c>
      <c r="I22">
        <f>I23*0.5</f>
        <v>1.6</v>
      </c>
      <c r="J22">
        <f>I22*F22</f>
        <v>15941.264000000003</v>
      </c>
    </row>
    <row r="23" spans="2:12" ht="40.5">
      <c r="B23">
        <v>1</v>
      </c>
      <c r="C23" s="3054">
        <v>21717.65</v>
      </c>
      <c r="E23" s="3063">
        <v>1</v>
      </c>
      <c r="F23" s="3064">
        <v>21717.65</v>
      </c>
      <c r="G23">
        <v>30000</v>
      </c>
      <c r="H23">
        <f t="shared" ref="H23:H28" si="0">G23*F23</f>
        <v>651529500</v>
      </c>
      <c r="I23">
        <v>3.2</v>
      </c>
      <c r="J23">
        <f>I23*F23</f>
        <v>69496.48000000001</v>
      </c>
      <c r="K23" s="3065" t="s">
        <v>3429</v>
      </c>
      <c r="L23" s="3065" t="s">
        <v>3430</v>
      </c>
    </row>
    <row r="24" spans="2:12" ht="54">
      <c r="B24">
        <v>2</v>
      </c>
      <c r="C24" s="3054">
        <v>21014.83</v>
      </c>
      <c r="E24" s="3063">
        <v>2</v>
      </c>
      <c r="F24" s="3064">
        <v>21014.83</v>
      </c>
      <c r="G24">
        <f>G23*0.7</f>
        <v>21000</v>
      </c>
      <c r="H24">
        <f t="shared" si="0"/>
        <v>441311430.00000006</v>
      </c>
      <c r="I24">
        <f>I23*0.7</f>
        <v>2.2399999999999998</v>
      </c>
      <c r="J24">
        <f>I24*F24</f>
        <v>47073.2192</v>
      </c>
      <c r="L24" s="3065" t="s">
        <v>3431</v>
      </c>
    </row>
    <row r="25" spans="2:12" ht="67.5">
      <c r="B25">
        <v>3</v>
      </c>
      <c r="C25" s="3054">
        <v>20850.02</v>
      </c>
      <c r="E25" s="3063">
        <v>3</v>
      </c>
      <c r="F25" s="3064">
        <v>20850.02</v>
      </c>
      <c r="G25">
        <f>G23*0.6</f>
        <v>18000</v>
      </c>
      <c r="H25">
        <f t="shared" si="0"/>
        <v>375300360</v>
      </c>
      <c r="I25">
        <f>I23*0.6</f>
        <v>1.92</v>
      </c>
      <c r="J25">
        <f>I25*F25</f>
        <v>40032.038399999998</v>
      </c>
      <c r="L25" s="3065" t="s">
        <v>3432</v>
      </c>
    </row>
    <row r="26" spans="2:12">
      <c r="B26">
        <v>4</v>
      </c>
      <c r="C26" s="3054">
        <v>19818.580000000002</v>
      </c>
      <c r="E26" s="3063">
        <v>4</v>
      </c>
      <c r="F26" s="3064">
        <v>19818.580000000002</v>
      </c>
      <c r="G26">
        <f>G23*0.5</f>
        <v>15000</v>
      </c>
      <c r="H26">
        <f t="shared" si="0"/>
        <v>297278700</v>
      </c>
      <c r="I26">
        <f>I23*0.5</f>
        <v>1.6</v>
      </c>
      <c r="J26">
        <f t="shared" ref="J26" si="1">I26*F26</f>
        <v>31709.728000000003</v>
      </c>
    </row>
    <row r="27" spans="2:12">
      <c r="B27">
        <v>5</v>
      </c>
      <c r="C27" s="3054">
        <v>3491.6</v>
      </c>
      <c r="E27" s="3063">
        <v>5</v>
      </c>
      <c r="F27" s="3064">
        <v>3491.6</v>
      </c>
      <c r="G27">
        <f>G23*0.5</f>
        <v>15000</v>
      </c>
      <c r="H27">
        <f t="shared" si="0"/>
        <v>52374000</v>
      </c>
      <c r="I27">
        <f>I26</f>
        <v>1.6</v>
      </c>
      <c r="J27">
        <f>I27*F27</f>
        <v>5586.56</v>
      </c>
    </row>
    <row r="28" spans="2:12">
      <c r="B28" s="3053" t="s">
        <v>3074</v>
      </c>
      <c r="C28" s="3054">
        <v>290.74</v>
      </c>
      <c r="E28" s="3063"/>
      <c r="F28" s="3064">
        <v>290.74</v>
      </c>
      <c r="G28">
        <f>G27</f>
        <v>15000</v>
      </c>
      <c r="H28">
        <f t="shared" si="0"/>
        <v>4361100</v>
      </c>
      <c r="I28">
        <f>I26</f>
        <v>1.6</v>
      </c>
      <c r="J28">
        <f>I28*F28</f>
        <v>465.18400000000003</v>
      </c>
    </row>
    <row r="29" spans="2:12">
      <c r="C29">
        <f>SUM(C21:C28)</f>
        <v>132663.47</v>
      </c>
      <c r="F29">
        <f>SUM(F22:F28)</f>
        <v>97146.710000000021</v>
      </c>
      <c r="G29">
        <f>H29/F29</f>
        <v>20295.123118425727</v>
      </c>
      <c r="H29">
        <f>SUM(H22:H28)</f>
        <v>1971604440</v>
      </c>
      <c r="I29">
        <f>J29/F29</f>
        <v>2.1648131326320774</v>
      </c>
      <c r="J29">
        <f>SUM(J22:J28)</f>
        <v>210304.4736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86"/>
      <c r="B3" s="3086"/>
      <c r="C3" s="3086"/>
      <c r="D3" s="963" t="s">
        <v>1603</v>
      </c>
      <c r="E3" s="963" t="s">
        <v>1609</v>
      </c>
      <c r="F3" s="963" t="s">
        <v>1603</v>
      </c>
      <c r="G3" s="963" t="s">
        <v>1604</v>
      </c>
      <c r="H3" s="963" t="s">
        <v>1603</v>
      </c>
      <c r="I3" s="963" t="s">
        <v>1604</v>
      </c>
    </row>
    <row r="4" spans="1:9" ht="15">
      <c r="A4" s="1690" t="str">
        <f>项目基本情况!S2</f>
        <v>房地产</v>
      </c>
      <c r="B4" s="963">
        <f>项目基本情况!C17</f>
        <v>97146.700000000012</v>
      </c>
      <c r="C4" s="963">
        <f>项目基本情况!C18</f>
        <v>30151.46</v>
      </c>
      <c r="D4" s="963">
        <f ca="1">结果表!D118</f>
        <v>50910</v>
      </c>
      <c r="E4" s="963">
        <f ca="1">结果表!E118</f>
        <v>5240</v>
      </c>
      <c r="F4" s="963">
        <f ca="1">结果表!F118</f>
        <v>70884</v>
      </c>
      <c r="G4" s="963">
        <f ca="1">结果表!G118</f>
        <v>7297</v>
      </c>
      <c r="H4" s="963">
        <f ca="1">结果表!H118</f>
        <v>121794</v>
      </c>
      <c r="I4" s="963">
        <f ca="1">结果表!I118</f>
        <v>12537</v>
      </c>
    </row>
    <row r="5" spans="1:9" ht="30" customHeight="1">
      <c r="A5" s="3086" t="s">
        <v>1605</v>
      </c>
      <c r="B5" s="3086"/>
      <c r="C5" s="3086"/>
      <c r="D5" s="3087" t="str">
        <f ca="1">结果表!D119</f>
        <v>伍亿零玖佰壹拾万元整</v>
      </c>
      <c r="E5" s="3087"/>
      <c r="F5" s="3087" t="str">
        <f ca="1">结果表!F119</f>
        <v>柒亿零捌佰捌拾肆万元整</v>
      </c>
      <c r="G5" s="3087"/>
      <c r="H5" s="3087" t="str">
        <f ca="1">结果表!H119</f>
        <v>壹拾贰亿壹仟柒佰玖拾肆万元整</v>
      </c>
      <c r="I5" s="3087"/>
    </row>
    <row r="6" spans="1:9" ht="15.75">
      <c r="A6" s="3085" t="str">
        <f>结果表!A120</f>
        <v>估价师知悉的法定优先受偿款</v>
      </c>
      <c r="B6" s="3085"/>
      <c r="C6" s="3085"/>
      <c r="D6" s="3085">
        <f>结果表!D120</f>
        <v>0</v>
      </c>
      <c r="E6" s="3085"/>
      <c r="F6" s="3085"/>
      <c r="G6" s="3085"/>
      <c r="H6" s="3085"/>
      <c r="I6" s="3085"/>
    </row>
    <row r="7" spans="1:9" ht="15">
      <c r="A7" s="3086" t="s">
        <v>1605</v>
      </c>
      <c r="B7" s="3086"/>
      <c r="C7" s="3086"/>
      <c r="D7" s="3088" t="str">
        <f>结果表!D121</f>
        <v>零元整</v>
      </c>
      <c r="E7" s="3089"/>
      <c r="F7" s="3089"/>
      <c r="G7" s="3089"/>
      <c r="H7" s="3089"/>
      <c r="I7" s="3090"/>
    </row>
    <row r="8" spans="1:9" ht="15.75">
      <c r="A8" s="3085" t="str">
        <f>结果表!A122</f>
        <v>房地产抵押价值</v>
      </c>
      <c r="B8" s="3085"/>
      <c r="C8" s="3085"/>
      <c r="D8" s="3085">
        <f ca="1">结果表!D122</f>
        <v>121794</v>
      </c>
      <c r="E8" s="3085"/>
      <c r="F8" s="3085"/>
      <c r="G8" s="3085"/>
      <c r="H8" s="3085"/>
      <c r="I8" s="3085"/>
    </row>
    <row r="9" spans="1:9" ht="15">
      <c r="A9" s="3086" t="s">
        <v>1605</v>
      </c>
      <c r="B9" s="3086"/>
      <c r="C9" s="3086"/>
      <c r="D9" s="3087" t="str">
        <f ca="1">结果表!D123</f>
        <v>壹拾贰亿壹仟柒佰玖拾肆万元整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1605</v>
      </c>
      <c r="B11" s="3086"/>
      <c r="C11" s="3086"/>
      <c r="D11" s="3087" t="e">
        <f>结果表!D125</f>
        <v>#VALUE!</v>
      </c>
      <c r="E11" s="3087"/>
      <c r="F11" s="3087"/>
      <c r="G11" s="3087"/>
      <c r="H11" s="3087"/>
      <c r="I11" s="3087"/>
    </row>
    <row r="12" spans="1:9" ht="15.75">
      <c r="A12" s="3085" t="str">
        <f>结果表!A126</f>
        <v>抵押净值</v>
      </c>
      <c r="B12" s="3085"/>
      <c r="C12" s="3085"/>
      <c r="D12" s="3085">
        <f ca="1">结果表!D126</f>
        <v>111767</v>
      </c>
      <c r="E12" s="3085"/>
      <c r="F12" s="3085"/>
      <c r="G12" s="3085"/>
      <c r="H12" s="3085"/>
      <c r="I12" s="3085"/>
    </row>
    <row r="13" spans="1:9" ht="15.75" thickBot="1">
      <c r="A13" s="3082" t="s">
        <v>1605</v>
      </c>
      <c r="B13" s="3082"/>
      <c r="C13" s="3082"/>
      <c r="D13" s="3083" t="str">
        <f ca="1">结果表!D127</f>
        <v>壹拾壹亿壹仟柒佰陆拾柒万元整</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9" t="s">
        <v>1627</v>
      </c>
      <c r="B1" s="3099"/>
      <c r="C1" s="3099"/>
      <c r="D1" s="3099"/>
    </row>
    <row r="2" spans="1:4" ht="18">
      <c r="A2" s="3100" t="s">
        <v>1611</v>
      </c>
      <c r="B2" s="3100"/>
      <c r="C2" s="3100"/>
      <c r="D2" s="310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0" t="s">
        <v>1617</v>
      </c>
      <c r="B6" s="3100"/>
      <c r="C6" s="3100"/>
      <c r="D6" s="310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1"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3" t="str">
        <f>IF(项目基本情况!B8="抵押","4.本次评估估价师所知悉的法定优先受偿款情况说明如下：","——")</f>
        <v>4.本次评估估价师所知悉的法定优先受偿款情况说明如下：</v>
      </c>
      <c r="B14" s="3098"/>
      <c r="C14" s="3098"/>
      <c r="D14" s="3098"/>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1621</v>
      </c>
      <c r="B16" s="3095"/>
      <c r="C16" s="3095"/>
      <c r="D16" s="3095"/>
    </row>
    <row r="17" spans="1:4" ht="144" customHeight="1">
      <c r="A17" s="3095" t="s">
        <v>1622</v>
      </c>
      <c r="B17" s="3095"/>
      <c r="C17" s="3095"/>
      <c r="D17" s="3095"/>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1623</v>
      </c>
      <c r="B22" s="3097"/>
      <c r="C22" s="3097"/>
      <c r="D22" s="309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7" t="s">
        <v>1634</v>
      </c>
      <c r="B15" s="3102" t="s">
        <v>136</v>
      </c>
      <c r="C15" s="3103"/>
    </row>
    <row r="16" spans="1:7" ht="13.5">
      <c r="A16" s="3108"/>
      <c r="B16" s="3102" t="s">
        <v>69</v>
      </c>
      <c r="C16" s="3103"/>
    </row>
    <row r="17" spans="1:3" ht="13.5">
      <c r="A17" s="3108"/>
      <c r="B17" s="3105" t="s">
        <v>1635</v>
      </c>
      <c r="C17" s="1717" t="s">
        <v>1634</v>
      </c>
    </row>
    <row r="18" spans="1:3" ht="13.5">
      <c r="A18" s="3108"/>
      <c r="B18" s="3105"/>
      <c r="C18" s="1717" t="s">
        <v>1636</v>
      </c>
    </row>
    <row r="19" spans="1:3" ht="13.5">
      <c r="A19" s="3108"/>
      <c r="B19" s="3105"/>
      <c r="C19" s="1717" t="s">
        <v>1637</v>
      </c>
    </row>
    <row r="20" spans="1:3" ht="13.5">
      <c r="A20" s="3109"/>
      <c r="B20" s="3104" t="s">
        <v>1638</v>
      </c>
      <c r="C20" s="3103"/>
    </row>
    <row r="21" spans="1:3" ht="13.5">
      <c r="A21" s="1718" t="s">
        <v>1639</v>
      </c>
      <c r="B21" s="1719"/>
      <c r="C21" s="1720"/>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7" t="s">
        <v>1645</v>
      </c>
    </row>
    <row r="26" spans="1:3" ht="13.5">
      <c r="A26" s="3106"/>
      <c r="B26" s="3105"/>
      <c r="C26" s="1717" t="s">
        <v>1646</v>
      </c>
    </row>
    <row r="27" spans="1:3" ht="13.5">
      <c r="A27" s="3106"/>
      <c r="B27" s="3105"/>
      <c r="C27" s="1717" t="s">
        <v>1647</v>
      </c>
    </row>
    <row r="28" spans="1:3" ht="13.5">
      <c r="A28" s="3106"/>
      <c r="B28" s="3105"/>
      <c r="C28" s="1717" t="s">
        <v>1648</v>
      </c>
    </row>
    <row r="29" spans="1:3" ht="13.5">
      <c r="A29" s="3106"/>
      <c r="B29" s="3105"/>
      <c r="C29" s="1717" t="s">
        <v>1649</v>
      </c>
    </row>
    <row r="30" spans="1:3" ht="13.5">
      <c r="A30" s="3106"/>
      <c r="B30" s="3105"/>
      <c r="C30" s="1717" t="s">
        <v>1650</v>
      </c>
    </row>
    <row r="31" spans="1:3" ht="13.5">
      <c r="A31" s="3106"/>
      <c r="B31" s="3105"/>
      <c r="C31" s="1717" t="s">
        <v>1651</v>
      </c>
    </row>
    <row r="32" spans="1:3" ht="13.5">
      <c r="A32" s="3106"/>
      <c r="B32" s="3105"/>
      <c r="C32" s="1717" t="s">
        <v>1652</v>
      </c>
    </row>
    <row r="33" spans="1:3" ht="13.5">
      <c r="A33" s="3106"/>
      <c r="B33" s="310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44335</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0" t="s">
        <v>2902</v>
      </c>
      <c r="B17" s="3110"/>
      <c r="C17" s="3110"/>
      <c r="D17" s="3110"/>
      <c r="E17" s="3110"/>
      <c r="F17" s="3110"/>
      <c r="G17" s="3110"/>
      <c r="H17" s="3110"/>
    </row>
    <row r="18" spans="1:8" ht="24" customHeight="1">
      <c r="A18" s="3111" t="s">
        <v>2903</v>
      </c>
      <c r="B18" s="3111"/>
      <c r="C18" s="3111"/>
      <c r="D18" s="2566"/>
      <c r="E18" s="3112" t="s">
        <v>2904</v>
      </c>
      <c r="F18" s="3111"/>
      <c r="G18" s="311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面积拆分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2021-05-19T02:14:11Z</dcterms:modified>
</cp:coreProperties>
</file>