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 i="80" l="1"/>
  <c r="C14" i="74" s="1"/>
  <c r="B14" i="74"/>
  <c r="B26" i="31"/>
  <c r="B27" i="31"/>
  <c r="B28" i="31"/>
  <c r="B29" i="31"/>
  <c r="B30" i="31"/>
  <c r="B31" i="31"/>
  <c r="B32" i="31"/>
  <c r="B25" i="31"/>
  <c r="B24" i="31"/>
  <c r="C34" i="34"/>
  <c r="I37" i="34"/>
  <c r="G37" i="34"/>
  <c r="E37" i="34"/>
  <c r="C37" i="34"/>
  <c r="J49" i="67"/>
  <c r="Y6" i="1"/>
  <c r="N6" i="1"/>
  <c r="N21" i="1"/>
  <c r="N19" i="1"/>
  <c r="D11" i="80"/>
  <c r="F19" i="6"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F7" i="73"/>
  <c r="F26" i="15"/>
  <c r="B12" i="76"/>
  <c r="E10" i="76"/>
  <c r="D7" i="73"/>
  <c r="F3" i="73"/>
  <c r="F43" i="15"/>
  <c r="J15" i="67"/>
  <c r="L47" i="67"/>
  <c r="F20" i="31"/>
  <c r="D4" i="73"/>
  <c r="F6" i="73"/>
  <c r="F16" i="15"/>
  <c r="F4" i="73"/>
  <c r="B13" i="76"/>
  <c r="F6" i="15"/>
  <c r="E12" i="76"/>
  <c r="M29" i="67"/>
  <c r="E11" i="76"/>
  <c r="M22" i="15"/>
  <c r="M9" i="15"/>
  <c r="E2" i="68"/>
  <c r="F40" i="15"/>
  <c r="F36" i="67"/>
  <c r="F16" i="67"/>
  <c r="M8" i="15"/>
  <c r="F13" i="67"/>
  <c r="F26" i="67"/>
  <c r="L47" i="15"/>
  <c r="F42" i="67"/>
  <c r="E13" i="76"/>
  <c r="C76" i="67"/>
  <c r="M24" i="67"/>
  <c r="F38" i="15"/>
  <c r="B7" i="76"/>
  <c r="E8" i="76"/>
  <c r="M28" i="15"/>
  <c r="J15" i="15"/>
  <c r="D3" i="73"/>
  <c r="M28" i="67"/>
  <c r="E7" i="76"/>
  <c r="M26" i="67"/>
  <c r="F8" i="67"/>
  <c r="AO13" i="1"/>
  <c r="M6" i="67"/>
  <c r="M23" i="15"/>
  <c r="F8" i="15"/>
  <c r="M9" i="67"/>
  <c r="F7" i="67"/>
  <c r="E9" i="76"/>
  <c r="F5" i="73"/>
  <c r="L48" i="15"/>
  <c r="D6" i="73"/>
  <c r="F9" i="15"/>
  <c r="M6" i="15"/>
  <c r="M8" i="67"/>
  <c r="C76" i="15"/>
  <c r="F9" i="67"/>
  <c r="F43" i="67"/>
  <c r="B9" i="76"/>
  <c r="E2" i="69"/>
  <c r="F6" i="67"/>
  <c r="B10" i="76"/>
  <c r="M24" i="15"/>
  <c r="F37" i="15"/>
  <c r="B8" i="76"/>
  <c r="M29" i="15"/>
  <c r="M26" i="15"/>
  <c r="B11" i="76"/>
  <c r="F36" i="15"/>
  <c r="F42" i="15"/>
  <c r="F13" i="15"/>
  <c r="M23" i="67"/>
  <c r="F38" i="67"/>
  <c r="L48" i="67"/>
  <c r="H43" i="34" l="1"/>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43" i="34" l="1"/>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R50" i="34" l="1"/>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5"/>
  <c r="D2" i="36"/>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C19" i="9"/>
  <c r="AO10" i="1"/>
  <c r="AO6" i="1"/>
  <c r="AO7" i="1"/>
  <c r="AO9" i="1"/>
  <c r="D20" i="9"/>
  <c r="AO11"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D14" i="74"/>
  <c r="G14" i="74" s="1"/>
  <c r="B6" i="74" s="1"/>
  <c r="D6" i="74" s="1"/>
  <c r="B20" i="31"/>
  <c r="B21" i="31" s="1"/>
  <c r="G118" i="9"/>
  <c r="F118" i="9" s="1"/>
  <c r="I118" i="9"/>
  <c r="I4" i="52" s="1"/>
  <c r="E14" i="74" l="1"/>
  <c r="F14" i="74"/>
  <c r="B5" i="74"/>
  <c r="D5" i="74" s="1"/>
  <c r="H102" i="9"/>
  <c r="H118" i="9"/>
  <c r="C104" i="9" s="1"/>
  <c r="F4" i="52"/>
  <c r="B51" i="72" s="1"/>
  <c r="F119" i="9"/>
  <c r="F5" i="52" s="1"/>
  <c r="B53" i="72" s="1"/>
  <c r="G4" i="52"/>
  <c r="B52" i="72" s="1"/>
  <c r="C105" i="9"/>
  <c r="E118" i="9"/>
  <c r="C5" i="74" l="1"/>
  <c r="H119" i="9"/>
  <c r="H5" i="52" s="1"/>
  <c r="H4" i="52"/>
  <c r="H101" i="9"/>
  <c r="D45" i="9" s="1"/>
  <c r="D7" i="53"/>
  <c r="B21" i="72" s="1"/>
  <c r="E4" i="52"/>
  <c r="B48" i="72" s="1"/>
  <c r="D118" i="9"/>
  <c r="M48" i="9" l="1"/>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<sst xmlns="http://schemas.openxmlformats.org/spreadsheetml/2006/main" count="7919" uniqueCount="3470">
  <si>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</si>
  <si>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</si>
  <si>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</si>
  <si>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</si>
  <si>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</si>
  <si>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</si>
  <si>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</si>
  <si>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</si>
  <si>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</si>
  <si>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</si>
  <si>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</si>
  <si>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</si>
  <si>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</si>
  <si>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</si>
  <si>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</si>
  <si>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</si>
  <si>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</si>
  <si>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</si>
  <si>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</si>
  <si>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</si>
  <si>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</si>
  <si>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</si>
  <si>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</si>
  <si>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</si>
  <si>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</si>
  <si>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</si>
  <si>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</si>
  <si>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</si>
  <si>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</si>
  <si>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</si>
  <si>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</si>
  <si>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</si>
  <si>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</si>
  <si>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</si>
  <si>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</si>
  <si>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</si>
  <si>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</si>
  <si>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</si>
  <si>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</si>
  <si>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</si>
  <si>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</si>
  <si>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</si>
  <si>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</si>
  <si>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</si>
  <si>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</si>
  <si>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</si>
  <si>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</si>
  <si>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</si>
  <si>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</si>
  <si>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</si>
  <si>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</si>
  <si>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</si>
  <si>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</si>
  <si>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</si>
  <si>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</si>
  <si>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</si>
  <si>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</si>
  <si>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</si>
  <si>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</si>
  <si>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</si>
  <si>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</si>
  <si>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</si>
  <si>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</si>
  <si>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</si>
  <si>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</si>
  <si>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</si>
  <si>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</si>
  <si>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</si>
  <si>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</si>
  <si>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</si>
  <si>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</si>
  <si>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</si>
  <si>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</si>
  <si>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</si>
  <si>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</si>
  <si>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</si>
  <si>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</si>
  <si>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</si>
  <si>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</si>
  <si>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</si>
  <si>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</si>
  <si>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</si>
  <si>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</si>
  <si>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</si>
  <si>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</si>
  <si>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</si>
  <si>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</si>
  <si>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</si>
  <si>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</si>
  <si>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</si>
  <si>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</si>
  <si>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</si>
  <si>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</si>
  <si>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</si>
  <si>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</si>
  <si>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</si>
  <si>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</si>
  <si>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</si>
  <si>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</si>
  <si>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</si>
  <si>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</si>
  <si>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</si>
  <si>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</si>
  <si>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</si>
  <si>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</si>
  <si>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</si>
  <si>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</si>
  <si>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</si>
  <si>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</si>
  <si>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</si>
  <si>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</si>
  <si>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</si>
  <si>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</si>
  <si>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</si>
  <si>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</si>
  <si>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</si>
  <si>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</si>
  <si>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</si>
  <si>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</si>
  <si>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</si>
  <si>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</si>
  <si>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</si>
  <si>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</si>
  <si>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</si>
  <si>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</si>
  <si>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</si>
  <si>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</si>
  <si>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</si>
  <si>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</si>
  <si>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</si>
  <si>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</si>
  <si>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</si>
  <si>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</si>
  <si>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</si>
  <si>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</si>
  <si>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</si>
  <si>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</si>
  <si>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</si>
  <si>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</si>
  <si>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</si>
  <si>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</si>
  <si>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</si>
  <si>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</si>
  <si>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</si>
  <si>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</si>
  <si>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</si>
  <si>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</si>
  <si>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</si>
  <si>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</si>
  <si>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</si>
  <si>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</si>
  <si>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</si>
  <si>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</si>
  <si>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</si>
  <si>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</si>
  <si>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</si>
  <si>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</si>
  <si>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</si>
  <si>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</si>
  <si>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</si>
  <si>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</si>
  <si>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</si>
  <si>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</si>
  <si>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</si>
  <si>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</si>
  <si>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</si>
  <si>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</si>
  <si>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</si>
  <si>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</si>
  <si>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</si>
  <si>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</si>
  <si>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</si>
  <si>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</si>
  <si>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</si>
  <si>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</si>
  <si>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</si>
  <si>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</si>
  <si>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</si>
  <si>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</si>
  <si>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</si>
  <si>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</si>
  <si>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</si>
  <si>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</si>
  <si>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</si>
  <si>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</si>
  <si>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</si>
  <si>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</si>
  <si>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</si>
  <si>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</si>
  <si>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</si>
  <si>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</si>
  <si>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</si>
  <si>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</si>
  <si>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</si>
  <si>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</si>
  <si>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</si>
  <si>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</si>
  <si>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</si>
  <si>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</si>
  <si>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</si>
  <si>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</si>
  <si>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</si>
  <si>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</si>
  <si>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</si>
  <si>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</si>
  <si>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</si>
  <si>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</si>
  <si>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</si>
  <si>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</si>
  <si>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</si>
  <si>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</si>
  <si>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</si>
  <si>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</si>
  <si>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</si>
  <si>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</si>
  <si>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</si>
  <si>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</si>
  <si>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</si>
  <si>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</si>
  <si>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</si>
  <si>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</si>
  <si>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</si>
  <si>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</si>
  <si>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</si>
  <si>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</si>
  <si>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</si>
  <si>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</si>
  <si>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</si>
  <si>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</si>
  <si>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</si>
  <si>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</si>
  <si>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</si>
  <si>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</si>
  <si>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</si>
  <si>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</si>
  <si>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</si>
  <si>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</si>
  <si>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</si>
  <si>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</si>
  <si>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</si>
  <si>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</si>
  <si>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</si>
  <si>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</si>
  <si>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</si>
  <si>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</si>
  <si>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</si>
  <si>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</si>
  <si>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</si>
  <si>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</si>
  <si>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</si>
  <si>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</si>
  <si>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</si>
  <si>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</si>
  <si>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</si>
  <si>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</si>
  <si>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</si>
  <si>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</si>
  <si>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</si>
  <si>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</si>
  <si>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</si>
  <si>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</si>
  <si>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</si>
  <si>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</si>
  <si>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</si>
  <si>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</si>
  <si>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</si>
  <si>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</si>
  <si>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</si>
  <si>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</si>
  <si>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</si>
  <si>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</si>
  <si>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</si>
  <si>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</si>
  <si>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</si>
  <si>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</si>
  <si>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</si>
  <si>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</si>
  <si>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</si>
  <si>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</si>
  <si>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</si>
  <si>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</si>
  <si>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</si>
  <si>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</si>
  <si>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</si>
  <si>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</si>
  <si>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</si>
  <si>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</si>
  <si>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</si>
  <si>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</si>
  <si>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</si>
  <si>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</si>
  <si>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</si>
  <si>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</si>
  <si>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</si>
  <si>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</si>
  <si>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</si>
  <si>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</si>
  <si>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</si>
  <si>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</si>
  <si>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</si>
  <si>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</si>
  <si>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</si>
  <si>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</si>
  <si>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</si>
  <si>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</si>
  <si>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</si>
  <si>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</si>
  <si>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</si>
  <si>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</si>
  <si>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</si>
  <si>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</si>
  <si>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</si>
  <si>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</si>
  <si>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</si>
  <si>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</si>
  <si>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</si>
  <si>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</si>
  <si>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</si>
  <si>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</si>
  <si>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</si>
  <si>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</si>
  <si>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</si>
  <si>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</si>
  <si>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</si>
  <si>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</si>
  <si>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</si>
  <si>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</si>
  <si>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</si>
  <si>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</si>
  <si>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</si>
  <si>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</si>
  <si>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</si>
  <si>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</si>
  <si>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</si>
  <si>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</si>
  <si>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</si>
  <si>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</si>
  <si>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</si>
  <si>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</si>
  <si>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</si>
  <si>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</si>
  <si>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</si>
  <si>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</si>
  <si>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</si>
  <si>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</si>
  <si>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</si>
  <si>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</si>
  <si>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</si>
  <si>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</si>
  <si>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</si>
  <si>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</si>
  <si>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</si>
  <si>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</si>
  <si>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</si>
  <si>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</si>
  <si>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</si>
  <si>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</si>
  <si>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</si>
  <si>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</si>
  <si>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</si>
  <si>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</si>
  <si>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</si>
  <si>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</si>
  <si>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</si>
  <si>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</si>
  <si>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</si>
  <si>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</si>
  <si>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</si>
  <si>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</si>
  <si>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</si>
  <si>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</si>
  <si>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</si>
  <si>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</si>
  <si>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</si>
  <si>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</si>
  <si>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</si>
  <si>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</si>
  <si>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</si>
  <si>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</si>
  <si>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</si>
  <si>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</si>
  <si>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</si>
  <si>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</si>
  <si>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</si>
  <si>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</si>
  <si>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</si>
  <si>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</si>
  <si>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</si>
  <si>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</si>
  <si>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</si>
  <si>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</si>
  <si>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</si>
  <si>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</si>
  <si>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</si>
  <si>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</si>
  <si>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</si>
  <si>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</si>
  <si>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</si>
  <si>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</si>
  <si>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</si>
  <si>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</si>
  <si>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</si>
  <si>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</si>
  <si>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</si>
  <si>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</si>
  <si>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</si>
  <si>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</si>
  <si>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</si>
  <si>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</si>
  <si>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</si>
  <si>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</si>
  <si>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</si>
  <si>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</si>
  <si>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</si>
  <si>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</si>
  <si>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</si>
  <si>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</si>
  <si>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</si>
  <si>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</si>
  <si>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</si>
  <si>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</si>
  <si>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</si>
  <si>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</si>
  <si>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</si>
  <si>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</si>
  <si>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</si>
  <si>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</si>
  <si>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</si>
  <si>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</si>
  <si>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</si>
  <si>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</si>
  <si>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</si>
  <si>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</si>
  <si>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</si>
  <si>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</si>
  <si>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</si>
  <si>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</si>
  <si>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</si>
  <si>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</si>
  <si>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</si>
  <si>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</si>
  <si>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</si>
  <si>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</si>
  <si>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</si>
  <si>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</si>
  <si>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</si>
  <si>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</si>
  <si>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</si>
  <si>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</si>
  <si>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</si>
  <si>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</si>
  <si>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</si>
  <si>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</si>
  <si>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</si>
  <si>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</si>
  <si>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</si>
  <si>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</si>
  <si>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</si>
  <si>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</si>
  <si>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</si>
  <si>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</si>
  <si>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</si>
  <si>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</si>
  <si>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</si>
  <si>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</si>
  <si>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</si>
  <si>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</si>
  <si>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</si>
  <si>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</si>
  <si>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</si>
  <si>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</si>
  <si>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</si>
  <si>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</si>
  <si>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</si>
  <si>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</si>
  <si>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</si>
  <si>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</si>
  <si>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</si>
  <si>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</si>
  <si>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</si>
  <si>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</si>
  <si>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</si>
  <si>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</si>
  <si>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</si>
  <si>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</si>
  <si>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</si>
  <si>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</si>
  <si>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</si>
  <si>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</si>
  <si>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</si>
  <si>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</si>
  <si>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</si>
  <si>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</si>
  <si>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</si>
  <si>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</si>
  <si>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</si>
  <si>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</si>
  <si>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</si>
  <si>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</si>
  <si>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</si>
  <si>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</si>
  <si>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</si>
  <si>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</si>
  <si>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</si>
  <si>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</si>
  <si>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</si>
  <si>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</si>
  <si>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</si>
  <si>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</si>
  <si>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</si>
  <si>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</si>
  <si>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</si>
  <si>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</si>
  <si>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</si>
  <si>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</si>
  <si>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</si>
  <si>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</si>
  <si>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</si>
  <si>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</si>
  <si>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</si>
  <si>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</si>
  <si>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</si>
  <si>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</si>
  <si>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</si>
  <si>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</si>
  <si>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</si>
  <si>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</si>
  <si>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</si>
  <si>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</si>
  <si>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</si>
  <si>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</si>
  <si>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</si>
  <si>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</si>
  <si>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</si>
  <si>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</si>
  <si>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</si>
  <si>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</si>
  <si>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</si>
  <si>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</si>
  <si>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</si>
  <si>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</si>
  <si>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</si>
  <si>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</si>
  <si>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</si>
  <si>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</si>
  <si>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</si>
  <si>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</si>
  <si>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</si>
  <si>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</si>
  <si>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</si>
  <si>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</si>
  <si>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</si>
  <si>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</si>
  <si>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</si>
  <si>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</si>
  <si>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</si>
  <si>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</si>
  <si>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</si>
  <si>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</si>
  <si>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</si>
  <si>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</si>
  <si>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</si>
  <si>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</si>
  <si>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</si>
  <si>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</si>
  <si>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</si>
  <si>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</si>
  <si>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</si>
  <si>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</si>
  <si>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</si>
  <si>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</si>
  <si>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</si>
  <si>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</si>
  <si>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</si>
  <si>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</si>
  <si>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</si>
  <si>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</si>
  <si>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</si>
  <si>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</si>
  <si>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</si>
  <si>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</si>
  <si>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</si>
  <si>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</si>
  <si>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</si>
  <si>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</si>
  <si>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</si>
  <si>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</si>
  <si>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</si>
  <si>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</si>
  <si>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</si>
  <si>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</si>
  <si>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</si>
  <si>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</si>
  <si>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</si>
  <si>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</si>
  <si>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</si>
  <si>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</si>
  <si>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</si>
  <si>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</si>
  <si>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</si>
  <si>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</si>
  <si>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</si>
  <si>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</si>
  <si>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</si>
  <si>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</si>
  <si>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</si>
  <si>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</si>
  <si>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</si>
  <si>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</si>
  <si>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</si>
  <si>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</si>
  <si>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</si>
  <si>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</si>
  <si>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</si>
  <si>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</si>
  <si>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</si>
  <si>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</si>
  <si>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</si>
  <si>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</si>
  <si>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</si>
  <si>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</si>
  <si>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</si>
  <si>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</si>
  <si>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</si>
  <si>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</si>
  <si>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</si>
  <si>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</si>
  <si>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</si>
  <si>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</si>
  <si>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</si>
  <si>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</si>
  <si>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</si>
  <si>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</si>
  <si>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</si>
  <si>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</si>
  <si>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</si>
  <si>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</si>
  <si>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</si>
  <si>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</si>
  <si>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</si>
  <si>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</si>
  <si>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</si>
  <si>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</si>
  <si>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</si>
  <si>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</si>
  <si>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</si>
  <si>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</si>
  <si>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</si>
  <si>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</si>
  <si>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</si>
  <si>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</si>
  <si>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</si>
  <si>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</si>
  <si>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</si>
  <si>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</si>
  <si>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</si>
  <si>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</si>
  <si>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</si>
  <si>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</si>
  <si>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</si>
  <si>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</si>
  <si>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</si>
  <si>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</si>
  <si>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</si>
  <si>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</si>
  <si>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</si>
  <si>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</si>
  <si>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</si>
  <si>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</si>
  <si>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</si>
  <si>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</si>
  <si>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</si>
  <si>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</si>
  <si>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</si>
  <si>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</si>
  <si>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</si>
  <si>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</si>
  <si>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</si>
  <si>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</si>
  <si>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</si>
  <si>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</si>
  <si>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</si>
  <si>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</si>
  <si>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</si>
  <si>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</si>
  <si>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</si>
  <si>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</si>
  <si>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</si>
  <si>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</si>
  <si>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</si>
  <si>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</si>
  <si>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</si>
  <si>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</si>
  <si>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</si>
  <si>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</si>
  <si>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</si>
  <si>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</si>
  <si>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</si>
  <si>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</si>
  <si>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</si>
  <si>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</si>
  <si>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</si>
  <si>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</si>
  <si>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</si>
  <si>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</si>
  <si>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</si>
  <si>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</si>
  <si>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</si>
  <si>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</si>
  <si>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</si>
  <si>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</si>
  <si>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</si>
  <si>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</si>
  <si>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</si>
  <si>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</si>
  <si>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</si>
  <si>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</si>
  <si>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</si>
  <si>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</si>
  <si>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</si>
  <si>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</si>
  <si>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</si>
  <si>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</si>
  <si>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</si>
  <si>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</si>
  <si>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</si>
  <si>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</si>
  <si>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</si>
  <si>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</si>
  <si>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</si>
  <si>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</si>
  <si>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</si>
  <si>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</si>
  <si>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</si>
  <si>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</si>
  <si>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</si>
  <si>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</si>
  <si>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</si>
  <si>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</si>
  <si>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</si>
  <si>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</si>
  <si>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</si>
  <si>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</si>
  <si>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</si>
  <si>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</si>
  <si>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</si>
  <si>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</si>
  <si>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</si>
  <si>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</si>
  <si>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</si>
  <si>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</si>
  <si>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</si>
  <si>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</si>
  <si>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</si>
  <si>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</si>
  <si>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</si>
  <si>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</si>
  <si>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</si>
  <si>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</si>
  <si>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</si>
  <si>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</si>
  <si>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</si>
  <si>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</si>
  <si>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</si>
  <si>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</si>
  <si>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</si>
  <si>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</si>
  <si>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</si>
  <si>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</si>
  <si>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</si>
  <si>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</si>
  <si>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</si>
  <si>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</si>
  <si>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</si>
  <si>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</si>
  <si>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</si>
  <si>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</si>
  <si>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</si>
  <si>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</si>
  <si>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</si>
  <si>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</si>
  <si>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</si>
  <si>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</si>
  <si>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</si>
  <si>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</si>
  <si>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</si>
  <si>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</si>
  <si>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</si>
  <si>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</si>
  <si>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</si>
  <si>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</si>
  <si>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</si>
  <si>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</si>
  <si>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</si>
  <si>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</si>
  <si>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</si>
  <si>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</si>
  <si>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</si>
  <si>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</si>
  <si>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</si>
  <si>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</si>
  <si>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</si>
  <si>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</si>
  <si>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</si>
  <si>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</si>
  <si>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</si>
  <si>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</si>
  <si>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</si>
  <si>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</si>
  <si>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</si>
  <si>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</si>
  <si>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</si>
  <si>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</si>
  <si>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</si>
  <si>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</si>
  <si>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</si>
  <si>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</si>
  <si>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</si>
  <si>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</si>
  <si>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</si>
  <si>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</si>
  <si>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</si>
  <si>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</si>
  <si>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</si>
  <si>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</si>
  <si>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</si>
  <si>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</si>
  <si>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</si>
  <si>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</si>
  <si>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</si>
  <si>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</si>
  <si>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</si>
  <si>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</si>
  <si>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</si>
  <si>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</si>
  <si>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</si>
  <si>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</si>
  <si>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</si>
  <si>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</si>
  <si>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</si>
  <si>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</si>
  <si>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</si>
  <si>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</si>
  <si>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</si>
  <si>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</si>
  <si>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</si>
  <si>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</si>
  <si>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</si>
  <si>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</si>
  <si>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</si>
  <si>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</si>
  <si>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</si>
  <si>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</si>
  <si>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</si>
  <si>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</si>
  <si>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</si>
  <si>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</si>
  <si>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</si>
  <si>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</si>
  <si>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</si>
  <si>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</si>
  <si>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</si>
  <si>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</si>
  <si>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</si>
  <si>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</si>
  <si>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</si>
  <si>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</si>
  <si>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</si>
  <si>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</si>
  <si>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</si>
  <si>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</si>
  <si>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</si>
  <si>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</si>
  <si>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</si>
  <si>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</si>
  <si>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</si>
  <si>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</si>
  <si>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</si>
  <si>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</si>
  <si>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</si>
  <si>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</si>
  <si>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</si>
  <si>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</si>
  <si>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</si>
  <si>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</si>
  <si>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</si>
  <si>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</si>
  <si>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</si>
  <si>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</si>
  <si>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</si>
  <si>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</si>
  <si>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</si>
  <si>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</si>
  <si>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</si>
  <si>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</si>
  <si>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</si>
  <si>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</si>
  <si>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</si>
  <si>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</si>
  <si>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</si>
  <si>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</si>
  <si>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</si>
  <si>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</si>
  <si>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</si>
  <si>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</si>
  <si>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</si>
  <si>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</si>
  <si>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</si>
  <si>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</si>
  <si>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</si>
  <si>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</si>
  <si>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</si>
  <si>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</si>
  <si>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</si>
  <si>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</si>
  <si>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</si>
  <si>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</si>
  <si>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</si>
  <si>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</si>
  <si>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</si>
  <si>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</si>
  <si>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</si>
  <si>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</si>
  <si>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</si>
  <si>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</si>
  <si>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</si>
  <si>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</si>
  <si>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</si>
  <si>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</si>
  <si>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</si>
  <si>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</si>
  <si>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</si>
  <si>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</si>
  <si>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</si>
  <si>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</si>
  <si>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</si>
  <si>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</si>
  <si>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</si>
  <si>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</si>
  <si>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</si>
  <si>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</si>
  <si>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</si>
  <si>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</si>
  <si>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</si>
  <si>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</si>
  <si>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</si>
  <si>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</si>
  <si>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</si>
  <si>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</si>
  <si>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</si>
  <si>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</si>
  <si>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</si>
  <si>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</si>
  <si>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</si>
  <si>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</si>
  <si>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</si>
  <si>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</si>
  <si>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</si>
  <si>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</si>
  <si>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</si>
  <si>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</si>
  <si>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</si>
  <si>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</si>
  <si>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</si>
  <si>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</si>
  <si>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</si>
  <si>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</si>
  <si>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</si>
  <si>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</si>
  <si>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</si>
  <si>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</si>
  <si>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</si>
  <si>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</si>
  <si>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</si>
  <si>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</si>
  <si>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</si>
  <si>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</si>
  <si>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</si>
  <si>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</si>
  <si>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</si>
  <si>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</si>
  <si>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</si>
  <si>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</si>
  <si>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</si>
  <si>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</si>
  <si>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</si>
  <si>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</si>
  <si>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</si>
  <si>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</si>
  <si>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</si>
  <si>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</si>
  <si>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</si>
  <si>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</si>
  <si>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</si>
  <si>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</si>
  <si>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</si>
  <si>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</si>
  <si>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</si>
  <si>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</si>
  <si>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</si>
  <si>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</si>
  <si>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</si>
  <si>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</si>
  <si>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</si>
  <si>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</si>
  <si>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</si>
  <si>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</si>
  <si>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</si>
  <si>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</si>
  <si>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</si>
  <si>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</si>
  <si>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</si>
  <si>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</si>
  <si>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</si>
  <si>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</si>
  <si>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</si>
  <si>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</si>
  <si>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</si>
  <si>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</si>
  <si>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</si>
  <si>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</si>
  <si>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</si>
  <si>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</si>
  <si>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</si>
  <si>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</si>
  <si>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</si>
  <si>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</si>
  <si>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</si>
  <si>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</si>
  <si>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</si>
  <si>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</si>
  <si>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</si>
  <si>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</si>
  <si>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</si>
  <si>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</si>
  <si>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</si>
  <si>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</si>
  <si>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</si>
  <si>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</si>
  <si>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</si>
  <si>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</si>
  <si>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</si>
  <si>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</si>
  <si>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</si>
  <si>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</si>
  <si>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</si>
  <si>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</si>
  <si>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</si>
  <si>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</si>
  <si>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</si>
  <si>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</si>
  <si>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</si>
  <si>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</si>
  <si>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</si>
  <si>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</si>
  <si>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</si>
  <si>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</si>
  <si>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</si>
  <si>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</si>
  <si>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</si>
  <si>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</si>
  <si>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</si>
  <si>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</si>
  <si>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</si>
  <si>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</si>
  <si>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</si>
  <si>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</si>
  <si>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</si>
  <si>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</si>
  <si>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</si>
  <si>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</si>
  <si>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</si>
  <si>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</si>
  <si>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</si>
  <si>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</si>
  <si>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</si>
  <si>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</si>
  <si>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</si>
  <si>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</si>
  <si>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</si>
  <si>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</si>
  <si>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</si>
  <si>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</si>
  <si>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</si>
  <si>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</si>
  <si>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</si>
  <si>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</si>
  <si>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</si>
  <si>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</si>
  <si>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</si>
  <si>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</si>
  <si>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</si>
  <si>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</si>
  <si>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</si>
  <si>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</si>
  <si>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</si>
  <si>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</si>
  <si>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</si>
  <si>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</si>
  <si>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</si>
  <si>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</si>
  <si>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</si>
  <si>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</si>
  <si>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</si>
  <si>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</si>
  <si>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</si>
  <si>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</si>
  <si>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</si>
  <si>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</si>
  <si>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</si>
  <si>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</si>
  <si>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</si>
  <si>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</si>
  <si>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</si>
  <si>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</si>
  <si>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</si>
  <si>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</si>
  <si>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</si>
  <si>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</si>
  <si>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</si>
  <si>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</si>
  <si>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</si>
  <si>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</si>
  <si>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</si>
  <si>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</si>
  <si>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</si>
  <si>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</si>
  <si>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</si>
  <si>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</si>
  <si>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</si>
  <si>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</si>
  <si>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</si>
  <si>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</si>
  <si>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</si>
  <si>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</si>
  <si>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</si>
  <si>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</si>
  <si>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</si>
  <si>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</si>
  <si>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</si>
  <si>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</si>
  <si>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</si>
  <si>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</si>
  <si>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</si>
  <si>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</si>
  <si>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</si>
  <si>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</si>
  <si>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</si>
  <si>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</si>
  <si>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</si>
  <si>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</si>
  <si>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</si>
  <si>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</si>
  <si>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</si>
  <si>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</si>
  <si>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</si>
  <si>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</si>
  <si>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</si>
  <si>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</si>
  <si>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</si>
  <si>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</si>
  <si>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</si>
  <si>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</si>
  <si>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</si>
  <si>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</si>
  <si>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</si>
  <si>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</si>
  <si>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</si>
  <si>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</si>
  <si>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</si>
  <si>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</si>
  <si>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</si>
  <si>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</si>
  <si>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</si>
  <si>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</si>
  <si>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</si>
  <si>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</si>
  <si>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</si>
  <si>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</si>
  <si>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</si>
  <si>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</si>
  <si>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</si>
  <si>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</si>
  <si>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</si>
  <si>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</si>
  <si>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</si>
  <si>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</si>
  <si>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</si>
  <si>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</si>
  <si>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</si>
  <si>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</si>
  <si>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</si>
  <si>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</si>
  <si>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</si>
  <si>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</si>
  <si>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</si>
  <si>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</si>
  <si>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</si>
  <si>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</si>
  <si>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</si>
  <si>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</si>
  <si>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</si>
  <si>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</si>
  <si>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</si>
  <si>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</si>
  <si>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</si>
  <si>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</si>
  <si>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</si>
  <si>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</si>
  <si>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</si>
  <si>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</si>
  <si>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</si>
  <si>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</si>
  <si>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</si>
  <si>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</si>
  <si>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</si>
  <si>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</si>
  <si>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</si>
  <si>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</si>
  <si>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</si>
  <si>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</si>
  <si>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</si>
  <si>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</si>
  <si>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</si>
  <si>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</si>
  <si>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</si>
  <si>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</si>
  <si>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</si>
  <si>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</si>
  <si>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</si>
  <si>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</si>
  <si>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</si>
  <si>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</si>
  <si>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</si>
  <si>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</si>
  <si>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</si>
  <si>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</si>
  <si>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</si>
  <si>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</si>
  <si>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</si>
  <si>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</si>
  <si>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</si>
  <si>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</si>
  <si>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</si>
  <si>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</si>
  <si>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</si>
  <si>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</si>
  <si>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</si>
  <si>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</si>
  <si>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</si>
  <si>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</si>
  <si>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</si>
  <si>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</si>
  <si>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</si>
  <si>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</si>
  <si>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</si>
  <si>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</si>
  <si>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</si>
  <si>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</si>
  <si>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</si>
  <si>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</si>
  <si>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</si>
  <si>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</si>
  <si>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</si>
  <si>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</si>
  <si>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</si>
  <si>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</si>
  <si>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</si>
  <si>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</si>
  <si>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</si>
  <si>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</si>
  <si>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</si>
  <si>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</si>
  <si>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</si>
  <si>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</si>
  <si>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</si>
  <si>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</si>
  <si>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</si>
  <si>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</si>
  <si>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</si>
  <si>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</si>
  <si>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</si>
  <si>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</si>
  <si>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</si>
  <si>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</si>
  <si>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</si>
  <si>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</si>
  <si>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</si>
  <si>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</si>
  <si>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</si>
  <si>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</si>
  <si>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</si>
  <si>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</si>
  <si>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</si>
  <si>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</si>
  <si>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</si>
  <si>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</si>
  <si>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</si>
  <si>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</si>
  <si>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</si>
  <si>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</si>
  <si>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</si>
  <si>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</si>
  <si>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</si>
  <si>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</si>
  <si>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</si>
  <si>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</si>
  <si>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</si>
  <si>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</si>
  <si>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</si>
  <si>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</si>
  <si>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</si>
  <si>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</si>
  <si>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</si>
  <si>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</si>
  <si>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</si>
  <si>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</si>
  <si>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</si>
  <si>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</si>
  <si>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</si>
  <si>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</si>
  <si>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</si>
  <si>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</si>
  <si>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</si>
  <si>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</si>
  <si>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</si>
  <si>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</si>
  <si>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</si>
  <si>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</si>
  <si>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</si>
  <si>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</si>
  <si>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</si>
  <si>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</si>
  <si>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</si>
  <si>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</si>
  <si>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</si>
  <si>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</si>
  <si>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</si>
  <si>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</si>
  <si>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</si>
  <si>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</si>
  <si>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</si>
  <si>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</si>
  <si>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</si>
  <si>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</si>
  <si>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</si>
  <si>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</si>
  <si>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</si>
  <si>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</si>
  <si>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</si>
  <si>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</si>
  <si>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</si>
  <si>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</si>
  <si>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</si>
  <si>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</si>
  <si>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</si>
  <si>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</si>
  <si>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</si>
  <si>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</si>
  <si>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</si>
  <si>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</si>
  <si>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</si>
  <si>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</si>
  <si>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</si>
  <si>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</si>
  <si>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</si>
  <si>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</si>
  <si>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</si>
  <si>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</si>
  <si>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</si>
  <si>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</si>
  <si>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</si>
  <si>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</si>
  <si>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</si>
  <si>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</si>
  <si>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</si>
  <si>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</si>
  <si>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</si>
  <si>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</si>
  <si>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</si>
  <si>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</si>
  <si>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</si>
  <si>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</si>
  <si>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</si>
  <si>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</si>
  <si>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</si>
  <si>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</si>
  <si>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</si>
  <si>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</si>
  <si>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</si>
  <si>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</si>
  <si>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</si>
  <si>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</si>
  <si>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</si>
  <si>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</si>
  <si>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</si>
  <si>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</si>
  <si>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</si>
  <si>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</si>
  <si>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</si>
  <si>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</si>
  <si>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</si>
  <si>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</si>
  <si>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</si>
  <si>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</si>
  <si>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</si>
  <si>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</si>
  <si>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</si>
  <si>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</si>
  <si>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</si>
  <si>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</si>
  <si>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</si>
  <si>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</si>
  <si>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</si>
  <si>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</si>
  <si>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</si>
  <si>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</si>
  <si>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</si>
  <si>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</si>
  <si>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</si>
  <si>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</si>
  <si>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</si>
  <si>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</si>
  <si>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</si>
  <si>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</si>
  <si>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</si>
  <si>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</si>
  <si>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</si>
  <si>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</si>
  <si>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</si>
  <si>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</si>
  <si>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</si>
  <si>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</si>
  <si>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</si>
  <si>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</si>
  <si>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</si>
  <si>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</si>
  <si>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</si>
  <si>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</si>
  <si>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</si>
  <si>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</si>
  <si>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</si>
  <si>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</si>
  <si>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</si>
  <si>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</si>
  <si>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</si>
  <si>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</si>
  <si>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</si>
  <si>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</si>
  <si>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</si>
  <si>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</si>
  <si>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</si>
  <si>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</si>
  <si>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</si>
  <si>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</si>
  <si>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</si>
  <si>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</si>
  <si>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</si>
  <si>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</si>
  <si>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</si>
  <si>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</si>
  <si>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</si>
  <si>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</si>
  <si>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</si>
  <si>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</si>
  <si>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</si>
  <si>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</si>
  <si>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</si>
  <si>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</si>
  <si>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</si>
  <si>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</si>
  <si>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</si>
  <si>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</si>
  <si>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</si>
  <si>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</si>
  <si>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</si>
  <si>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</si>
  <si>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</si>
  <si>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</si>
  <si>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</si>
  <si>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</si>
  <si>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</si>
  <si>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</si>
  <si>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</si>
  <si>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</si>
  <si>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</si>
  <si>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</si>
  <si>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</si>
  <si>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</si>
  <si>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</si>
  <si>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</si>
  <si>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</si>
  <si>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</si>
  <si>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</si>
  <si>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</si>
  <si>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</si>
  <si>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</si>
  <si>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</si>
  <si>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</si>
  <si>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</si>
  <si>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</si>
  <si>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</si>
  <si>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</si>
  <si>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</si>
  <si>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</si>
  <si>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</si>
  <si>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</si>
  <si>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</si>
  <si>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</si>
  <si>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</si>
  <si>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</si>
  <si>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</si>
  <si>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</si>
  <si>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</si>
  <si>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</si>
  <si>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</si>
  <si>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</si>
  <si>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</si>
  <si>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</si>
  <si>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</si>
  <si>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</si>
  <si>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</si>
  <si>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</si>
  <si>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</si>
  <si>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</si>
  <si>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</si>
  <si>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</si>
  <si>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</si>
  <si>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</si>
  <si>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</si>
  <si>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</si>
  <si>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</si>
  <si>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</si>
  <si>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</si>
  <si>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</si>
  <si>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</si>
  <si>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</si>
  <si>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</si>
  <si>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</si>
  <si>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</si>
  <si>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</si>
  <si>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</si>
  <si>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</si>
  <si>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</si>
  <si>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</si>
  <si>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</si>
  <si>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</si>
  <si>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</si>
  <si>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</si>
  <si>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</si>
  <si>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</si>
  <si>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</si>
  <si>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</si>
  <si>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</si>
  <si>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</si>
  <si>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</si>
  <si>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</si>
  <si>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</si>
  <si>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</si>
  <si>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</si>
  <si>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</si>
  <si>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</si>
  <si>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</si>
  <si>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</si>
  <si>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</si>
  <si>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</si>
  <si>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</si>
  <si>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</si>
  <si>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</si>
  <si>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</si>
  <si>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</si>
  <si>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</si>
  <si>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</si>
  <si>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</si>
  <si>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</si>
  <si>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</si>
  <si>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</si>
  <si>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</si>
  <si>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</si>
  <si>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</si>
  <si>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</si>
  <si>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</si>
  <si>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</si>
  <si>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</si>
  <si>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</si>
  <si>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</si>
  <si>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</si>
  <si>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</si>
  <si>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</si>
  <si>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</si>
  <si>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</si>
  <si>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</si>
  <si>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</si>
  <si>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</si>
  <si>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</si>
  <si>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</si>
  <si>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</si>
  <si>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</si>
  <si>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</si>
  <si>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</si>
  <si>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</si>
  <si>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</si>
  <si>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</si>
  <si>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</si>
  <si>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</si>
  <si>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</si>
  <si>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</si>
  <si>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</si>
  <si>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</si>
  <si>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</si>
  <si>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</si>
  <si>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</si>
  <si>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</si>
  <si>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</si>
  <si>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</si>
  <si>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</si>
  <si>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</si>
  <si>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</si>
  <si>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</si>
  <si>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</si>
  <si>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</si>
  <si>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</si>
  <si>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</si>
  <si>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</si>
  <si>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</si>
  <si>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</si>
  <si>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</si>
  <si>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</si>
  <si>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</si>
  <si>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</si>
  <si>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</si>
  <si>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</si>
  <si>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</si>
  <si>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</si>
  <si>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</si>
  <si>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</si>
  <si>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</si>
  <si>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</si>
  <si>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</si>
  <si>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</si>
  <si>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</si>
  <si>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</si>
  <si>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</si>
  <si>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</si>
  <si>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</si>
  <si>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</si>
  <si>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</si>
  <si>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</si>
  <si>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</si>
  <si>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</si>
  <si>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</si>
  <si>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</si>
  <si>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</si>
  <si>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</si>
  <si>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</si>
  <si>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</si>
  <si>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</si>
  <si>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</si>
  <si>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</si>
  <si>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</si>
  <si>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</si>
  <si>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</si>
  <si>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</si>
  <si>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</si>
  <si>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</si>
  <si>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</si>
  <si>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</si>
  <si>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</si>
  <si>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</si>
  <si>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</si>
  <si>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</si>
  <si>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</si>
  <si>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</si>
  <si>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</si>
  <si>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</si>
  <si>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</si>
  <si>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</si>
  <si>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</si>
  <si>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</si>
  <si>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</si>
  <si>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</si>
  <si>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</si>
  <si>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</si>
  <si>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</si>
  <si>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</si>
  <si>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</si>
  <si>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</si>
  <si>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</si>
  <si>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</si>
  <si>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</si>
  <si>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</si>
  <si>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</si>
  <si>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</si>
  <si>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</si>
  <si>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</si>
  <si>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</si>
  <si>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</si>
  <si>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</si>
  <si>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</si>
  <si>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</si>
  <si>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</si>
  <si>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</si>
  <si>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</si>
  <si>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</si>
  <si>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</si>
  <si>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</si>
  <si>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</si>
  <si>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</si>
  <si>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</si>
  <si>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</si>
  <si>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</si>
  <si>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</si>
  <si>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</si>
  <si>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</si>
  <si>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</si>
  <si>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</si>
  <si>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</si>
  <si>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</si>
  <si>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</si>
  <si>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</si>
  <si>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</si>
  <si>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</si>
  <si>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</si>
  <si>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</si>
  <si>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</si>
  <si>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</si>
  <si>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</si>
  <si>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</si>
  <si>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</si>
  <si>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</si>
  <si>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</si>
  <si>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</si>
  <si>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</si>
  <si>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</si>
  <si>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</si>
  <si>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</si>
  <si>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</si>
  <si>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</si>
  <si>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</si>
  <si>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</si>
  <si>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</si>
  <si>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</si>
  <si>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</si>
  <si>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</si>
  <si>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</si>
  <si>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</si>
  <si>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</si>
  <si>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</si>
  <si>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</si>
  <si>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</si>
  <si>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</si>
  <si>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</si>
  <si>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</si>
  <si>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</si>
  <si>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</si>
  <si>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</si>
  <si>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</si>
  <si>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</si>
  <si>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</si>
  <si>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</si>
  <si>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</si>
  <si>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</si>
  <si>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</si>
  <si>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</si>
  <si>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</si>
  <si>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</si>
  <si>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</si>
  <si>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</si>
  <si>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</si>
  <si>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</si>
  <si>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</si>
  <si>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</si>
  <si>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</si>
  <si>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</si>
  <si>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</si>
  <si>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</si>
  <si>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</si>
  <si>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</si>
  <si>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</si>
  <si>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</si>
  <si>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</si>
  <si>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</si>
  <si>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</si>
  <si>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</si>
  <si>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</si>
  <si>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</si>
  <si>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</si>
  <si>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</si>
  <si>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</si>
  <si>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</si>
  <si>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</si>
  <si>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</si>
  <si>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</si>
  <si>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</si>
  <si>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</si>
  <si>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</si>
  <si>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</si>
  <si>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</si>
  <si>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</si>
  <si>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</si>
  <si>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</si>
  <si>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</si>
  <si>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</si>
  <si>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</si>
  <si>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</si>
  <si>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</si>
  <si>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</si>
  <si>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</si>
  <si>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</si>
  <si>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</si>
  <si>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</si>
  <si>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</si>
  <si>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</si>
  <si>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</si>
  <si>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</si>
  <si>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</si>
  <si>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</si>
  <si>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</si>
  <si>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</si>
  <si>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</si>
  <si>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</si>
  <si>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</si>
  <si>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</si>
  <si>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</si>
  <si>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</si>
  <si>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</si>
  <si>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</si>
  <si>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</si>
  <si>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</si>
  <si>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</si>
  <si>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</si>
  <si>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</si>
  <si>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</si>
  <si>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</si>
  <si>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</si>
  <si>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</si>
  <si>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</si>
  <si>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</si>
  <si>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</si>
  <si>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</si>
  <si>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</si>
  <si>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</si>
  <si>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</si>
  <si>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</si>
  <si>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</si>
  <si>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</si>
  <si>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</si>
  <si>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</si>
  <si>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</si>
  <si>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</si>
  <si>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</si>
  <si>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</si>
  <si>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</si>
  <si>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</si>
  <si>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</si>
  <si>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</si>
  <si>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</si>
  <si>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</si>
  <si>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</si>
  <si>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</si>
  <si>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</si>
  <si>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</si>
  <si>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</si>
  <si>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</si>
  <si>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</si>
  <si>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</si>
  <si>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</si>
  <si>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</si>
  <si>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</si>
  <si>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</si>
  <si>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</si>
  <si>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</si>
  <si>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</si>
  <si>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</si>
  <si>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</si>
  <si>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</si>
  <si>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</si>
  <si>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</si>
  <si>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</si>
  <si>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</si>
  <si>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</si>
  <si>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</si>
  <si>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</si>
  <si>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</si>
  <si>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</si>
  <si>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</si>
  <si>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</si>
  <si>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</si>
  <si>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</si>
  <si>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</si>
  <si>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</si>
  <si>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</si>
  <si>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</si>
  <si>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</si>
  <si>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</si>
  <si>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</si>
  <si>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</si>
  <si>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</si>
  <si>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</si>
  <si>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</si>
  <si>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</si>
  <si>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</si>
  <si>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</si>
  <si>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</si>
  <si>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</si>
  <si>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</si>
  <si>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</si>
  <si>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</si>
  <si>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</si>
  <si>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</si>
  <si>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</si>
  <si>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</si>
  <si>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</si>
  <si>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</si>
  <si>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</si>
  <si>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</si>
  <si>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</si>
  <si>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</si>
  <si>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</si>
  <si>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</si>
  <si>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</si>
  <si>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</si>
  <si>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</si>
  <si>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</si>
  <si>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</si>
  <si>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</si>
  <si>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</si>
  <si>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</si>
  <si>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</si>
  <si>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</si>
  <si>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</si>
  <si>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</si>
  <si>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</si>
  <si>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</si>
  <si>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</si>
  <si>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</si>
  <si>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</si>
  <si>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</si>
  <si>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</si>
  <si>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</si>
  <si>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</si>
  <si>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</si>
  <si>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</si>
  <si>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</si>
  <si>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</si>
  <si>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</si>
  <si>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</si>
  <si>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</si>
  <si>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</si>
  <si>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</si>
  <si>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</si>
  <si>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</si>
  <si>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</si>
  <si>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</si>
  <si>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</si>
  <si>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</si>
  <si>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</si>
  <si>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</si>
  <si>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</si>
  <si>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</si>
  <si>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</si>
  <si>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</si>
  <si>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</si>
  <si>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</si>
  <si>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</si>
  <si>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</si>
  <si>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</si>
  <si>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</si>
  <si>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</si>
  <si>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</si>
  <si>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</si>
  <si>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</si>
  <si>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</si>
  <si>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</si>
  <si>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</si>
  <si>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</si>
  <si>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</si>
  <si>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</si>
  <si>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</si>
  <si>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</si>
  <si>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</si>
  <si>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</si>
  <si>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</si>
  <si>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</si>
  <si>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</si>
  <si>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</si>
  <si>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</si>
  <si>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</si>
  <si>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</si>
  <si>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</si>
  <si>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</si>
  <si>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</si>
  <si>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</si>
  <si>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</si>
  <si>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</si>
  <si>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</si>
  <si>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</si>
  <si>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</si>
  <si>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</si>
  <si>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</si>
  <si>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</si>
  <si>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</si>
  <si>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</si>
  <si>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</si>
  <si>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</si>
  <si>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</si>
  <si>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</si>
  <si>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</si>
  <si>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</si>
  <si>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</si>
  <si>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</si>
  <si>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</si>
  <si>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</si>
  <si>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</si>
  <si>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</si>
  <si>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</si>
  <si>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</si>
  <si>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</si>
  <si>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</si>
  <si>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</si>
  <si>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</si>
  <si>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</si>
  <si>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</si>
  <si>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</si>
  <si>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</si>
  <si>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</si>
  <si>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</si>
  <si>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</si>
  <si>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</si>
  <si>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</si>
  <si>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</si>
  <si>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</si>
  <si>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</si>
  <si>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</si>
  <si>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</si>
  <si>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</si>
  <si>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</si>
  <si>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</si>
  <si>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</si>
  <si>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</si>
  <si>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</si>
  <si>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</si>
  <si>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</si>
  <si>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</si>
  <si>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</si>
  <si>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</si>
  <si>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</si>
  <si>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</si>
  <si>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</si>
  <si>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</si>
  <si>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</si>
  <si>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</si>
  <si>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</si>
  <si>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</si>
  <si>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</si>
  <si>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</si>
  <si>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</si>
  <si>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</si>
  <si>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</si>
  <si>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</si>
  <si>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</si>
  <si>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</si>
  <si>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</si>
  <si>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</si>
  <si>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</si>
  <si>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</si>
  <si>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</si>
  <si>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</si>
  <si>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</si>
  <si>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</si>
  <si>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</si>
  <si>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</si>
  <si>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</si>
  <si>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</si>
  <si>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</si>
  <si>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</si>
  <si>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</si>
  <si>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</si>
  <si>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</si>
  <si>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</si>
  <si>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</si>
  <si>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</si>
  <si>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</si>
  <si>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</si>
  <si>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</si>
  <si>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</si>
  <si>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</si>
  <si>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</si>
  <si>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</si>
  <si>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</si>
  <si>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</si>
  <si>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</si>
  <si>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</si>
  <si>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</si>
  <si>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</si>
  <si>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</si>
  <si>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</si>
  <si>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</si>
  <si>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</si>
  <si>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</si>
  <si>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</si>
  <si>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</si>
  <si>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</si>
  <si>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</si>
  <si>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</si>
  <si>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</si>
  <si>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</si>
  <si>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</si>
  <si>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</si>
  <si>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</si>
  <si>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</si>
  <si>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</si>
  <si>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</si>
  <si>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</si>
  <si>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</si>
  <si>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</si>
  <si>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</si>
  <si>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</si>
  <si>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</si>
  <si>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</si>
  <si>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</si>
  <si>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</si>
  <si>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</si>
  <si>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</si>
  <si>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</si>
  <si>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</si>
  <si>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</si>
  <si>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</si>
  <si>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</si>
  <si>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</si>
  <si>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</si>
  <si>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</si>
  <si>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</si>
  <si>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</si>
  <si>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</si>
  <si>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</si>
  <si>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</si>
  <si>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</si>
  <si>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</si>
  <si>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</si>
  <si>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</si>
  <si>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</si>
  <si>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</si>
  <si>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</si>
  <si>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</si>
  <si>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</si>
  <si>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</si>
  <si>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</si>
  <si>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</si>
  <si>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</si>
  <si>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</si>
  <si>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</si>
  <si>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</si>
  <si>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</si>
  <si>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</si>
  <si>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</si>
  <si>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</si>
  <si>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</si>
  <si>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</si>
  <si>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</si>
  <si>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</si>
  <si>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</si>
  <si>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</si>
  <si>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</si>
  <si>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</si>
  <si>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</si>
  <si>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</si>
  <si>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</si>
  <si>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</si>
  <si>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</si>
  <si>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</si>
  <si>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</si>
  <si>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</si>
  <si>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</si>
  <si>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</si>
  <si>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</si>
  <si>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</si>
  <si>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</si>
  <si>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</si>
  <si>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</si>
  <si>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</si>
  <si>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</si>
  <si>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</si>
  <si>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</si>
  <si>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</si>
  <si>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</si>
  <si>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</si>
  <si>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</si>
  <si>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</si>
  <si>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</si>
  <si>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</si>
  <si>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</si>
  <si>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</si>
  <si>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</si>
  <si>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</si>
  <si>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</si>
  <si>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</si>
  <si>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</si>
  <si>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</si>
  <si>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</si>
  <si>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</si>
  <si>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</si>
  <si>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</si>
  <si>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</si>
  <si>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</si>
  <si>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</si>
  <si>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</si>
  <si>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</si>
  <si>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</si>
  <si>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</si>
  <si>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</si>
  <si>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</si>
  <si>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</si>
  <si>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</si>
  <si>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</si>
  <si>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</si>
  <si>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</si>
  <si>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</si>
  <si>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</si>
  <si>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</si>
  <si>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</si>
  <si>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</si>
  <si>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</si>
  <si>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</si>
  <si>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</si>
  <si>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</si>
  <si>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</si>
  <si>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</si>
  <si>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</si>
  <si>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</si>
  <si>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</si>
  <si>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</si>
  <si>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</si>
  <si>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</si>
  <si>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</si>
  <si>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</si>
  <si>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</si>
  <si>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</si>
  <si>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</si>
  <si>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</si>
  <si>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</si>
  <si>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</si>
  <si>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</si>
  <si>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</si>
  <si>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</si>
  <si>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</si>
  <si>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</si>
  <si>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</si>
  <si>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</si>
  <si>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</si>
  <si>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</si>
  <si>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</si>
  <si>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</si>
  <si>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</si>
  <si>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</si>
  <si>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</si>
  <si>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</si>
  <si>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</si>
  <si>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</si>
  <si>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</si>
  <si>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</si>
  <si>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</si>
  <si>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</si>
  <si>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</si>
  <si>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</si>
  <si>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</si>
  <si>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</si>
  <si>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</si>
  <si>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</si>
  <si>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</si>
  <si>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</si>
  <si>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</si>
  <si>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</si>
  <si>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</si>
  <si>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</si>
  <si>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</si>
  <si>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</si>
  <si>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</si>
  <si>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</si>
  <si>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</si>
  <si>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</si>
  <si>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</si>
  <si>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</si>
  <si>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</si>
  <si>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</si>
  <si>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</si>
  <si>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</si>
  <si>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</si>
  <si>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</si>
  <si>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</si>
  <si>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</si>
  <si>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</si>
  <si>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</si>
  <si>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</si>
  <si>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</si>
  <si>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</si>
  <si>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</si>
  <si>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</si>
  <si>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</si>
  <si>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</si>
  <si>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</si>
  <si>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</si>
  <si>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</si>
  <si>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</si>
  <si>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</si>
  <si>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</si>
  <si>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</si>
  <si>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</si>
  <si>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</si>
  <si>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</si>
  <si>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</si>
  <si>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</si>
  <si>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</si>
  <si>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</si>
  <si>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</si>
  <si>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</si>
  <si>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</si>
  <si>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</si>
  <si>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</si>
  <si>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</si>
  <si>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</si>
  <si>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</si>
  <si>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</si>
  <si>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</si>
  <si>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</si>
  <si>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</si>
  <si>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</si>
  <si>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</si>
  <si>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</si>
  <si>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</si>
  <si>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</si>
  <si>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</si>
  <si>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</si>
  <si>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</si>
  <si>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</si>
  <si>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</si>
  <si>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</si>
  <si>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</si>
  <si>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</si>
  <si>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</si>
  <si>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</si>
  <si>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</si>
  <si>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</si>
  <si>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</si>
  <si>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</si>
  <si>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</si>
  <si>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</si>
  <si>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</si>
  <si>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</si>
  <si>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</si>
  <si>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</si>
  <si>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</si>
  <si>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</si>
  <si>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</si>
  <si>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</si>
  <si>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</si>
  <si>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</si>
  <si>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</si>
  <si>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</si>
  <si>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</si>
  <si>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</si>
  <si>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</si>
  <si>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</si>
  <si>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</si>
  <si>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</si>
  <si>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</si>
  <si>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</si>
  <si>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</si>
  <si>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</si>
  <si>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</si>
  <si>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</si>
  <si>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</si>
  <si>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</si>
  <si>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</si>
  <si>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</si>
  <si>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</si>
  <si>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</si>
  <si>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</si>
  <si>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</si>
  <si>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</si>
  <si>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</si>
  <si>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</si>
  <si>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</si>
  <si>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</si>
  <si>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</si>
  <si>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</si>
  <si>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</si>
  <si>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</si>
  <si>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</si>
  <si>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</si>
  <si>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</si>
  <si>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</si>
  <si>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</si>
  <si>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</si>
  <si>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</si>
  <si>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</si>
  <si>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</si>
  <si>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</si>
  <si>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</si>
  <si>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</si>
  <si>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</si>
  <si>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</si>
  <si>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</si>
  <si>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</si>
  <si>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</si>
  <si>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</si>
  <si>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</si>
  <si>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</si>
  <si>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</si>
  <si>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</si>
  <si>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</si>
  <si>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</si>
  <si>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</si>
  <si>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</si>
  <si>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</si>
  <si>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</si>
  <si>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</si>
  <si>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</si>
  <si>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</si>
  <si>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</si>
  <si>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</si>
  <si>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</si>
  <si>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</si>
  <si>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</si>
  <si>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</si>
  <si>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</si>
  <si>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</si>
  <si>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</si>
  <si>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</si>
  <si>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</si>
  <si>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</si>
  <si>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</si>
  <si>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</si>
  <si>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</si>
  <si>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</si>
  <si>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</si>
  <si>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</si>
  <si>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</si>
  <si>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</si>
  <si>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</si>
  <si>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</si>
  <si>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</si>
  <si>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</si>
  <si>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</si>
  <si>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</si>
  <si>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</si>
  <si>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</si>
  <si>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</si>
  <si>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</si>
  <si>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</si>
  <si>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</si>
  <si>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</si>
  <si>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</si>
  <si>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</si>
  <si>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</si>
  <si>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</si>
  <si>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</si>
  <si>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</si>
  <si>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</si>
  <si>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</si>
  <si>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</si>
  <si>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</si>
  <si>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</si>
  <si>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</si>
  <si>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</si>
  <si>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</si>
  <si>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</si>
  <si>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</si>
  <si>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</si>
  <si>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</si>
  <si>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</si>
  <si>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</si>
  <si>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</si>
  <si>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</si>
  <si>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</si>
  <si>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</si>
  <si>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</si>
  <si>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</si>
  <si>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</si>
  <si>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</si>
  <si>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</si>
  <si>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</si>
  <si>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</si>
  <si>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</si>
  <si>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</si>
  <si>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</si>
  <si>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</si>
  <si>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</si>
  <si>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</si>
  <si>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</si>
  <si>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</si>
  <si>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</si>
  <si>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</si>
  <si>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</si>
  <si>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</si>
  <si>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</si>
  <si>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</si>
  <si>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</si>
  <si>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</si>
  <si>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</si>
  <si>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</si>
  <si>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</si>
  <si>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</si>
  <si>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</si>
  <si>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</si>
  <si>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</si>
  <si>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</si>
  <si>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</si>
  <si>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</si>
  <si>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</si>
  <si>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</si>
  <si>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</si>
  <si>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</si>
  <si>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</si>
  <si>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</si>
  <si>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</si>
  <si>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</si>
  <si>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</si>
  <si>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</si>
  <si>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</si>
  <si>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</si>
  <si>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</si>
  <si>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</si>
  <si>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</si>
  <si>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</si>
  <si>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</si>
  <si>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</si>
  <si>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</si>
  <si>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</si>
  <si>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</si>
  <si>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</si>
  <si>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</si>
  <si>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</si>
  <si>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</si>
  <si>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</si>
  <si>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</si>
  <si>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</si>
  <si>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</si>
  <si>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</si>
  <si>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</si>
  <si>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</si>
  <si>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</si>
  <si>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</si>
  <si>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</si>
  <si>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</si>
  <si>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</si>
  <si>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</si>
  <si>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</si>
  <si>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</si>
  <si>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</si>
  <si>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</si>
  <si>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</si>
  <si>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</si>
  <si>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</si>
  <si>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</si>
  <si>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</si>
  <si>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</si>
  <si>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</si>
  <si>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</si>
  <si>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</si>
  <si>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</si>
  <si>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</si>
  <si>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</si>
  <si>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</si>
  <si>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</si>
  <si>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</si>
  <si>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</si>
  <si>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</si>
  <si>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</si>
  <si>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</si>
  <si>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</si>
  <si>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</si>
  <si>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</si>
  <si>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</si>
  <si>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</si>
  <si>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</si>
  <si>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</si>
  <si>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</si>
  <si>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</si>
  <si>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</si>
  <si>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</si>
  <si>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</si>
  <si>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</si>
  <si>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</si>
  <si>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</si>
  <si>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</si>
  <si>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</si>
  <si>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</si>
  <si>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</si>
  <si>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</si>
  <si>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</si>
  <si>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</si>
  <si>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</si>
  <si>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</si>
  <si>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</si>
  <si>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</si>
  <si>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</si>
  <si>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</si>
  <si>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</si>
  <si>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</si>
  <si>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</si>
  <si>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</si>
  <si>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</si>
  <si>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</si>
  <si>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</si>
  <si>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</si>
  <si>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</si>
  <si>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</si>
  <si>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</si>
  <si>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</si>
  <si>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</si>
  <si>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</si>
  <si>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</si>
  <si>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</si>
  <si>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</si>
  <si>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</si>
  <si>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</si>
  <si>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</si>
  <si>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</si>
  <si>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</si>
  <si>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</si>
  <si>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</si>
  <si>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</si>
  <si>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</si>
  <si>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</si>
  <si>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</si>
  <si>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</si>
  <si>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</si>
  <si>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</si>
  <si>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</si>
  <si>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</si>
  <si>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</si>
  <si>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</si>
  <si>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</si>
  <si>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</si>
  <si>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</si>
  <si>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</si>
  <si>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</si>
  <si>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</si>
  <si>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</si>
  <si>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</si>
  <si>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</si>
  <si>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</si>
  <si>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</si>
  <si>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</si>
  <si>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</si>
  <si>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</si>
  <si>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</si>
  <si>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</si>
  <si>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</si>
  <si>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</si>
  <si>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</si>
  <si>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</si>
  <si>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</si>
  <si>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</si>
  <si>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</si>
  <si>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</si>
  <si>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</si>
  <si>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</si>
  <si>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</si>
  <si>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</si>
  <si>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</si>
  <si>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</si>
  <si>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</si>
  <si>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</si>
  <si>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</si>
  <si>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</si>
  <si>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</si>
  <si>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</si>
  <si>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</si>
  <si>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</si>
  <si>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</si>
  <si>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</si>
  <si>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</si>
  <si>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</si>
  <si>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</si>
  <si>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</si>
  <si>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</si>
  <si>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</si>
  <si>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</si>
  <si>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</si>
  <si>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</si>
  <si>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</si>
  <si>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</si>
  <si>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</si>
  <si>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</si>
  <si>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</si>
  <si>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</si>
  <si>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</si>
  <si>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</si>
  <si>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</si>
  <si>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</si>
  <si>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</si>
  <si>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</si>
  <si>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</si>
  <si>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</si>
  <si>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</si>
  <si>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</si>
  <si>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</si>
  <si>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</si>
  <si>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</si>
  <si>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</si>
  <si>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</si>
  <si>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</si>
  <si>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</si>
  <si>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</si>
  <si>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</si>
  <si>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</si>
  <si>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</si>
  <si>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</si>
  <si>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</si>
  <si>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</si>
  <si>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</si>
  <si>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</si>
  <si>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</si>
  <si>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</si>
  <si>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</si>
  <si>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</si>
  <si>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</si>
  <si>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</si>
  <si>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</si>
  <si>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</si>
  <si>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</si>
  <si>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</si>
  <si>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</si>
  <si>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</si>
  <si>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</si>
  <si>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</si>
  <si>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</si>
  <si>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</si>
  <si>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</si>
  <si>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</si>
  <si>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</si>
  <si>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</si>
  <si>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</si>
  <si>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</si>
  <si>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</si>
  <si>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</si>
  <si>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</si>
  <si>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</si>
  <si>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</si>
  <si>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</si>
  <si>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</si>
  <si>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</si>
  <si>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</si>
  <si>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</si>
  <si>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</si>
  <si>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</si>
  <si>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</si>
  <si>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</si>
  <si>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</si>
  <si>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</si>
  <si>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</si>
  <si>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</si>
  <si>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</si>
  <si>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</si>
  <si>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</si>
  <si>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</si>
  <si>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</si>
  <si>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</si>
  <si>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</si>
  <si>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</si>
  <si>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</si>
  <si>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</si>
  <si>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</si>
  <si>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</si>
  <si>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</si>
  <si>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</si>
  <si>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</si>
  <si>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</si>
  <si>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</si>
  <si>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</si>
  <si>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</si>
  <si>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</si>
  <si>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</si>
  <si>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</si>
  <si>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</si>
  <si>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</si>
  <si>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</si>
  <si>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</si>
  <si>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</si>
  <si>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</si>
  <si>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</si>
  <si>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</si>
  <si>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</si>
  <si>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</si>
  <si>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</si>
  <si>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</si>
  <si>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</si>
  <si>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</si>
  <si>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</si>
  <si>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</si>
  <si>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</si>
  <si>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</si>
  <si>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</si>
  <si>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</si>
  <si>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</si>
  <si>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</si>
  <si>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</si>
  <si>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</si>
  <si>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</si>
  <si>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</si>
  <si>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</si>
  <si>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</si>
  <si>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</si>
  <si>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</si>
  <si>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</si>
  <si>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</si>
  <si>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</si>
  <si>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</si>
  <si>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</si>
  <si>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</si>
  <si>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</si>
  <si>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</si>
  <si>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</si>
  <si>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</si>
  <si>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</si>
  <si>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</si>
  <si>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</si>
  <si>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</si>
  <si>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</si>
  <si>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</si>
  <si>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</si>
  <si>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</si>
  <si>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</si>
  <si>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</si>
  <si>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</si>
  <si>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</si>
  <si>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</si>
  <si>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</si>
  <si>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</si>
  <si>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</si>
  <si>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</si>
  <si>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</si>
  <si>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</si>
  <si>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</si>
  <si>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</si>
  <si>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</si>
  <si>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</si>
  <si>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</si>
  <si>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</si>
  <si>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</si>
  <si>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</si>
  <si>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</si>
  <si>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</si>
  <si>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</si>
  <si>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</si>
  <si>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</si>
  <si>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</si>
  <si>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</si>
  <si>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</si>
  <si>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</si>
  <si>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</si>
  <si>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</si>
  <si>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</si>
  <si>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</si>
  <si>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</si>
  <si>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</si>
  <si>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</si>
  <si>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</si>
  <si>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</si>
  <si>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</si>
  <si>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</si>
  <si>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</si>
  <si>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</si>
  <si>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</si>
  <si>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</si>
  <si>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</si>
  <si>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</si>
  <si>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</si>
  <si>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</si>
  <si>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</si>
  <si>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</si>
  <si>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</si>
  <si>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</si>
  <si>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</si>
  <si>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</si>
  <si>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</si>
  <si>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</si>
  <si>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</si>
  <si>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</si>
  <si>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</si>
  <si>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</si>
  <si>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</si>
  <si>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</si>
  <si>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</si>
  <si>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</si>
  <si>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</si>
  <si>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</si>
  <si>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</si>
  <si>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</si>
  <si>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</si>
  <si>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</si>
  <si>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</si>
  <si>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</si>
  <si>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</si>
  <si>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</si>
  <si>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</si>
  <si>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</si>
  <si>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</si>
  <si>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</si>
  <si>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</si>
  <si>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</si>
  <si>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</si>
  <si>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</si>
  <si>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</si>
  <si>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</si>
  <si>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</si>
  <si>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</si>
  <si>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</si>
  <si>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</si>
  <si>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</si>
  <si>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</si>
  <si>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</si>
  <si>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</si>
  <si>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</si>
  <si>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</si>
  <si>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</si>
  <si>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</si>
  <si>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</si>
  <si>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</si>
  <si>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</si>
  <si>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</si>
  <si>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</si>
  <si>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</si>
  <si>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</si>
  <si>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</si>
  <si>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</si>
  <si>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</si>
  <si>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</si>
  <si>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</si>
  <si>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</si>
  <si>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</si>
  <si>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</si>
  <si>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</si>
  <si>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</si>
  <si>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</si>
  <si>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</si>
  <si>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</si>
  <si>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</si>
  <si>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</si>
  <si>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</si>
  <si>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</si>
  <si>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</si>
  <si>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</si>
  <si>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</si>
  <si>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</si>
  <si>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</si>
  <si>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</si>
  <si>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</si>
  <si>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</si>
  <si>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</si>
  <si>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</si>
  <si>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</si>
  <si>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</si>
  <si>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</si>
  <si>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</si>
  <si>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</si>
  <si>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</si>
  <si>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</si>
  <si>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</si>
  <si>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</si>
  <si>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</si>
  <si>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</si>
  <si>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</si>
  <si>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</si>
  <si>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</si>
  <si>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</si>
  <si>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</si>
  <si>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</si>
  <si>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</si>
  <si>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</si>
  <si>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</si>
  <si>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</si>
  <si>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</si>
  <si>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</si>
  <si>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</si>
  <si>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</si>
  <si>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</si>
  <si>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</si>
  <si>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</si>
  <si>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</si>
  <si>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</si>
  <si>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</si>
  <si>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</si>
  <si>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</si>
  <si>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</si>
  <si>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</si>
  <si>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</si>
  <si>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</si>
  <si>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</si>
  <si>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</si>
  <si>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</si>
  <si>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</si>
  <si>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</si>
  <si>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</si>
  <si>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</si>
  <si>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</si>
  <si>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</si>
  <si>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</si>
  <si>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</si>
  <si>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</si>
  <si>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</si>
  <si>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</si>
  <si>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</si>
  <si>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</si>
  <si>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</si>
  <si>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</si>
  <si>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</si>
  <si>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</si>
  <si>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</si>
  <si>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</si>
  <si>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</si>
  <si>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</si>
  <si>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</si>
  <si>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</si>
  <si>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</si>
  <si>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</si>
  <si>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</si>
  <si>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</si>
  <si>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</si>
  <si>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</si>
  <si>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</si>
  <si>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</si>
  <si>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</si>
  <si>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</si>
  <si>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</si>
  <si>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</si>
  <si>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</si>
  <si>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</si>
  <si>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</si>
  <si>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</si>
  <si>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</si>
  <si>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</si>
  <si>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</si>
  <si>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</si>
  <si>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</si>
  <si>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</si>
  <si>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</si>
  <si>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</si>
  <si>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</si>
  <si>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</si>
  <si>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</si>
  <si>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</si>
  <si>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</si>
  <si>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</si>
  <si>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</si>
  <si>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</si>
  <si>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</si>
  <si>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</si>
  <si>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</si>
  <si>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</si>
  <si>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</si>
  <si>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</si>
  <si>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</si>
  <si>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</si>
  <si>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</si>
  <si>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</si>
  <si>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</si>
  <si>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</si>
  <si>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</si>
  <si>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</si>
  <si>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</si>
  <si>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</si>
  <si>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</si>
  <si>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</si>
  <si>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</si>
  <si>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</si>
  <si>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</si>
  <si>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</si>
  <si>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</si>
  <si>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</si>
  <si>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</si>
  <si>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</si>
  <si>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</si>
  <si>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</si>
  <si>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</si>
  <si>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</si>
  <si>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</si>
  <si>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</si>
  <si>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</si>
  <si>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</si>
  <si>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</si>
  <si>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</si>
  <si>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</si>
  <si>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</si>
  <si>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</si>
  <si>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</si>
  <si>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</si>
  <si>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</si>
  <si>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</si>
  <si>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</si>
  <si>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</si>
  <si>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</si>
  <si>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</si>
  <si>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</si>
  <si>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</si>
  <si>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</si>
  <si>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</si>
  <si>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</si>
  <si>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</si>
  <si>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</si>
  <si>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</si>
  <si>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</si>
  <si>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</si>
  <si>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</si>
  <si>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</si>
  <si>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</si>
  <si>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</si>
  <si>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</si>
  <si>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</si>
  <si>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</si>
  <si>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</si>
  <si>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</si>
  <si>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</si>
  <si>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</si>
  <si>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</si>
  <si>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</si>
  <si>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</si>
  <si>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</si>
  <si>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</si>
  <si>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</si>
  <si>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</si>
  <si>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</si>
  <si>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</si>
  <si>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</si>
  <si>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</si>
  <si>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</si>
  <si>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</si>
  <si>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</si>
  <si>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</si>
  <si>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</si>
  <si>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</si>
  <si>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</si>
  <si>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</si>
  <si>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</si>
  <si>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</si>
  <si>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</si>
  <si>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</si>
  <si>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</si>
  <si>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</si>
  <si>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</si>
  <si>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</si>
  <si>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</si>
  <si>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</si>
  <si>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</si>
  <si>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</si>
  <si>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</si>
  <si>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</si>
  <si>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</si>
  <si>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</si>
  <si>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</si>
  <si>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</si>
  <si>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</si>
  <si>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</si>
  <si>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</si>
  <si>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</si>
  <si>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</si>
  <si>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</si>
  <si>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</si>
  <si>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</si>
  <si>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</si>
  <si>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</si>
  <si>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</si>
  <si>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</si>
  <si>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</si>
  <si>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</si>
  <si>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</si>
  <si>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</si>
  <si>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</si>
  <si>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</si>
  <si>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</si>
  <si>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</si>
  <si>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</si>
  <si>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</si>
  <si>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</si>
  <si>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</si>
  <si>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</si>
  <si>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</si>
  <si>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</si>
  <si>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</si>
  <si>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</si>
  <si>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</si>
  <si>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</si>
  <si>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</si>
  <si>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</si>
  <si>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</si>
  <si>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</si>
  <si>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</si>
  <si>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</si>
  <si>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</si>
  <si>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</si>
  <si>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</si>
  <si>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</si>
  <si>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</si>
  <si>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</si>
  <si>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</si>
  <si>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</si>
  <si>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</si>
  <si>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</si>
  <si>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</si>
  <si>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</si>
  <si>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</si>
  <si>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</si>
  <si>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</si>
  <si>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</si>
  <si>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</si>
  <si>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</si>
  <si>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</si>
  <si>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</si>
  <si>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</si>
  <si>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</si>
  <si>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</si>
  <si>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</si>
  <si>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</si>
  <si>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</si>
  <si>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</si>
  <si>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</si>
  <si>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</si>
  <si>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</si>
  <si>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</si>
  <si>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</si>
  <si>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</si>
  <si>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</si>
  <si>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</si>
  <si>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</si>
  <si>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</si>
  <si>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</si>
  <si>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</si>
  <si>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</si>
  <si>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</si>
  <si>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</si>
  <si>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</si>
  <si>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</si>
  <si>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</si>
  <si>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</si>
  <si>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</si>
  <si>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</si>
  <si>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</si>
  <si>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</si>
  <si>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</si>
  <si>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</si>
  <si>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</si>
  <si>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</si>
  <si>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</si>
  <si>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</si>
  <si>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</si>
  <si>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</si>
  <si>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</si>
  <si>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</si>
  <si>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</si>
  <si>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</si>
  <si>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</si>
  <si>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</si>
  <si>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</si>
  <si>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</si>
  <si>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</si>
  <si>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</si>
  <si>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</si>
  <si>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</si>
  <si>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</si>
  <si>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</si>
  <si>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</si>
  <si>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</si>
  <si>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</si>
  <si>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</si>
  <si>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</si>
  <si>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</si>
  <si>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</si>
  <si>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</si>
  <si>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</si>
  <si>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</si>
  <si>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</si>
  <si>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</si>
  <si>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</si>
  <si>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</si>
  <si>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</si>
  <si>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</si>
  <si>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</si>
  <si>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</si>
  <si>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</si>
  <si>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</si>
  <si>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</si>
  <si>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</si>
  <si>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</si>
  <si>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</si>
  <si>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</si>
  <si>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</si>
  <si>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</si>
  <si>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</si>
  <si>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</si>
  <si>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</si>
  <si>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</si>
  <si>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</si>
  <si>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</si>
  <si>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</si>
  <si>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</si>
  <si>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</si>
  <si>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</si>
  <si>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</si>
  <si>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</si>
  <si>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</si>
  <si>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</si>
  <si>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</si>
  <si>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</si>
  <si>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</si>
  <si>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</si>
  <si>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</si>
  <si>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</si>
  <si>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</si>
  <si>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</si>
  <si>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</si>
  <si>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</si>
  <si>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</si>
  <si>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</si>
  <si>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</si>
  <si>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</si>
  <si>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</si>
  <si>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</si>
  <si>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</si>
  <si>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</si>
  <si>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</si>
  <si>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</si>
  <si>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</si>
  <si>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</si>
  <si>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</si>
  <si>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</si>
  <si>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</si>
  <si>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</si>
  <si>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</si>
  <si>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</si>
  <si>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</si>
  <si>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</si>
  <si>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</si>
  <si>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</si>
  <si>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</si>
  <si>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</si>
  <si>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</si>
  <si>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</si>
  <si>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</si>
  <si>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</si>
  <si>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</si>
  <si>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</si>
  <si>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</si>
  <si>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</si>
  <si>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</si>
  <si>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</si>
  <si>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</si>
  <si>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</si>
  <si>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</si>
  <si>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</si>
  <si>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</si>
  <si>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</si>
  <si>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</si>
  <si>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</si>
  <si>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</si>
  <si>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</si>
  <si>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</si>
  <si>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</si>
  <si>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</si>
  <si>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</si>
  <si>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</si>
  <si>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</si>
  <si>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</si>
  <si>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</si>
  <si>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</si>
  <si>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</si>
  <si>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</si>
  <si>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</si>
  <si>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</si>
  <si>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</si>
  <si>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</si>
  <si>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</si>
  <si>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</si>
  <si>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</si>
  <si>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</si>
  <si>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</si>
  <si>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</si>
  <si>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</si>
  <si>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</si>
  <si>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</si>
  <si>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</si>
  <si>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</si>
  <si>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</si>
  <si>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</si>
  <si>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</si>
  <si>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</si>
  <si>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</si>
  <si>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</si>
  <si>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</si>
  <si>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</si>
  <si>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</si>
  <si>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</si>
  <si>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</si>
  <si>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</si>
  <si>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</si>
  <si>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</si>
  <si>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</si>
  <si>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</si>
  <si>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</si>
  <si>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</si>
  <si>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</si>
  <si>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</si>
  <si>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</si>
  <si>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</si>
  <si>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</si>
  <si>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</si>
  <si>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</si>
  <si>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</si>
  <si>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</si>
  <si>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</si>
  <si>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</si>
  <si>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</si>
  <si>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</si>
  <si>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</si>
  <si>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</si>
  <si>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</si>
  <si>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</si>
  <si>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</si>
  <si>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</si>
  <si>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</si>
  <si>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</si>
  <si>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</si>
  <si>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</si>
  <si>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</si>
  <si>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</si>
  <si>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</si>
  <si>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</si>
  <si>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</si>
  <si>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</si>
  <si>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</si>
  <si>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</si>
  <si>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</si>
  <si>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</si>
  <si>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</si>
  <si>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</si>
  <si>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</si>
  <si>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</si>
  <si>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</si>
  <si>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</si>
  <si>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</si>
  <si>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</si>
  <si>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</si>
  <si>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</si>
  <si>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</si>
  <si>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</si>
  <si>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</si>
  <si>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</si>
  <si>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</si>
  <si>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</si>
  <si>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</si>
  <si>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</si>
  <si>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</si>
  <si>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</si>
  <si>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</si>
  <si>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</si>
  <si>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</si>
  <si>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</si>
  <si>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</si>
  <si>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</si>
  <si>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</si>
  <si>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</si>
  <si>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</si>
  <si>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</si>
  <si>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</si>
  <si>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收益法</t>
  </si>
  <si>
    <t>数码大厦</t>
    <phoneticPr fontId="3" type="noConversion"/>
  </si>
  <si>
    <t>情况3</t>
  </si>
  <si>
    <t>自行开发建设</t>
  </si>
  <si>
    <t>天作国际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</si>
</sst>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估价对象为北京市房地产，为所有。根据《国有土地使用证》[]，估价对象（分摊）出让国有建设用地使用权面积为12.5平方米，建筑面积为105.71平方米。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估价对象为北京市房地产,属开发建设的办公项目，该项目尚在开发建设中。根据《国有土地使用证》[]，估价对象（分摊）出让国有建设用地使用权面积为12.5平方米，规划建筑面积为105.71平方米。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2023年10月31日</v>
      </c>
    </row>
    <row r="13" spans="1:2" s="1201" customFormat="1">
      <c r="A13" s="1199" t="s">
        <v>529</v>
      </c>
      <c r="B13" s="1200"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398</v>
      </c>
    </row>
    <row r="21" spans="1:2" s="1201" customFormat="1">
      <c r="A21" s="1199" t="s">
        <v>537</v>
      </c>
      <c r="B21" s="1200">
        <f ca="1">'预评函-2'!D7</f>
        <v>37627</v>
      </c>
    </row>
    <row r="22" spans="1:2" s="1201" customFormat="1">
      <c r="A22" s="1199" t="s">
        <v>538</v>
      </c>
      <c r="B22" s="1200" t="str">
        <f ca="1">'预评函-2'!D6</f>
        <v>叁佰玖拾捌万元整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398</v>
      </c>
    </row>
    <row r="31" spans="1:2" s="1201" customFormat="1">
      <c r="A31" s="1199" t="s">
        <v>576</v>
      </c>
      <c r="B31" s="1200">
        <f ca="1">'预评函-2'!D15</f>
        <v>37627</v>
      </c>
    </row>
    <row r="32" spans="1:2" s="1201" customFormat="1">
      <c r="A32" s="1199" t="s">
        <v>543</v>
      </c>
      <c r="B32" s="1200" t="str">
        <f ca="1">'预评函-2'!D14</f>
        <v>叁佰玖拾捌万元整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105.71</v>
      </c>
    </row>
    <row r="44" spans="1:2" s="1201" customFormat="1">
      <c r="A44" s="1199" t="s">
        <v>575</v>
      </c>
      <c r="B44" s="1200" t="str">
        <f>'预评函-3'!C2</f>
        <v>(分摊)土地面积</v>
      </c>
    </row>
    <row r="45" spans="1:2" s="1201" customFormat="1">
      <c r="A45" s="1199" t="s">
        <v>547</v>
      </c>
      <c r="B45" s="1200">
        <f>'预评函-3'!C4</f>
        <v>12.5</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13.14</v>
      </c>
      <c r="D6" s="3023">
        <f>IF(ISERROR(ROUND(POWER(1+E6,A6-C6)*(POWER(1+E6,C6)-1)/(POWER(1+E6,A6)-1),3)),0,ROUND(POWER(1+E6,A6-C6)*(POWER(1+E6,C6)-1)/(POWER(1+E6,A6)-1),4))</f>
        <v>0.46870000000000001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4" sqref="E4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497"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498"/>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52358</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19.52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4"/>
      <c r="C16" s="3505"/>
      <c r="D16" s="3506"/>
      <c r="E16" s="2411" t="s">
        <v>2193</v>
      </c>
      <c r="F16" s="3507"/>
      <c r="G16" s="3508"/>
      <c r="H16" s="3508"/>
      <c r="I16" s="3509"/>
      <c r="J16" s="2437"/>
      <c r="K16" s="2615"/>
      <c r="L16" s="2449"/>
      <c r="M16" s="2449"/>
      <c r="N16" s="2507"/>
      <c r="O16" s="2449"/>
      <c r="P16" s="2507"/>
      <c r="Q16" s="2437"/>
      <c r="R16" s="2437"/>
    </row>
    <row r="17" spans="1:28">
      <c r="A17" s="313" t="s">
        <v>2194</v>
      </c>
      <c r="B17" s="302" t="s">
        <v>2195</v>
      </c>
      <c r="C17" s="8">
        <f>'数据-汇总表'!E3</f>
        <v>105.71</v>
      </c>
      <c r="D17" s="2320" t="s">
        <v>2196</v>
      </c>
      <c r="E17" s="3510" t="s">
        <v>2197</v>
      </c>
      <c r="F17" s="3511"/>
      <c r="G17" s="3511"/>
      <c r="H17" s="3511"/>
      <c r="I17" s="351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12.5</v>
      </c>
      <c r="D18" s="1090" t="s">
        <v>2200</v>
      </c>
      <c r="E18" s="3513" t="s">
        <v>2201</v>
      </c>
      <c r="F18" s="3514"/>
      <c r="G18" s="3514"/>
      <c r="H18" s="3514"/>
      <c r="I18" s="351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0" t="s">
        <v>2205</v>
      </c>
      <c r="C20" s="3501"/>
      <c r="D20" s="3502" t="s">
        <v>2206</v>
      </c>
      <c r="E20" s="3503"/>
      <c r="F20" s="2645" t="s">
        <v>1056</v>
      </c>
      <c r="G20" s="2662"/>
      <c r="H20" s="2662"/>
      <c r="I20" s="2662"/>
      <c r="J20" s="2437"/>
      <c r="K20" s="349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2213</v>
      </c>
      <c r="B27" s="320" t="s">
        <v>2214</v>
      </c>
      <c r="C27" s="2414" t="s">
        <v>3386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2215</v>
      </c>
      <c r="C28" s="2416" t="s">
        <v>3387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2216</v>
      </c>
      <c r="C29" s="2418" t="s">
        <v>3388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2217</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2218</v>
      </c>
      <c r="B31" s="2420" t="s">
        <v>3389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3390</v>
      </c>
      <c r="C34" s="2024" t="s">
        <v>3391</v>
      </c>
      <c r="D34" s="2024" t="s">
        <v>3392</v>
      </c>
      <c r="E34" s="2024" t="s">
        <v>3393</v>
      </c>
      <c r="F34" s="2024" t="s">
        <v>3394</v>
      </c>
      <c r="G34" s="2024" t="s">
        <v>3395</v>
      </c>
      <c r="H34" s="2024"/>
      <c r="I34" s="2662"/>
      <c r="J34" s="2437"/>
      <c r="K34" s="2425">
        <f>COUNTIF(B34:H34,"——")</f>
        <v>0</v>
      </c>
      <c r="L34" s="323" t="s">
        <v>2220</v>
      </c>
      <c r="M34" s="323" t="s">
        <v>2221</v>
      </c>
      <c r="N34" s="323" t="s">
        <v>2222</v>
      </c>
      <c r="O34" s="323" t="s">
        <v>2223</v>
      </c>
      <c r="P34" s="323" t="s">
        <v>2224</v>
      </c>
      <c r="Q34" s="323" t="s">
        <v>2225</v>
      </c>
      <c r="R34" s="323" t="s">
        <v>2226</v>
      </c>
      <c r="S34" s="3516" t="s">
        <v>2227</v>
      </c>
      <c r="T34" s="2426" t="str">
        <f>NUMBERSTRING(7-K34,1)&amp;"通"</f>
        <v>七通</v>
      </c>
      <c r="U34" s="2437"/>
      <c r="V34" s="2437"/>
    </row>
    <row r="35" spans="1:30">
      <c r="A35" s="2427"/>
      <c r="B35" s="3523" t="s">
        <v>2228</v>
      </c>
      <c r="C35" s="3523"/>
      <c r="D35" s="3523"/>
      <c r="E35" s="352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6"/>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5" sqref="I4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v>
      </c>
      <c r="B3" s="11">
        <f>IF(C3="否",G5-AT5,G5)</f>
        <v>105.71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2301</v>
      </c>
      <c r="D13" s="1623" t="s">
        <v>3396</v>
      </c>
      <c r="E13" s="13">
        <f>IF($C$3="是",ROUND($A$3*G13/$B$3,2),ROUND($A$3*(G13-AT13)/$B$3,2))</f>
        <v>12.5</v>
      </c>
      <c r="F13" s="29"/>
      <c r="G13" s="30">
        <f>H13+AC13+AT13</f>
        <v>105.71</v>
      </c>
      <c r="H13" s="17">
        <f>SUMIF(I$12:AB$12,"总值",I13:AB13)</f>
        <v>105.71</v>
      </c>
      <c r="I13" s="1624">
        <v>105.71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2301</v>
      </c>
      <c r="AY13" s="1347">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7" sqref="F2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12.5</v>
      </c>
      <c r="E3" s="43">
        <f>'数据-基础表'!AZ5</f>
        <v>105.71</v>
      </c>
      <c r="F3" s="2657"/>
      <c r="G3" s="1143"/>
      <c r="H3" s="1024" t="s">
        <v>1106</v>
      </c>
      <c r="I3" s="853">
        <f>ROUND('数据-基础表'!B3/'数据-基础表'!A3,2)</f>
        <v>8.4600000000000009</v>
      </c>
      <c r="J3" s="2657"/>
      <c r="K3" s="2657"/>
      <c r="L3" s="2657"/>
      <c r="M3" s="2657"/>
      <c r="N3" s="2659"/>
      <c r="O3" s="2657"/>
      <c r="P3" s="2657"/>
    </row>
    <row r="4" spans="1:16" ht="15">
      <c r="A4" s="3535"/>
      <c r="B4" s="3536"/>
      <c r="C4" s="3537"/>
      <c r="D4" s="1639" t="s">
        <v>1107</v>
      </c>
      <c r="E4" s="1640" t="s">
        <v>1108</v>
      </c>
      <c r="F4" s="2657"/>
      <c r="G4" s="2650" t="s">
        <v>1133</v>
      </c>
      <c r="H4" s="1024" t="s">
        <v>1113</v>
      </c>
      <c r="I4" s="853">
        <f>ROUND(SUMIF('数据-基础表'!I9:AS9,"地上",'数据-基础表'!I5:AS5)/'数据-基础表'!A3,2)</f>
        <v>8.4600000000000009</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f>ROUND(E31/D31,2)</f>
        <v>8.4600000000000009</v>
      </c>
      <c r="J5" s="2657"/>
      <c r="K5" s="2657"/>
      <c r="L5" s="2657"/>
      <c r="M5" s="2657"/>
      <c r="N5" s="2657"/>
      <c r="O5" s="2657"/>
      <c r="P5" s="2657"/>
    </row>
    <row r="6" spans="1:16" ht="15" thickBot="1">
      <c r="A6" s="1642"/>
      <c r="B6" s="3538" t="s">
        <v>1111</v>
      </c>
      <c r="C6" s="3538"/>
      <c r="D6" s="45">
        <f>ROUND($D$3*E6/$E$3,2)</f>
        <v>12.5</v>
      </c>
      <c r="E6" s="46">
        <f>E3-E5</f>
        <v>105.71</v>
      </c>
      <c r="F6" s="2657"/>
      <c r="G6" s="2651" t="s">
        <v>1112</v>
      </c>
      <c r="H6" s="1144" t="s">
        <v>1113</v>
      </c>
      <c r="I6" s="2652">
        <f>ROUND(F31/D31,2)</f>
        <v>8.4600000000000009</v>
      </c>
      <c r="J6" s="2657"/>
      <c r="K6" s="2657"/>
      <c r="L6" s="2657"/>
      <c r="M6" s="2657"/>
      <c r="N6" s="2657"/>
      <c r="O6" s="2657"/>
      <c r="P6" s="2657"/>
    </row>
    <row r="7" spans="1:16" ht="15.75" thickBot="1">
      <c r="A7" s="3530"/>
      <c r="B7" s="3531"/>
      <c r="C7" s="3532"/>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12.5</v>
      </c>
      <c r="E8" s="48">
        <f>SUMIF('数据-基础表'!BB10:BK10,"地上",'数据-基础表'!BB5:BK5)</f>
        <v>105.71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12.5</v>
      </c>
      <c r="E16" s="50">
        <f>SUM(E8:E15)</f>
        <v>105.71</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3397</v>
      </c>
      <c r="D19" s="45">
        <f>ROUND($D$3*E19/$E$3,2)</f>
        <v>12.5</v>
      </c>
      <c r="E19" s="53">
        <f t="shared" ref="E19:E26" si="1">SUM(F19:G19)</f>
        <v>105.71</v>
      </c>
      <c r="F19" s="2793">
        <f>'数据-基础表'!I5</f>
        <v>105.71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12.5</v>
      </c>
      <c r="S19" s="1025">
        <f t="shared" si="5"/>
        <v>105.71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12.5</v>
      </c>
      <c r="E27" s="1139">
        <f>IF(SUM(E19:E26)='数据-基础表'!BA5,SUM(E19:E26),IF(F27="地上面积有误","面积有误","地下面积有误"))</f>
        <v>105.71</v>
      </c>
      <c r="F27" s="1138">
        <f>IF(SUM(F19:F26)=E8,SUM(F19:F26),"地上面积有误")</f>
        <v>105.71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v>
      </c>
      <c r="S27" s="1024">
        <f>IF(SUM(S19:S26)=$E$3,SUM(S19:S26),SUM(S19:S26)&amp;"误差"&amp;ROUND(SUM(S19:S26)-E3,2))</f>
        <v>105.71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12.5</v>
      </c>
      <c r="E31" s="674">
        <f>E27+E30</f>
        <v>105.71</v>
      </c>
      <c r="F31" s="675">
        <f>F27+F30</f>
        <v>105.71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30" activePane="bottomRight" state="frozen"/>
      <selection activeCell="C50" sqref="C50"/>
      <selection pane="topRight" activeCell="C50" sqref="C50"/>
      <selection pane="bottomLeft" activeCell="C50" sqref="C50"/>
      <selection pane="bottomRight" activeCell="F31" sqref="F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52358</v>
      </c>
      <c r="F6" s="64">
        <f>SUMIF(项目基本情况!C$12:I$12,C6,项目基本情况!C$15:I$15)</f>
        <v>19.52</v>
      </c>
      <c r="G6" s="65">
        <f>IF(ISERROR(ROUND(POWER(1+H6,D6-F6)*(POWER(1+H6,F6)-1)/(POWER(1+H6,D6)-1),3)),0,ROUND(POWER(1+H6,D6-F6)*(POWER(1+H6,F6)-1)/(POWER(1+H6,D6)-1),3))</f>
        <v>0.67300000000000004</v>
      </c>
      <c r="H6" s="730">
        <v>0.05</v>
      </c>
      <c r="I6" s="730">
        <v>5.5E-2</v>
      </c>
      <c r="J6" s="66">
        <v>7.0000000000000007E-2</v>
      </c>
      <c r="K6" s="1028">
        <f>SUMIF('数据-汇总表'!C$19:C$33,A6,'数据-汇总表'!E$19:E$33)</f>
        <v>105.71</v>
      </c>
      <c r="L6" s="731">
        <v>4000</v>
      </c>
      <c r="M6" s="67">
        <f t="shared" ref="M6:M14" si="0">ROUND(K6*L6/10000,0)</f>
        <v>42</v>
      </c>
      <c r="N6" s="729">
        <f>N21</f>
        <v>0.76</v>
      </c>
      <c r="O6" s="67" t="str">
        <f>IF($N$5="成新度","——",ROUND(M6*N6,0))</f>
        <v>——</v>
      </c>
      <c r="P6" s="68" t="str">
        <f>IF($N$5="成新度","——",M6-O6)</f>
        <v>——</v>
      </c>
      <c r="Q6" s="732">
        <v>0.15</v>
      </c>
      <c r="R6" s="69">
        <f ca="1">SUMIF('数据-汇总表'!C$19:C$33,A6,'数据-汇总表'!R$19:R$27)</f>
        <v>12.5</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0.76</v>
      </c>
      <c r="Z6" s="72"/>
      <c r="AA6" s="66"/>
      <c r="AB6" s="66"/>
      <c r="AC6" s="1038"/>
      <c r="AD6" s="73"/>
      <c r="AE6" s="1039">
        <f ca="1">IF(AN6="",0,SUMIF(INDIRECT("'"&amp;AN6&amp;"'"&amp;"!E:E"),$AE$5,INDIRECT("'"&amp;AN6&amp;"'"&amp;"!F:F")))</f>
        <v>19.52</v>
      </c>
      <c r="AF6" s="1346"/>
      <c r="AG6" s="138">
        <f>IF(AF6="",0,AE6-AF6)</f>
        <v>0</v>
      </c>
      <c r="AH6" s="74"/>
      <c r="AI6" s="76">
        <v>365</v>
      </c>
      <c r="AJ6" s="77"/>
      <c r="AK6" s="78">
        <v>5.0000000000000001E-3</v>
      </c>
      <c r="AL6" s="79">
        <v>1E-3</v>
      </c>
      <c r="AM6" s="80">
        <v>5.0000000000000001E-3</v>
      </c>
      <c r="AN6" s="1713" t="s">
        <v>3426</v>
      </c>
      <c r="AO6" s="52">
        <f ca="1">SUMIF(INDIRECT("'"&amp;AN6&amp;"'"&amp;"!A:A"),"总价",INDIRECT("'"&amp;AN6&amp;"'"&amp;"!B:B"))</f>
        <v>248.363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0.67300000000000004</v>
      </c>
      <c r="H16" s="90">
        <f>ROUND(SUMPRODUCT(H6:H13,K6:K13)/SUMPRODUCT((H6:H13&gt;0)*(K6:K13)),3)</f>
        <v>0.05</v>
      </c>
      <c r="I16" s="91"/>
      <c r="J16" s="91"/>
      <c r="K16" s="92">
        <f>SUM(K6:K15)</f>
        <v>105.71</v>
      </c>
      <c r="L16" s="93">
        <f>ROUND(M16*10000/SUM(K6:K14),0)</f>
        <v>3973</v>
      </c>
      <c r="M16" s="93">
        <f>SUM(M6:M14)</f>
        <v>42</v>
      </c>
      <c r="N16" s="94">
        <f>ROUND(SUMPRODUCT(M6:M14,N6:N14)/M16,3)</f>
        <v>0.76</v>
      </c>
      <c r="O16" s="93">
        <f>SUM(O6:O14)</f>
        <v>0</v>
      </c>
      <c r="P16" s="93">
        <f>SUM(P6:P14)</f>
        <v>0</v>
      </c>
      <c r="Q16" s="95">
        <f>ROUND(SUMPRODUCT(Q6:Q13,K6:K13)/SUMPRODUCT((Q6:Q13&gt;0)*(K6:K13)),2)</f>
        <v>0.15</v>
      </c>
      <c r="R16" s="1032">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0.76</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1191.51</v>
      </c>
      <c r="C1" s="2684"/>
      <c r="D1" s="2684"/>
      <c r="E1" s="2684"/>
      <c r="F1" s="2684"/>
      <c r="G1" s="2685"/>
      <c r="H1" s="2686"/>
      <c r="I1" s="2686"/>
      <c r="J1" s="2686"/>
      <c r="K1" s="2686"/>
    </row>
    <row r="2" spans="1:11" ht="16.5">
      <c r="A2" s="2510" t="s">
        <v>653</v>
      </c>
      <c r="B2" s="2510">
        <f>SUM(C14:C23)</f>
        <v>105.57</v>
      </c>
      <c r="C2" s="2684"/>
      <c r="D2" s="2684"/>
      <c r="E2" s="2684"/>
      <c r="F2" s="2684"/>
      <c r="G2" s="2685"/>
      <c r="H2" s="2686"/>
      <c r="I2" s="2686"/>
      <c r="J2" s="2686"/>
      <c r="K2" s="2686"/>
    </row>
    <row r="3" spans="1:11" ht="16.5">
      <c r="A3" s="2510" t="s">
        <v>662</v>
      </c>
      <c r="B3" s="2512">
        <f>项目基本情况!D3</f>
        <v>45230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4484</v>
      </c>
      <c r="C5" s="2510">
        <f ca="1">IF(B5=D14,结果表!H102,ROUND(B5*10000/$B$1,0))</f>
        <v>37627</v>
      </c>
      <c r="D5" s="2510">
        <f ca="1">ROUND(B5*10000/$B$2,0)</f>
        <v>424742</v>
      </c>
      <c r="E5" s="2684"/>
      <c r="F5" s="2685"/>
      <c r="G5" s="2685"/>
      <c r="H5" s="2686"/>
      <c r="I5" s="2686"/>
      <c r="J5" s="2686"/>
      <c r="K5" s="2686"/>
    </row>
    <row r="6" spans="1:11" ht="16.5">
      <c r="A6" s="2510" t="s">
        <v>656</v>
      </c>
      <c r="B6" s="2510">
        <f ca="1">SUM(G14:G23)</f>
        <v>4484</v>
      </c>
      <c r="C6" s="2510">
        <f ca="1">IF(B6=G14,结果表!H108,ROUND(B6*10000/$B$1,0))</f>
        <v>37627</v>
      </c>
      <c r="D6" s="2510">
        <f ca="1">ROUND(B6*10000/$B$2,0)</f>
        <v>424742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Sheet1!D11</f>
        <v>1191.51</v>
      </c>
      <c r="C14" s="2516">
        <f>Sheet1!E11</f>
        <v>105.57</v>
      </c>
      <c r="D14" s="2516">
        <f ca="1">典型户型修正!S22</f>
        <v>4484</v>
      </c>
      <c r="E14" s="2516">
        <f ca="1">ROUND(D14*10000/B14,0)</f>
        <v>37633</v>
      </c>
      <c r="F14" s="2516">
        <f ca="1">ROUND(D14*10000/C14,0)</f>
        <v>424742</v>
      </c>
      <c r="G14" s="2516">
        <f ca="1">D14</f>
        <v>4484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8" sqref="H3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2" t="s">
        <v>1265</v>
      </c>
      <c r="B4" s="1753" t="s">
        <v>1266</v>
      </c>
      <c r="C4" s="1754" t="s">
        <v>3462</v>
      </c>
      <c r="D4" s="1754" t="s">
        <v>3426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5"/>
      <c r="G5" s="1755"/>
      <c r="H5" s="1755"/>
      <c r="I5" s="1371"/>
    </row>
    <row r="6" spans="1:12" ht="12.75">
      <c r="A6" s="3556"/>
      <c r="B6" s="3611"/>
      <c r="C6" s="3616"/>
      <c r="D6" s="3602"/>
      <c r="E6" s="131" t="s">
        <v>1270</v>
      </c>
      <c r="F6" s="1755"/>
      <c r="G6" s="1755"/>
      <c r="H6" s="1755"/>
      <c r="I6" s="1371"/>
    </row>
    <row r="7" spans="1:12" ht="12.75">
      <c r="A7" s="3556"/>
      <c r="B7" s="3611"/>
      <c r="C7" s="3615"/>
      <c r="D7" s="3602"/>
      <c r="E7" s="131" t="s">
        <v>1271</v>
      </c>
      <c r="F7" s="1755"/>
      <c r="G7" s="1755"/>
      <c r="H7" s="1755"/>
      <c r="I7" s="1371"/>
    </row>
    <row r="8" spans="1:12" ht="12.75">
      <c r="A8" s="3556" t="s">
        <v>1272</v>
      </c>
      <c r="B8" s="3611">
        <v>15</v>
      </c>
      <c r="C8" s="3614"/>
      <c r="D8" s="3602"/>
      <c r="E8" s="131" t="s">
        <v>1273</v>
      </c>
      <c r="F8" s="1755"/>
      <c r="G8" s="1755"/>
      <c r="H8" s="1755"/>
      <c r="I8" s="1371"/>
    </row>
    <row r="9" spans="1:12" ht="12.75">
      <c r="A9" s="3556"/>
      <c r="B9" s="3611"/>
      <c r="C9" s="3615"/>
      <c r="D9" s="3602"/>
      <c r="E9" s="131" t="s">
        <v>1274</v>
      </c>
      <c r="F9" s="1755"/>
      <c r="G9" s="1755"/>
      <c r="H9" s="1755"/>
      <c r="I9" s="1371"/>
    </row>
    <row r="10" spans="1:12" ht="12.75">
      <c r="A10" s="3556" t="s">
        <v>1275</v>
      </c>
      <c r="B10" s="3611">
        <v>15</v>
      </c>
      <c r="C10" s="3614"/>
      <c r="D10" s="3602"/>
      <c r="E10" s="131" t="s">
        <v>1276</v>
      </c>
      <c r="F10" s="1755"/>
      <c r="G10" s="1755"/>
      <c r="H10" s="1755"/>
      <c r="I10" s="1371"/>
    </row>
    <row r="11" spans="1:12" ht="12.75">
      <c r="A11" s="3556"/>
      <c r="B11" s="3611"/>
      <c r="C11" s="3615"/>
      <c r="D11" s="3602"/>
      <c r="E11" s="131" t="s">
        <v>1277</v>
      </c>
      <c r="F11" s="1755"/>
      <c r="G11" s="1755"/>
      <c r="H11" s="1755"/>
      <c r="I11" s="1371"/>
    </row>
    <row r="12" spans="1:12" ht="12.75">
      <c r="A12" s="3556" t="s">
        <v>1278</v>
      </c>
      <c r="B12" s="3611">
        <v>15</v>
      </c>
      <c r="C12" s="3614"/>
      <c r="D12" s="3602"/>
      <c r="E12" s="131" t="s">
        <v>1279</v>
      </c>
      <c r="F12" s="1755"/>
      <c r="G12" s="1755"/>
      <c r="H12" s="1755"/>
      <c r="I12" s="1371"/>
    </row>
    <row r="13" spans="1:12" ht="12.75">
      <c r="A13" s="3556"/>
      <c r="B13" s="3611"/>
      <c r="C13" s="3615"/>
      <c r="D13" s="3602"/>
      <c r="E13" s="131" t="s">
        <v>1280</v>
      </c>
      <c r="F13" s="1755"/>
      <c r="G13" s="1755"/>
      <c r="H13" s="1755"/>
      <c r="I13" s="1371"/>
    </row>
    <row r="14" spans="1:12" ht="12.75">
      <c r="A14" s="3556" t="s">
        <v>1281</v>
      </c>
      <c r="B14" s="3611">
        <v>30</v>
      </c>
      <c r="C14" s="3614">
        <v>7</v>
      </c>
      <c r="D14" s="3602">
        <v>3</v>
      </c>
      <c r="E14" s="131" t="s">
        <v>1282</v>
      </c>
      <c r="F14" s="1755"/>
      <c r="G14" s="1755"/>
      <c r="H14" s="1755"/>
      <c r="I14" s="1371"/>
    </row>
    <row r="15" spans="1:12" ht="12.75">
      <c r="A15" s="3556"/>
      <c r="B15" s="3611"/>
      <c r="C15" s="3616"/>
      <c r="D15" s="3602"/>
      <c r="E15" s="131" t="s">
        <v>1283</v>
      </c>
      <c r="F15" s="1755"/>
      <c r="G15" s="1755"/>
      <c r="H15" s="1755"/>
      <c r="I15" s="1371"/>
    </row>
    <row r="16" spans="1:12" ht="12.75">
      <c r="A16" s="3556"/>
      <c r="B16" s="3611"/>
      <c r="C16" s="3615"/>
      <c r="D16" s="3602"/>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3" t="s">
        <v>2130</v>
      </c>
      <c r="F18" s="3634"/>
      <c r="G18" s="3634"/>
      <c r="H18" s="3634"/>
      <c r="I18" s="3634"/>
      <c r="K18" s="302" t="s">
        <v>1289</v>
      </c>
      <c r="L18" s="302">
        <f>IF(C1="",'数据-汇总表'!E3,SUMIF(项目类型,C1,'数据-汇总表'!E17:E26)+SUMIF(项目类型,C1,'数据-汇总表'!I17:I26))</f>
        <v>105.71</v>
      </c>
      <c r="M18" s="302">
        <f>IF(C1="",'数据-汇总表'!E3,SUMIF(项目类型,C1,'数据-汇总表'!E17:E26))</f>
        <v>105.71</v>
      </c>
    </row>
    <row r="19" spans="1:36" ht="15">
      <c r="A19" s="1759" t="s">
        <v>1290</v>
      </c>
      <c r="B19" s="1760" t="s">
        <v>1291</v>
      </c>
      <c r="C19" s="134">
        <f ca="1">SUMIF(INDIRECT("'"&amp;C4&amp;"'"&amp;"!A:A"),结果表!B19,INDIRECT("'"&amp;C4&amp;"'"&amp;"!B:B"))</f>
        <v>461.77300000000002</v>
      </c>
      <c r="D19" s="135">
        <f ca="1">SUMIF(INDIRECT("'"&amp;D4&amp;"'"&amp;"!A:A"),结果表!B19,INDIRECT("'"&amp;D4&amp;"'"&amp;"!B:B"))</f>
        <v>248.363</v>
      </c>
      <c r="E19" s="1759" t="s">
        <v>1292</v>
      </c>
      <c r="F19" s="1760" t="s">
        <v>1291</v>
      </c>
      <c r="G19" s="136">
        <f ca="1">ROUND(C19*$C$18+D19*$D$18,0)</f>
        <v>398</v>
      </c>
      <c r="H19" s="1761" t="s">
        <v>1293</v>
      </c>
      <c r="I19" s="129"/>
      <c r="K19" s="302" t="s">
        <v>1294</v>
      </c>
      <c r="L19" s="302">
        <f>IF(C1="",'数据-汇总表'!D3,SUMIF(项目类型,C1,'数据-汇总表'!D17:D26)+SUMIF(项目类型,C1,'数据-汇总表'!H17:H27))</f>
        <v>12.5</v>
      </c>
      <c r="M19" s="302">
        <f>IF(C1="",'数据-汇总表'!D3,SUMIF(项目类型,C1,'数据-汇总表'!D17:D26))</f>
        <v>12.5</v>
      </c>
    </row>
    <row r="20" spans="1:36" ht="15">
      <c r="A20" s="1762"/>
      <c r="B20" s="1024" t="s">
        <v>1295</v>
      </c>
      <c r="C20" s="137">
        <f ca="1">SUMIF(INDIRECT("'"&amp;C4&amp;"'"&amp;"!A:A"),结果表!B20,INDIRECT("'"&amp;C4&amp;"'"&amp;"!B:B"))</f>
        <v>43683</v>
      </c>
      <c r="D20" s="138">
        <f ca="1">SUMIF(INDIRECT("'"&amp;D4&amp;"'"&amp;"!A:A"),结果表!B20,INDIRECT("'"&amp;D4&amp;"'"&amp;"!B:B"))</f>
        <v>23495</v>
      </c>
      <c r="E20" s="1762"/>
      <c r="F20" s="1024" t="s">
        <v>1295</v>
      </c>
      <c r="G20" s="139">
        <f ca="1">ROUND(C20*$C$18+D20*$D$18,0)</f>
        <v>37627</v>
      </c>
      <c r="H20" s="806" t="s">
        <v>1296</v>
      </c>
      <c r="I20" s="129"/>
    </row>
    <row r="21" spans="1:36" ht="15" customHeight="1" thickBot="1">
      <c r="A21" s="826"/>
      <c r="B21" s="1763" t="s">
        <v>1297</v>
      </c>
      <c r="C21" s="717">
        <f ca="1">ROUND(C19*10000/L19,0)</f>
        <v>369418</v>
      </c>
      <c r="D21" s="718">
        <f ca="1">ROUND(D19*10000/L19,0)</f>
        <v>198690</v>
      </c>
      <c r="E21" s="826"/>
      <c r="F21" s="1763" t="s">
        <v>1297</v>
      </c>
      <c r="G21" s="140">
        <f ca="1">ROUND(G19*10000/L19,0)</f>
        <v>318400</v>
      </c>
      <c r="H21" s="1764" t="s">
        <v>1296</v>
      </c>
      <c r="I21" s="129"/>
    </row>
    <row r="22" spans="1:36" ht="15" thickBot="1">
      <c r="A22" s="1686" t="s">
        <v>1298</v>
      </c>
      <c r="B22" s="1765"/>
      <c r="C22" s="1766"/>
      <c r="D22" s="719">
        <f ca="1">IF(C19&lt;D19,D19/C19-1,C19/D19-1)</f>
        <v>0.85926647689068036</v>
      </c>
      <c r="E22" s="129"/>
      <c r="F22" s="129"/>
      <c r="G22" s="129"/>
      <c r="H22" s="129"/>
      <c r="I22" s="129"/>
    </row>
    <row r="23" spans="1:36" ht="13.5" thickBot="1">
      <c r="A23" s="1745"/>
      <c r="B23" s="1745"/>
      <c r="C23" s="1745"/>
      <c r="D23" s="1745"/>
      <c r="E23" s="129"/>
      <c r="F23" s="129"/>
      <c r="G23" s="129"/>
      <c r="H23" s="129"/>
      <c r="I23" s="129"/>
    </row>
    <row r="24" spans="1:36" ht="14.25">
      <c r="A24" s="3626" t="s">
        <v>1299</v>
      </c>
      <c r="B24" s="1760" t="s">
        <v>1291</v>
      </c>
      <c r="C24" s="136">
        <f>IF(B30=0,0,D30)</f>
        <v>0</v>
      </c>
      <c r="D24" s="1767"/>
      <c r="E24" s="129"/>
      <c r="F24" s="129"/>
      <c r="G24" s="129"/>
      <c r="H24" s="129"/>
      <c r="I24" s="129"/>
    </row>
    <row r="25" spans="1:36" ht="14.25">
      <c r="A25" s="362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37627</v>
      </c>
      <c r="D32" s="1773" t="s">
        <v>3463</v>
      </c>
      <c r="E32" s="129"/>
      <c r="F32" s="129"/>
      <c r="G32" s="129"/>
      <c r="H32" s="129"/>
      <c r="I32" s="129"/>
    </row>
    <row r="33" spans="1:15" ht="15">
      <c r="A33" s="784" t="s">
        <v>1306</v>
      </c>
      <c r="B33" s="1774"/>
      <c r="C33" s="1775" t="s">
        <v>3464</v>
      </c>
      <c r="D33" s="1776" t="s">
        <v>3465</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03" t="s">
        <v>1312</v>
      </c>
      <c r="B36" s="1785" t="s">
        <v>1313</v>
      </c>
      <c r="C36" s="145"/>
      <c r="D36" s="1786"/>
      <c r="E36" s="1787"/>
      <c r="F36" s="1788"/>
      <c r="G36" s="129"/>
      <c r="H36" s="129"/>
      <c r="I36" s="129"/>
    </row>
    <row r="37" spans="1:15" ht="15.75" thickBot="1">
      <c r="A37" s="3604"/>
      <c r="B37" s="1672" t="s">
        <v>1314</v>
      </c>
      <c r="C37" s="147"/>
      <c r="D37" s="1137"/>
      <c r="E37" s="1137"/>
      <c r="F37" s="1788"/>
      <c r="G37" s="129"/>
      <c r="H37" s="129"/>
      <c r="I37" s="129"/>
    </row>
    <row r="38" spans="1:15" ht="15.75" thickBot="1">
      <c r="A38" s="360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3" t="s">
        <v>1326</v>
      </c>
      <c r="B45" s="3624"/>
      <c r="C45" s="3625"/>
      <c r="D45" s="155">
        <f ca="1">ROUND(H101*F45,0)</f>
        <v>398</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4"/>
      <c r="I46" s="159"/>
      <c r="J46" s="2521">
        <v>1</v>
      </c>
      <c r="K46" s="3544" t="s">
        <v>1331</v>
      </c>
      <c r="L46" s="3544"/>
      <c r="M46" s="3545"/>
      <c r="N46" s="3545"/>
      <c r="O46" s="3545"/>
    </row>
    <row r="47" spans="1:15" ht="12" customHeight="1">
      <c r="A47" s="160" t="s">
        <v>1332</v>
      </c>
      <c r="B47" s="161"/>
      <c r="C47" s="162"/>
      <c r="D47" s="1085" t="s">
        <v>1333</v>
      </c>
      <c r="E47" s="302" t="s">
        <v>1334</v>
      </c>
      <c r="F47" s="163" t="s">
        <v>1335</v>
      </c>
      <c r="G47" s="2544" t="s">
        <v>1336</v>
      </c>
      <c r="H47" s="2545"/>
      <c r="I47" s="159"/>
      <c r="J47" s="2521">
        <v>2</v>
      </c>
      <c r="K47" s="3544" t="s">
        <v>1337</v>
      </c>
      <c r="L47" s="3544"/>
      <c r="M47" s="3546">
        <f>'数据-取费表'!B2</f>
        <v>45230</v>
      </c>
      <c r="N47" s="3546"/>
      <c r="O47" s="3546"/>
    </row>
    <row r="48" spans="1:15" ht="25.5">
      <c r="A48" s="3606" t="s">
        <v>1338</v>
      </c>
      <c r="B48" s="3607"/>
      <c r="C48" s="3607"/>
      <c r="D48" s="2322">
        <f ca="1">IF(H48="情况1",0,IF(H48="情况2",D52,IF(H48="情况3",D53,IF(H48="情况4",D54))))</f>
        <v>21</v>
      </c>
      <c r="E48" s="2332" t="str">
        <f>IF(H48="情况4","(销售额-原购置价)×税（费）率","销售额×税（费）率")</f>
        <v>销售额×税（费）率</v>
      </c>
      <c r="F48" s="2546">
        <f>IF(H48="情况1","免征",'数据-取费表'!B41)</f>
        <v>5.6000000000000001E-2</v>
      </c>
      <c r="G48" s="2547" t="s">
        <v>1339</v>
      </c>
      <c r="H48" s="2548" t="s">
        <v>3467</v>
      </c>
      <c r="I48" s="1804"/>
      <c r="J48" s="2521">
        <v>3</v>
      </c>
      <c r="K48" s="3544" t="s">
        <v>1340</v>
      </c>
      <c r="L48" s="3544"/>
      <c r="M48" s="3547">
        <f ca="1">H101</f>
        <v>398</v>
      </c>
      <c r="N48" s="3547"/>
      <c r="O48" s="3547"/>
    </row>
    <row r="49" spans="1:35" ht="25.5" customHeight="1">
      <c r="A49" s="2331" t="s">
        <v>1341</v>
      </c>
      <c r="B49" s="3592" t="s">
        <v>1342</v>
      </c>
      <c r="C49" s="3592"/>
      <c r="D49" s="1588">
        <v>0</v>
      </c>
      <c r="E49" s="324" t="s">
        <v>1343</v>
      </c>
      <c r="F49" s="2422" t="s">
        <v>28</v>
      </c>
      <c r="G49" s="3575"/>
      <c r="H49" s="2308" t="s">
        <v>2133</v>
      </c>
      <c r="I49" s="2309"/>
      <c r="J49" s="2521">
        <v>4</v>
      </c>
      <c r="K49" s="3544" t="str">
        <f>IF(项目基本情况!E8="房地产抵押价值","房地产抵押价值","抵押担保权已注销时的房地产抵押价值")</f>
        <v>房地产抵押价值</v>
      </c>
      <c r="L49" s="3544"/>
      <c r="M49" s="3547">
        <f ca="1">IF(项目基本情况!E8="房地产抵押价值",H107,H109)</f>
        <v>398</v>
      </c>
      <c r="N49" s="3547"/>
      <c r="O49" s="3547"/>
    </row>
    <row r="50" spans="1:35" ht="25.5" customHeight="1">
      <c r="A50" s="2549"/>
      <c r="B50" s="3592" t="s">
        <v>1344</v>
      </c>
      <c r="C50" s="3592"/>
      <c r="D50" s="2550"/>
      <c r="E50" s="332"/>
      <c r="F50" s="2422"/>
      <c r="G50" s="3576"/>
      <c r="H50" s="2310" t="s">
        <v>2134</v>
      </c>
      <c r="I50" s="2309"/>
      <c r="J50" s="3543" t="s">
        <v>1345</v>
      </c>
      <c r="K50" s="3543"/>
      <c r="L50" s="3543"/>
      <c r="M50" s="3543"/>
      <c r="N50" s="3543"/>
      <c r="O50" s="3543"/>
    </row>
    <row r="51" spans="1:35" ht="20.45" customHeight="1">
      <c r="A51" s="2551"/>
      <c r="B51" s="3592" t="s">
        <v>1346</v>
      </c>
      <c r="C51" s="3592"/>
      <c r="D51" s="1085"/>
      <c r="E51" s="327"/>
      <c r="F51" s="2422"/>
      <c r="G51" s="3577"/>
      <c r="H51" s="2310" t="s">
        <v>2135</v>
      </c>
      <c r="I51" s="2309"/>
      <c r="J51" s="2522" t="s">
        <v>1347</v>
      </c>
      <c r="K51" s="3544" t="s">
        <v>1348</v>
      </c>
      <c r="L51" s="3544"/>
      <c r="M51" s="2522" t="s">
        <v>1349</v>
      </c>
      <c r="N51" s="2522" t="s">
        <v>1350</v>
      </c>
      <c r="O51" s="2522" t="s">
        <v>1351</v>
      </c>
    </row>
    <row r="52" spans="1:35" ht="24" customHeight="1">
      <c r="A52" s="2333" t="s">
        <v>1352</v>
      </c>
      <c r="B52" s="3592" t="s">
        <v>1353</v>
      </c>
      <c r="C52" s="3592"/>
      <c r="D52" s="1085">
        <f ca="1">ROUND(D45*'数据-取费表'!B41/(1+'数据-取费表'!C42),0)</f>
        <v>21</v>
      </c>
      <c r="E52" s="2332" t="s">
        <v>1354</v>
      </c>
      <c r="F52" s="2552">
        <f>'数据-取费表'!B41</f>
        <v>5.6000000000000001E-2</v>
      </c>
      <c r="G52" s="2553"/>
      <c r="H52" s="2542"/>
      <c r="I52" s="1805"/>
      <c r="J52" s="2521">
        <v>1</v>
      </c>
      <c r="K52" s="3569" t="s">
        <v>1355</v>
      </c>
      <c r="L52" s="3569"/>
      <c r="M52" s="2523">
        <f ca="1">D48</f>
        <v>21</v>
      </c>
      <c r="N52" s="2521" t="str">
        <f>E48</f>
        <v>销售额×税（费）率</v>
      </c>
      <c r="O52" s="2524">
        <f>F48</f>
        <v>5.6000000000000001E-2</v>
      </c>
    </row>
    <row r="53" spans="1:35" ht="12" customHeight="1">
      <c r="A53" s="2333" t="s">
        <v>1356</v>
      </c>
      <c r="B53" s="3593" t="s">
        <v>2290</v>
      </c>
      <c r="C53" s="3594"/>
      <c r="D53" s="1085">
        <f ca="1">ROUND(D45*'数据-取费表'!B41/(1+'数据-取费表'!C42),0)</f>
        <v>21</v>
      </c>
      <c r="E53" s="2332" t="s">
        <v>1354</v>
      </c>
      <c r="F53" s="2552">
        <f>'数据-取费表'!B41</f>
        <v>5.6000000000000001E-2</v>
      </c>
      <c r="G53" s="2553"/>
      <c r="H53" s="2542"/>
      <c r="I53" s="1805"/>
      <c r="J53" s="2521">
        <v>2</v>
      </c>
      <c r="K53" s="3569" t="s">
        <v>1357</v>
      </c>
      <c r="L53" s="3569"/>
      <c r="M53" s="2523">
        <f t="shared" ref="M53:O54" ca="1" si="0">D55</f>
        <v>0</v>
      </c>
      <c r="N53" s="2521" t="str">
        <f t="shared" si="0"/>
        <v>销售额×税（费）率</v>
      </c>
      <c r="O53" s="2524">
        <f t="shared" si="0"/>
        <v>5.0000000000000001E-4</v>
      </c>
    </row>
    <row r="54" spans="1:35" ht="12" customHeight="1">
      <c r="A54" s="2333" t="s">
        <v>1358</v>
      </c>
      <c r="B54" s="3593" t="s">
        <v>2291</v>
      </c>
      <c r="C54" s="3594"/>
      <c r="D54" s="1085">
        <f ca="1">C68</f>
        <v>21</v>
      </c>
      <c r="E54" s="327" t="s">
        <v>1359</v>
      </c>
      <c r="F54" s="2552">
        <f>'数据-取费表'!B41</f>
        <v>5.6000000000000001E-2</v>
      </c>
      <c r="G54" s="2553"/>
      <c r="H54" s="2554"/>
      <c r="I54" s="1805"/>
      <c r="J54" s="2521">
        <v>3</v>
      </c>
      <c r="K54" s="3569" t="s">
        <v>1360</v>
      </c>
      <c r="L54" s="3569"/>
      <c r="M54" s="2523">
        <f t="shared" ca="1" si="0"/>
        <v>226</v>
      </c>
      <c r="N54" s="2521" t="str">
        <f t="shared" si="0"/>
        <v>增值额×税（费）率</v>
      </c>
      <c r="O54" s="2525" t="str">
        <f t="shared" si="0"/>
        <v>——</v>
      </c>
    </row>
    <row r="55" spans="1:35" ht="24" customHeight="1">
      <c r="A55" s="3629" t="s">
        <v>1361</v>
      </c>
      <c r="B55" s="3607"/>
      <c r="C55" s="3607"/>
      <c r="D55" s="2322">
        <f ca="1">IF(H55="个人住宅",0,ROUND(D45*I55,0))</f>
        <v>0</v>
      </c>
      <c r="E55" s="2332" t="s">
        <v>1362</v>
      </c>
      <c r="F55" s="2552">
        <f>IF(H55="正常",I55,"免征")</f>
        <v>5.0000000000000001E-4</v>
      </c>
      <c r="G55" s="2553"/>
      <c r="H55" s="2548" t="s">
        <v>3432</v>
      </c>
      <c r="I55" s="165">
        <f>'数据-取费表'!B49</f>
        <v>5.0000000000000001E-4</v>
      </c>
      <c r="J55" s="2521">
        <f>IF(H59="非个人房产","",4)</f>
        <v>4</v>
      </c>
      <c r="K55" s="3569" t="str">
        <f>IF(H59="非个人房产","——","个人所得税")</f>
        <v>个人所得税</v>
      </c>
      <c r="L55" s="3569"/>
      <c r="M55" s="2526">
        <f ca="1">D59</f>
        <v>4</v>
      </c>
      <c r="N55" s="2038" t="str">
        <f>E59</f>
        <v>差额计税</v>
      </c>
      <c r="O55" s="2527">
        <f>F59</f>
        <v>0.01</v>
      </c>
    </row>
    <row r="56" spans="1:35" ht="24.75">
      <c r="A56" s="3629" t="s">
        <v>1363</v>
      </c>
      <c r="B56" s="3607"/>
      <c r="C56" s="3607"/>
      <c r="D56" s="2322">
        <f ca="1">IF(H56="个人住宅",D57,D58)</f>
        <v>226</v>
      </c>
      <c r="E56" s="2332" t="s">
        <v>1364</v>
      </c>
      <c r="F56" s="2552" t="str">
        <f>IF(H56="正常",F58,"免征")</f>
        <v>——</v>
      </c>
      <c r="G56" s="2555" t="s">
        <v>1365</v>
      </c>
      <c r="H56" s="2556" t="s">
        <v>3432</v>
      </c>
      <c r="I56" s="1806"/>
      <c r="J56" s="2521" t="str">
        <f>IF(项目基本情况!K6="上海银行",IF(J55="",4,J55+1),"")</f>
        <v/>
      </c>
      <c r="K56" s="3550" t="str">
        <f>IF(项目基本情况!K6="上海银行","其他处置费用","")</f>
        <v/>
      </c>
      <c r="L56" s="3551"/>
      <c r="M56" s="2523" t="str">
        <f>IF(项目基本情况!K6="上海银行",M69,"")</f>
        <v/>
      </c>
      <c r="N56" s="3550" t="str">
        <f>IF(项目基本情况!K6="上海银行","包含处置中涉及的律师、诉讼、拍卖、评估等费用","")</f>
        <v/>
      </c>
      <c r="O56" s="3553"/>
    </row>
    <row r="57" spans="1:35" ht="12.75">
      <c r="A57" s="2333" t="s">
        <v>1341</v>
      </c>
      <c r="B57" s="3593" t="s">
        <v>1366</v>
      </c>
      <c r="C57" s="3594"/>
      <c r="D57" s="1588">
        <v>0</v>
      </c>
      <c r="E57" s="324" t="s">
        <v>1343</v>
      </c>
      <c r="F57" s="302"/>
      <c r="G57" s="2553"/>
      <c r="H57" s="2557"/>
      <c r="I57" s="1806"/>
      <c r="J57" s="3569">
        <f>IF(AND(J55="",J56=""),4,IF(项目基本情况!K6="上海银行",结果表!J56+1,结果表!J55+1))</f>
        <v>5</v>
      </c>
      <c r="K57" s="3569" t="s">
        <v>1367</v>
      </c>
      <c r="L57" s="2528" t="s">
        <v>1368</v>
      </c>
      <c r="M57" s="2529"/>
      <c r="N57" s="2530">
        <f ca="1">SUMIF(M52:M56,"&lt;9e307")</f>
        <v>251</v>
      </c>
      <c r="O57" s="2531"/>
      <c r="P57" s="2688">
        <f ca="1">N57/M49</f>
        <v>0.6306532663316583</v>
      </c>
    </row>
    <row r="58" spans="1:35" ht="24.75">
      <c r="A58" s="2333" t="s">
        <v>1352</v>
      </c>
      <c r="B58" s="3593" t="s">
        <v>1369</v>
      </c>
      <c r="C58" s="3592"/>
      <c r="D58" s="2322">
        <f ca="1">IF(H58="转让取得",C81,C97)</f>
        <v>226</v>
      </c>
      <c r="E58" s="2332" t="s">
        <v>1364</v>
      </c>
      <c r="F58" s="302" t="s">
        <v>28</v>
      </c>
      <c r="G58" s="2553"/>
      <c r="H58" s="2556" t="s">
        <v>3468</v>
      </c>
      <c r="I58" s="1806"/>
      <c r="J58" s="3569"/>
      <c r="K58" s="3569"/>
      <c r="L58" s="2528" t="s">
        <v>1370</v>
      </c>
      <c r="M58" s="2532"/>
      <c r="N58" s="2533" t="str">
        <f ca="1">NUMBERSTRING(INT(N57*10000),2)&amp;"元整"</f>
        <v>贰佰伍拾壹万元整</v>
      </c>
      <c r="O58" s="2534"/>
    </row>
    <row r="59" spans="1:35" ht="24.75" thickBot="1">
      <c r="A59" s="3573" t="s">
        <v>1371</v>
      </c>
      <c r="B59" s="3574"/>
      <c r="C59" s="3574"/>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1">
        <f>J57+1</f>
        <v>6</v>
      </c>
      <c r="K59" s="3569" t="s">
        <v>1372</v>
      </c>
      <c r="L59" s="2521" t="s">
        <v>1368</v>
      </c>
      <c r="M59" s="2535"/>
      <c r="N59" s="2536">
        <f ca="1">M49-N57</f>
        <v>147</v>
      </c>
      <c r="O59" s="2537"/>
    </row>
    <row r="60" spans="1:35" ht="12" customHeight="1">
      <c r="A60" s="1807"/>
      <c r="B60" s="1745"/>
      <c r="C60" s="1745"/>
      <c r="D60" s="1745"/>
      <c r="E60" s="1576"/>
      <c r="F60" s="1806"/>
      <c r="G60" s="1806"/>
      <c r="H60" s="1808"/>
      <c r="I60" s="129"/>
      <c r="J60" s="3572"/>
      <c r="K60" s="3569"/>
      <c r="L60" s="2528" t="s">
        <v>1370</v>
      </c>
      <c r="M60" s="2532"/>
      <c r="N60" s="2533" t="str">
        <f ca="1">NUMBERSTRING(INT(N59*10000),2)&amp;"元整"</f>
        <v>壹佰肆拾柒万元整</v>
      </c>
      <c r="O60" s="2534"/>
    </row>
    <row r="61" spans="1:35" ht="13.5" thickBot="1">
      <c r="A61" s="3628" t="s">
        <v>1373</v>
      </c>
      <c r="B61" s="3628"/>
      <c r="C61" s="3628"/>
      <c r="D61" s="3628"/>
      <c r="E61" s="3628"/>
      <c r="F61" s="1806"/>
      <c r="G61" s="1806"/>
      <c r="H61" s="1808"/>
      <c r="I61" s="129"/>
      <c r="J61" s="2521">
        <f>J59+1</f>
        <v>7</v>
      </c>
      <c r="K61" s="3569" t="s">
        <v>1374</v>
      </c>
      <c r="L61" s="3569"/>
      <c r="M61" s="2538"/>
      <c r="N61" s="2539">
        <f ca="1">ROUND(N59*10000/'数据-汇总表'!E3,0)</f>
        <v>13906</v>
      </c>
      <c r="O61" s="2540"/>
    </row>
    <row r="62" spans="1:35" ht="12.75">
      <c r="A62" s="3588" t="s">
        <v>1375</v>
      </c>
      <c r="B62" s="3589"/>
      <c r="C62" s="2019"/>
      <c r="D62" s="2019" t="s">
        <v>1376</v>
      </c>
      <c r="E62" s="166" t="s">
        <v>1377</v>
      </c>
      <c r="F62" s="1806"/>
      <c r="G62" s="1806"/>
      <c r="H62" s="1808"/>
      <c r="I62" s="129"/>
    </row>
    <row r="63" spans="1:35" ht="12.75">
      <c r="A63" s="173" t="s">
        <v>330</v>
      </c>
      <c r="B63" s="167" t="s">
        <v>1378</v>
      </c>
      <c r="C63" s="2562">
        <f ca="1">ROUND((C64+C65)/(1+'数据-取费表'!C42),0)</f>
        <v>379</v>
      </c>
      <c r="D63" s="167"/>
      <c r="E63" s="168"/>
      <c r="F63" s="1806"/>
      <c r="G63" s="1806"/>
      <c r="H63" s="1808"/>
      <c r="I63" s="129"/>
      <c r="J63" s="3552" t="s">
        <v>1379</v>
      </c>
      <c r="K63" s="1330" t="s">
        <v>1380</v>
      </c>
      <c r="L63" s="1330">
        <f ca="1">IF(M49&gt;10000,M49*0.5%,IF(AND(M49&gt;1000,M49&lt;=10000),M49*1%,IF(AND(M49&gt;100,M49&lt;=1000),M49*3%,IF(AND(M49&gt;10,M49&lt;=100),M49*5%,M49*8%))))</f>
        <v>11.94</v>
      </c>
      <c r="M63" s="302">
        <f ca="1">ROUND(L63,1)</f>
        <v>11.9</v>
      </c>
      <c r="N63" s="2541"/>
      <c r="Z63" s="1750"/>
      <c r="AI63" s="1751"/>
    </row>
    <row r="64" spans="1:35" ht="14.25" customHeight="1">
      <c r="A64" s="169" t="s">
        <v>325</v>
      </c>
      <c r="B64" s="170" t="s">
        <v>1381</v>
      </c>
      <c r="C64" s="2563">
        <f ca="1">D45</f>
        <v>398</v>
      </c>
      <c r="D64" s="170" t="s">
        <v>26</v>
      </c>
      <c r="E64" s="172"/>
      <c r="F64" s="1806"/>
      <c r="G64" s="1806"/>
      <c r="H64" s="1808"/>
      <c r="I64" s="129"/>
      <c r="J64" s="3552"/>
      <c r="K64" s="1330" t="s">
        <v>1382</v>
      </c>
      <c r="L64" s="1330">
        <f ca="1">IF(M49&gt;2000,M49*0.5%,IF(AND(M49&gt;1000,M49&lt;=2000),M49*0.6%,IF(AND(M49&gt;500,M49&lt;=1000),M49*0.7%,IF(AND(M49&gt;200,M49&lt;=500),M49*0.8%,IF(AND(M49&gt;100,M49&lt;=200),M49*0.9%,IF(AND(M49&gt;50,M49&lt;=100),M49*1%,IF(AND(M49&gt;20,M49&lt;=50),M49*1.5%,IF(AND(M49&gt;10,M49&lt;=20),M49*2%,IF(AND(M49&gt;1,M49&lt;=10),M49*2.5%)))))))))</f>
        <v>3.1840000000000002</v>
      </c>
      <c r="M64" s="302">
        <f t="shared" ref="M64:M65" ca="1" si="1">ROUND(L64,1)</f>
        <v>3.2</v>
      </c>
      <c r="N64" s="2542" t="s">
        <v>1383</v>
      </c>
      <c r="Z64" s="1750"/>
      <c r="AI64" s="1751"/>
    </row>
    <row r="65" spans="1:35" ht="14.25" customHeight="1">
      <c r="A65" s="169" t="s">
        <v>326</v>
      </c>
      <c r="B65" s="170" t="s">
        <v>1384</v>
      </c>
      <c r="C65" s="2564"/>
      <c r="D65" s="170"/>
      <c r="E65" s="172"/>
      <c r="F65" s="1806"/>
      <c r="G65" s="1806"/>
      <c r="H65" s="1808"/>
      <c r="I65" s="129"/>
      <c r="J65" s="3552"/>
      <c r="K65" s="1330" t="s">
        <v>1385</v>
      </c>
      <c r="L65" s="1330">
        <f ca="1">IF(M49&gt;1000,M49*0.1%,IF(AND(M49&gt;500,M49&lt;=1000),M49*0.5%,IF(AND(M49&gt;50,M49&lt;=500),M49*1%,IF(AND(M49&gt;1,M49&lt;=50),M49*1.5%))))</f>
        <v>3.98</v>
      </c>
      <c r="M65" s="302">
        <f t="shared" ca="1" si="1"/>
        <v>4</v>
      </c>
      <c r="N65" s="2542" t="s">
        <v>1383</v>
      </c>
      <c r="Z65" s="1750"/>
      <c r="AI65" s="1751"/>
    </row>
    <row r="66" spans="1:35" ht="14.25" customHeight="1">
      <c r="A66" s="173" t="s">
        <v>327</v>
      </c>
      <c r="B66" s="174" t="s">
        <v>1386</v>
      </c>
      <c r="C66" s="2565"/>
      <c r="D66" s="174" t="s">
        <v>26</v>
      </c>
      <c r="E66" s="1336" t="s">
        <v>671</v>
      </c>
      <c r="F66" s="1806"/>
      <c r="G66" s="1806"/>
      <c r="H66" s="1808"/>
      <c r="I66" s="129"/>
      <c r="J66" s="3552"/>
      <c r="K66" s="1330" t="s">
        <v>1387</v>
      </c>
      <c r="L66" s="1330">
        <f ca="1">M49*0.5%</f>
        <v>1.99</v>
      </c>
      <c r="M66" s="302">
        <f ca="1">IF(L66&gt;0.5,0.5,ROUND(L66,0))</f>
        <v>0.5</v>
      </c>
      <c r="N66" s="2542" t="s">
        <v>1388</v>
      </c>
      <c r="Z66" s="1750"/>
      <c r="AI66" s="1751"/>
    </row>
    <row r="67" spans="1:35" ht="14.25" customHeight="1">
      <c r="A67" s="173" t="s">
        <v>328</v>
      </c>
      <c r="B67" s="174" t="s">
        <v>1389</v>
      </c>
      <c r="C67" s="2566">
        <f ca="1">C63-C66</f>
        <v>379</v>
      </c>
      <c r="D67" s="170" t="s">
        <v>26</v>
      </c>
      <c r="E67" s="172"/>
      <c r="F67" s="1806"/>
      <c r="G67" s="1806"/>
      <c r="H67" s="1808"/>
      <c r="I67" s="129"/>
      <c r="J67" s="3552"/>
      <c r="K67" s="1330" t="s">
        <v>1390</v>
      </c>
      <c r="L67" s="1330">
        <f ca="1">IF(M49&gt;=10000,(8.25+(M49-10000)*0.01%),IF(AND(M49&gt;=8000,M49&lt;10000),(7.85+(M49-8000)*0.02%),IF(AND(M49&gt;=5000,M49&lt;8000),(6.65+(M49-5000)*0.04%),IF(AND(M49&gt;=2000,M49&lt;5000),(4.25+(PM49-2000)*0.08%),IF(AND(M49&gt;=1000,M49&lt;2000),(2.75+(M49-1000)*0.15%),IF(AND(M49&gt;=100,M49&lt;1000),(0.5+(M49-100)*0.25%),IF(AND(M49&gt;0,M49&lt;100),M49*0.5%)))))))</f>
        <v>1.2450000000000001</v>
      </c>
      <c r="M67" s="302">
        <f ca="1">ROUND(L67*0.9,1)</f>
        <v>1.1000000000000001</v>
      </c>
      <c r="N67" s="2541"/>
      <c r="Z67" s="1750"/>
      <c r="AI67" s="1751"/>
    </row>
    <row r="68" spans="1:35" ht="14.25" customHeight="1" thickBot="1">
      <c r="A68" s="176" t="s">
        <v>329</v>
      </c>
      <c r="B68" s="177" t="s">
        <v>1391</v>
      </c>
      <c r="C68" s="2567">
        <f ca="1">IF(C67&lt;=0,0,ROUND(C67*D68,0))</f>
        <v>21</v>
      </c>
      <c r="D68" s="2568">
        <f>'数据-取费表'!B41</f>
        <v>5.6000000000000001E-2</v>
      </c>
      <c r="E68" s="178"/>
      <c r="F68" s="1806"/>
      <c r="G68" s="1806"/>
      <c r="H68" s="1808"/>
      <c r="I68" s="129"/>
      <c r="J68" s="3552"/>
      <c r="K68" s="1330" t="s">
        <v>1392</v>
      </c>
      <c r="L68" s="1330">
        <f ca="1">IF(M49&gt;10000,M49*0.5%,IF(AND(M49&gt;5000,M49&lt;=10000),M49*1%,IF(AND(M49&gt;1000,M49&lt;=5000),M49*2%,IF(AND(M49&gt;200,M49&lt;=1000),M49*3%,M49*5%))))</f>
        <v>11.94</v>
      </c>
      <c r="M68" s="302">
        <f ca="1">ROUND(L68,1)</f>
        <v>11.9</v>
      </c>
      <c r="N68" s="2541"/>
      <c r="Z68" s="1750"/>
      <c r="AI68" s="1751"/>
    </row>
    <row r="69" spans="1:35" s="1770" customFormat="1" ht="16.5" customHeight="1">
      <c r="A69" s="1809"/>
      <c r="B69" s="1810"/>
      <c r="C69" s="1811"/>
      <c r="D69" s="1812"/>
      <c r="E69" s="1813"/>
      <c r="F69" s="1576"/>
      <c r="G69" s="1576"/>
      <c r="H69" s="1575"/>
      <c r="I69" s="1745"/>
      <c r="J69" s="3552"/>
      <c r="K69" s="1330" t="s">
        <v>1393</v>
      </c>
      <c r="L69" s="1330"/>
      <c r="M69" s="302">
        <f ca="1">ROUND(SUM(M63:M68),0)</f>
        <v>33</v>
      </c>
      <c r="N69" s="2543">
        <f ca="1">M69/M49</f>
        <v>8.2914572864321606E-2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8" t="s">
        <v>1375</v>
      </c>
      <c r="B71" s="358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379</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3" t="s">
        <v>1402</v>
      </c>
      <c r="F76" s="3592"/>
      <c r="G76" s="3592"/>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85" t="s">
        <v>1406</v>
      </c>
      <c r="F78" s="3586"/>
      <c r="G78" s="3586"/>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377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188.5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8" t="s">
        <v>1375</v>
      </c>
      <c r="B84" s="358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379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4" t="s">
        <v>2128</v>
      </c>
      <c r="H90" s="355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5" t="s">
        <v>1419</v>
      </c>
      <c r="F91" s="3586"/>
      <c r="G91" s="358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5" t="s">
        <v>1422</v>
      </c>
      <c r="F92" s="3586"/>
      <c r="G92" s="3586"/>
      <c r="H92" s="358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85" t="s">
        <v>1406</v>
      </c>
      <c r="F93" s="3586"/>
      <c r="G93" s="3586"/>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0" t="s">
        <v>1426</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377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188.5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3" t="str">
        <f>C4</f>
        <v>比较法-办公</v>
      </c>
      <c r="D101" s="2584" t="str">
        <f>D4</f>
        <v>收益法 (元)</v>
      </c>
      <c r="E101" s="3548" t="s">
        <v>1431</v>
      </c>
      <c r="F101" s="3549"/>
      <c r="G101" s="1825" t="s">
        <v>1432</v>
      </c>
      <c r="H101" s="2593">
        <f ca="1">H118</f>
        <v>398</v>
      </c>
      <c r="I101" s="129"/>
    </row>
    <row r="102" spans="1:35" ht="18.75" customHeight="1">
      <c r="A102" s="3580" t="s">
        <v>1433</v>
      </c>
      <c r="B102" s="2582" t="s">
        <v>1432</v>
      </c>
      <c r="C102" s="2583">
        <f ca="1">IF(D32="楼面单价",ROUND(C19,0),C19)</f>
        <v>462</v>
      </c>
      <c r="D102" s="2584">
        <f ca="1">IF(D32="楼面单价",ROUND(D19,0),D19)</f>
        <v>248</v>
      </c>
      <c r="E102" s="3548"/>
      <c r="F102" s="3549"/>
      <c r="G102" s="1825" t="s">
        <v>1434</v>
      </c>
      <c r="H102" s="2553">
        <f ca="1">I118</f>
        <v>37627</v>
      </c>
      <c r="I102" s="129"/>
    </row>
    <row r="103" spans="1:35" ht="42.75" customHeight="1">
      <c r="A103" s="3580"/>
      <c r="B103" s="2582" t="s">
        <v>1434</v>
      </c>
      <c r="C103" s="2585">
        <f ca="1">C20</f>
        <v>43683</v>
      </c>
      <c r="D103" s="2586">
        <f ca="1">D20</f>
        <v>23495</v>
      </c>
      <c r="E103" s="3541" t="s">
        <v>1435</v>
      </c>
      <c r="F103" s="3542"/>
      <c r="G103" s="1826" t="s">
        <v>1436</v>
      </c>
      <c r="H103" s="2593">
        <f>IF(D36="正常操作",H104+H105+H106,H105+H106)</f>
        <v>0</v>
      </c>
      <c r="I103" s="129"/>
    </row>
    <row r="104" spans="1:35" ht="18.75" customHeight="1">
      <c r="A104" s="3580" t="s">
        <v>1437</v>
      </c>
      <c r="B104" s="2587" t="s">
        <v>1432</v>
      </c>
      <c r="C104" s="2588">
        <f ca="1">H118</f>
        <v>398</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37627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1" t="str">
        <f>IF(项目基本情况!E8="已注销","——","3.房地产抵押价值")</f>
        <v>3.房地产抵押价值</v>
      </c>
      <c r="F107" s="3549"/>
      <c r="G107" s="1825" t="s">
        <v>1432</v>
      </c>
      <c r="H107" s="2593">
        <f ca="1">IF(E107="——","——",H101-H103)</f>
        <v>398</v>
      </c>
      <c r="I107" s="129"/>
    </row>
    <row r="108" spans="1:35" ht="18.75" customHeight="1">
      <c r="A108" s="129"/>
      <c r="B108" s="129"/>
      <c r="C108" s="129"/>
      <c r="D108" s="129"/>
      <c r="E108" s="3581"/>
      <c r="F108" s="3549"/>
      <c r="G108" s="1825" t="s">
        <v>1434</v>
      </c>
      <c r="H108" s="2553">
        <f ca="1">IF(H107=H101,H102,ROUND(H107*10000/'数据-汇总表'!E3,0))</f>
        <v>37627</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5" t="s">
        <v>1432</v>
      </c>
      <c r="H109" s="2596" t="str">
        <f>IF(E109="——","——",H101-H105-H106)</f>
        <v>——</v>
      </c>
      <c r="I109" s="129"/>
    </row>
    <row r="110" spans="1:35" ht="18.75" customHeight="1">
      <c r="A110" s="129"/>
      <c r="B110" s="129"/>
      <c r="C110" s="129"/>
      <c r="D110" s="129"/>
      <c r="E110" s="3581"/>
      <c r="F110" s="3549"/>
      <c r="G110" s="1825" t="s">
        <v>1434</v>
      </c>
      <c r="H110" s="2553"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5" t="s">
        <v>1432</v>
      </c>
      <c r="H111" s="2593" t="str">
        <f>IF(E111="——","——",N59)</f>
        <v>——</v>
      </c>
      <c r="I111" s="129"/>
    </row>
    <row r="112" spans="1:35" ht="18.75" customHeight="1" thickBot="1">
      <c r="A112" s="129"/>
      <c r="B112" s="129"/>
      <c r="C112" s="129"/>
      <c r="D112" s="129"/>
      <c r="E112" s="3583"/>
      <c r="F112" s="3584"/>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105.71</v>
      </c>
      <c r="C118" s="2327">
        <f>M19</f>
        <v>12.5</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398</v>
      </c>
      <c r="I118" s="2327">
        <f ca="1">ROUND(IF(D32="楼面单价",C32,H118*10000/B118),0)</f>
        <v>37627</v>
      </c>
    </row>
    <row r="119" spans="1:27" ht="18.75" customHeight="1">
      <c r="A119" s="3556" t="s">
        <v>1452</v>
      </c>
      <c r="B119" s="3556"/>
      <c r="C119" s="3556"/>
      <c r="D119" s="3562" t="e">
        <f ca="1">NUMBERSTRING(INT(D118*10000),2)&amp;"元整"</f>
        <v>#DIV/0!</v>
      </c>
      <c r="E119" s="3563"/>
      <c r="F119" s="3562" t="e">
        <f ca="1">NUMBERSTRING(INT(F118*10000),2)&amp;"元整"</f>
        <v>#DIV/0!</v>
      </c>
      <c r="G119" s="3563"/>
      <c r="H119" s="3562" t="str">
        <f ca="1">NUMBERSTRING(INT(H118*10000),2)&amp;"元整"</f>
        <v>叁佰玖拾捌万元整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2" t="s">
        <v>1452</v>
      </c>
      <c r="B121" s="3564"/>
      <c r="C121" s="3563"/>
      <c r="D121" s="3562" t="str">
        <f>IF(D120=0,"零元整",NUMBERSTRING(INT(D120*10000),2)&amp;"元整")</f>
        <v>零元整</v>
      </c>
      <c r="E121" s="3564"/>
      <c r="F121" s="3564"/>
      <c r="G121" s="3564"/>
      <c r="H121" s="3564"/>
      <c r="I121" s="3563"/>
      <c r="AA121" s="723"/>
    </row>
    <row r="122" spans="1:27" ht="18.75" customHeight="1">
      <c r="A122" s="3568" t="str">
        <f>IF(项目基本情况!B9="房地产市场价值","",MID(E107,3,LEN(E107)-2))</f>
        <v>房地产抵押价值</v>
      </c>
      <c r="B122" s="3568"/>
      <c r="C122" s="3568"/>
      <c r="D122" s="3557">
        <f ca="1">H107</f>
        <v>398</v>
      </c>
      <c r="E122" s="3558"/>
      <c r="F122" s="3558"/>
      <c r="G122" s="3558"/>
      <c r="H122" s="3558"/>
      <c r="I122" s="3559"/>
      <c r="AA122" s="723"/>
    </row>
    <row r="123" spans="1:27" ht="18.75" customHeight="1">
      <c r="A123" s="3556" t="s">
        <v>1452</v>
      </c>
      <c r="B123" s="3556"/>
      <c r="C123" s="3556"/>
      <c r="D123" s="3562" t="str">
        <f ca="1">NUMBERSTRING(INT(D122*10000),2)&amp;"元整"</f>
        <v>叁佰玖拾捌万元整</v>
      </c>
      <c r="E123" s="3564"/>
      <c r="F123" s="3564"/>
      <c r="G123" s="3564"/>
      <c r="H123" s="3564"/>
      <c r="I123" s="3563"/>
      <c r="AA123" s="723"/>
    </row>
    <row r="124" spans="1:27" ht="18.75" customHeight="1">
      <c r="A124" s="3568" t="str">
        <f>IF(项目基本情况!B9="房地产市场价值","",MID(E109,3,LEN(E109)-2))</f>
        <v/>
      </c>
      <c r="B124" s="3568"/>
      <c r="C124" s="3568"/>
      <c r="D124" s="3557" t="str">
        <f>H109</f>
        <v>——</v>
      </c>
      <c r="E124" s="3558"/>
      <c r="F124" s="3558"/>
      <c r="G124" s="3558"/>
      <c r="H124" s="3558"/>
      <c r="I124" s="3559"/>
      <c r="AA124" s="723"/>
    </row>
    <row r="125" spans="1:27" ht="18.75" customHeight="1">
      <c r="A125" s="3556" t="s">
        <v>1452</v>
      </c>
      <c r="B125" s="3556"/>
      <c r="C125" s="3556"/>
      <c r="D125" s="3562" t="e">
        <f>NUMBERSTRING(INT(D124*10000),2)&amp;"元整"</f>
        <v>#VALUE!</v>
      </c>
      <c r="E125" s="3564"/>
      <c r="F125" s="3564"/>
      <c r="G125" s="3564"/>
      <c r="H125" s="3564"/>
      <c r="I125" s="3563"/>
      <c r="AA125" s="723"/>
    </row>
    <row r="126" spans="1:27" ht="18.75" customHeight="1">
      <c r="A126" s="3568" t="str">
        <f>IF(项目基本情况!B9="房地产市场价值","",MID(E111,3,LEN(E111)-2))</f>
        <v/>
      </c>
      <c r="B126" s="3568"/>
      <c r="C126" s="3568"/>
      <c r="D126" s="3557" t="str">
        <f>H111</f>
        <v>——</v>
      </c>
      <c r="E126" s="3558"/>
      <c r="F126" s="3558"/>
      <c r="G126" s="3558"/>
      <c r="H126" s="3558"/>
      <c r="I126" s="3559"/>
      <c r="AA126" s="723"/>
    </row>
    <row r="127" spans="1:27" ht="18.75" customHeight="1">
      <c r="A127" s="3556" t="s">
        <v>1452</v>
      </c>
      <c r="B127" s="3556"/>
      <c r="C127" s="3556"/>
      <c r="D127" s="3562" t="e">
        <f>NUMBERSTRING(INT(D126*10000),2)&amp;"元整"</f>
        <v>#VALUE!</v>
      </c>
      <c r="E127" s="3564"/>
      <c r="F127" s="3564"/>
      <c r="G127" s="3564"/>
      <c r="H127" s="3564"/>
      <c r="I127" s="3563"/>
      <c r="AA127" s="723"/>
    </row>
    <row r="128" spans="1:27" ht="21.75" customHeight="1">
      <c r="A128" s="3565" t="s">
        <v>1453</v>
      </c>
      <c r="B128" s="3565"/>
      <c r="C128" s="3565"/>
      <c r="D128" s="3565"/>
      <c r="E128" s="3565"/>
      <c r="F128" s="3565"/>
      <c r="G128" s="3565"/>
      <c r="H128" s="3565"/>
      <c r="I128" s="356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3404</v>
      </c>
      <c r="B1" t="s">
        <v>3405</v>
      </c>
      <c r="C1" t="s">
        <v>3406</v>
      </c>
      <c r="D1" t="s">
        <v>3407</v>
      </c>
      <c r="E1" t="s">
        <v>3408</v>
      </c>
      <c r="F1" t="s">
        <v>3409</v>
      </c>
      <c r="G1" t="s">
        <v>3410</v>
      </c>
    </row>
    <row r="2" spans="1:7">
      <c r="A2" t="s">
        <v>3411</v>
      </c>
      <c r="B2" t="s">
        <v>3412</v>
      </c>
      <c r="C2" t="s">
        <v>3413</v>
      </c>
      <c r="D2">
        <v>105.71</v>
      </c>
      <c r="E2">
        <v>12.5</v>
      </c>
      <c r="F2">
        <v>33</v>
      </c>
      <c r="G2">
        <v>20</v>
      </c>
    </row>
    <row r="3" spans="1:7">
      <c r="B3" t="s">
        <v>3414</v>
      </c>
      <c r="C3" t="s">
        <v>3400</v>
      </c>
      <c r="D3">
        <v>105.71</v>
      </c>
      <c r="E3">
        <v>12.5</v>
      </c>
      <c r="F3">
        <v>33</v>
      </c>
      <c r="G3">
        <v>20</v>
      </c>
    </row>
    <row r="4" spans="1:7">
      <c r="B4" t="s">
        <v>3415</v>
      </c>
      <c r="C4" t="s">
        <v>3401</v>
      </c>
      <c r="D4">
        <v>161.22999999999999</v>
      </c>
      <c r="F4">
        <v>33</v>
      </c>
      <c r="G4">
        <v>20</v>
      </c>
    </row>
    <row r="5" spans="1:7">
      <c r="B5" t="s">
        <v>3416</v>
      </c>
      <c r="C5" t="s">
        <v>3417</v>
      </c>
      <c r="D5">
        <v>137.53</v>
      </c>
      <c r="E5">
        <v>16.27</v>
      </c>
      <c r="F5">
        <v>33</v>
      </c>
      <c r="G5">
        <v>20</v>
      </c>
    </row>
    <row r="6" spans="1:7">
      <c r="B6" t="s">
        <v>3418</v>
      </c>
      <c r="C6" t="s">
        <v>3402</v>
      </c>
      <c r="D6">
        <v>171.15</v>
      </c>
      <c r="E6">
        <v>20.239999999999998</v>
      </c>
      <c r="F6">
        <v>33</v>
      </c>
      <c r="G6">
        <v>20</v>
      </c>
    </row>
    <row r="7" spans="1:7">
      <c r="B7" t="s">
        <v>3419</v>
      </c>
      <c r="C7" t="s">
        <v>3420</v>
      </c>
      <c r="D7">
        <v>137.53</v>
      </c>
      <c r="F7">
        <v>33</v>
      </c>
      <c r="G7">
        <v>20</v>
      </c>
    </row>
    <row r="8" spans="1:7">
      <c r="B8" t="s">
        <v>3421</v>
      </c>
      <c r="C8" t="s">
        <v>3422</v>
      </c>
      <c r="D8">
        <v>161.22999999999999</v>
      </c>
      <c r="E8">
        <v>19.059999999999999</v>
      </c>
      <c r="F8">
        <v>33</v>
      </c>
      <c r="G8">
        <v>20</v>
      </c>
    </row>
    <row r="9" spans="1:7">
      <c r="B9" t="s">
        <v>3423</v>
      </c>
      <c r="C9" t="s">
        <v>3403</v>
      </c>
      <c r="D9">
        <v>105.71</v>
      </c>
      <c r="E9">
        <v>12.5</v>
      </c>
      <c r="F9">
        <v>33</v>
      </c>
      <c r="G9">
        <v>20</v>
      </c>
    </row>
    <row r="10" spans="1:7">
      <c r="B10" t="s">
        <v>3424</v>
      </c>
      <c r="C10" t="s">
        <v>3425</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105.71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105.71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8" t="s">
        <v>346</v>
      </c>
      <c r="B46" s="248" t="s">
        <v>1549</v>
      </c>
      <c r="C46" s="249">
        <f ca="1">ROUND((C33+C39)*F27,0)</f>
        <v>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v>
      </c>
      <c r="D51" s="232"/>
      <c r="E51" s="232"/>
      <c r="F51" s="264"/>
      <c r="G51" s="234" t="s">
        <v>1560</v>
      </c>
    </row>
    <row r="52" spans="1:7" s="208" customFormat="1" ht="16.5" thickBot="1">
      <c r="A52" s="265" t="s">
        <v>1561</v>
      </c>
      <c r="B52" s="266"/>
      <c r="C52" s="267">
        <f ca="1">C31+C51</f>
        <v>48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51.76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21142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21142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21142</v>
      </c>
      <c r="D10" s="843">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21142</v>
      </c>
      <c r="D19" s="847">
        <f ca="1">D9+D10</f>
        <v>105.71</v>
      </c>
      <c r="E19" s="211">
        <f>'数据-取费表'!B31</f>
        <v>200</v>
      </c>
      <c r="F19" s="231"/>
      <c r="G19" s="1854"/>
    </row>
    <row r="20" spans="1:7" s="214" customFormat="1" ht="13.5" customHeight="1">
      <c r="A20" s="255" t="s">
        <v>1574</v>
      </c>
      <c r="B20" s="210" t="s">
        <v>1575</v>
      </c>
      <c r="C20" s="232">
        <f ca="1">ROUND((C5+C19)*F20,0)</f>
        <v>846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2997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1484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1484</v>
      </c>
      <c r="D24" s="238"/>
      <c r="E24" s="238"/>
      <c r="F24" s="239"/>
      <c r="G24" s="240" t="s">
        <v>1586</v>
      </c>
    </row>
    <row r="25" spans="1:7" s="214" customFormat="1" ht="24">
      <c r="A25" s="778" t="s">
        <v>1476</v>
      </c>
      <c r="B25" s="215" t="s">
        <v>1587</v>
      </c>
      <c r="C25" s="1126">
        <f ca="1">ROUND(IF('数据-取费表'!B22&lt;=1,C20*F22*'数据-取费表'!B22/2,C20*(POWER((1+F22),'数据-取费表'!B22/2)-1)),0)</f>
        <v>29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6470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6470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56985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463010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422840</v>
      </c>
      <c r="D34" s="217"/>
      <c r="E34" s="220"/>
      <c r="F34" s="257"/>
      <c r="G34" s="219"/>
    </row>
    <row r="35" spans="1:7" ht="13.5" customHeight="1">
      <c r="A35" s="778" t="s">
        <v>351</v>
      </c>
      <c r="B35" s="215" t="s">
        <v>1527</v>
      </c>
      <c r="C35" s="220">
        <f ca="1">ROUND(C34*F35,0)</f>
        <v>12685</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21142</v>
      </c>
      <c r="D37" s="217">
        <f ca="1">D19</f>
        <v>105.71</v>
      </c>
      <c r="E37" s="249">
        <f>'数据-取费表'!B35</f>
        <v>200</v>
      </c>
      <c r="F37" s="259"/>
      <c r="G37" s="261"/>
    </row>
    <row r="38" spans="1:7" ht="13.5" customHeight="1">
      <c r="A38" s="778" t="s">
        <v>354</v>
      </c>
      <c r="B38" s="215" t="s">
        <v>1533</v>
      </c>
      <c r="C38" s="220">
        <f ca="1">ROUND(C34*F38,0)</f>
        <v>6343</v>
      </c>
      <c r="D38" s="220"/>
      <c r="E38" s="220"/>
      <c r="F38" s="259">
        <f>'数据-取费表'!B36</f>
        <v>1.4999999999999999E-2</v>
      </c>
      <c r="G38" s="219" t="s">
        <v>1528</v>
      </c>
    </row>
    <row r="39" spans="1:7" s="214" customFormat="1" ht="13.5" customHeight="1">
      <c r="A39" s="255" t="s">
        <v>1534</v>
      </c>
      <c r="B39" s="210" t="s">
        <v>1535</v>
      </c>
      <c r="C39" s="232">
        <f ca="1">ROUND(C33*F20,0)</f>
        <v>9260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16293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15974</v>
      </c>
      <c r="D42" s="238"/>
      <c r="E42" s="238"/>
      <c r="F42" s="239"/>
      <c r="G42" s="3635" t="s">
        <v>1591</v>
      </c>
    </row>
    <row r="43" spans="1:7" ht="13.5" customHeight="1">
      <c r="A43" s="778" t="s">
        <v>347</v>
      </c>
      <c r="B43" s="215" t="s">
        <v>1545</v>
      </c>
      <c r="C43" s="238">
        <f ca="1">ROUND(IF('数据-取费表'!B22&lt;=1,C39*F22*'数据-取费表'!B20/2,C39*(POWER((1+F22),'数据-取费表'!B20/2)-1)),0)</f>
        <v>319</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70841</v>
      </c>
      <c r="D45" s="235">
        <f ca="1">C47</f>
        <v>3.0000000000000001E-3</v>
      </c>
      <c r="E45" s="236" t="s">
        <v>1539</v>
      </c>
      <c r="F45" s="246">
        <f ca="1">F27</f>
        <v>0.15</v>
      </c>
      <c r="G45" s="247" t="s">
        <v>1548</v>
      </c>
    </row>
    <row r="46" spans="1:7" s="214" customFormat="1" ht="13.5" customHeight="1">
      <c r="A46" s="778" t="s">
        <v>346</v>
      </c>
      <c r="B46" s="248" t="s">
        <v>1549</v>
      </c>
      <c r="C46" s="249">
        <f ca="1">ROUND((C33+C39)*F27,0)</f>
        <v>70841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606072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460615</v>
      </c>
      <c r="D51" s="232"/>
      <c r="E51" s="232"/>
      <c r="F51" s="264"/>
      <c r="G51" s="234" t="s">
        <v>1560</v>
      </c>
    </row>
    <row r="52" spans="1:7" s="208" customFormat="1" ht="16.5" thickBot="1">
      <c r="A52" s="265" t="s">
        <v>1561</v>
      </c>
      <c r="B52" s="266"/>
      <c r="C52" s="267">
        <f ca="1">C31+C51</f>
        <v>517600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-189</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105.71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105.71</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3" t="s">
        <v>2320</v>
      </c>
      <c r="K2" s="364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5" t="s">
        <v>2330</v>
      </c>
      <c r="K3" s="364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5" t="s">
        <v>2332</v>
      </c>
      <c r="K4" s="364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7" t="s">
        <v>2336</v>
      </c>
      <c r="B6" s="3648"/>
      <c r="C6" s="3649"/>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4" t="s">
        <v>2350</v>
      </c>
      <c r="C8" s="3655"/>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4" t="s">
        <v>2356</v>
      </c>
      <c r="C9" s="3655"/>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54" t="s">
        <v>2359</v>
      </c>
      <c r="C10" s="3655"/>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54" t="s">
        <v>2362</v>
      </c>
      <c r="C11" s="3655"/>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3" t="s">
        <v>2320</v>
      </c>
      <c r="K32" s="364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5" t="s">
        <v>2330</v>
      </c>
      <c r="K33" s="364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5" t="s">
        <v>2332</v>
      </c>
      <c r="K34" s="364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248.363</v>
      </c>
      <c r="C2" s="1870" t="s">
        <v>1651</v>
      </c>
      <c r="D2" s="1871" t="s">
        <v>1652</v>
      </c>
      <c r="E2" s="2605">
        <f>SUM(E6:E13)</f>
        <v>105.71</v>
      </c>
      <c r="F2" s="2705"/>
      <c r="G2" s="1487"/>
      <c r="H2" s="1487"/>
      <c r="I2" s="1487"/>
      <c r="J2" s="1487"/>
      <c r="K2" s="1487"/>
      <c r="L2" s="1487"/>
      <c r="M2" s="1487"/>
      <c r="N2" s="1487"/>
      <c r="O2" s="1487"/>
      <c r="P2" s="1487"/>
      <c r="Q2" s="1487"/>
      <c r="R2" s="1487"/>
      <c r="S2" s="1487"/>
    </row>
    <row r="3" spans="1:22" ht="15.75">
      <c r="A3" s="1868" t="s">
        <v>686</v>
      </c>
      <c r="B3" s="2599">
        <f ca="1">ROUND(B2*10000/E2,0)</f>
        <v>23495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248.363</v>
      </c>
      <c r="C6" s="1870" t="s">
        <v>1651</v>
      </c>
      <c r="D6" s="2707"/>
      <c r="E6" s="2604">
        <f>IF(OR(A6=0,F6="否"),0,'数据-取费表'!K6+'数据-取费表'!S6)</f>
        <v>105.71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105.71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9" t="s">
        <v>1668</v>
      </c>
      <c r="S4" s="3670"/>
      <c r="T4" s="3669" t="s">
        <v>1669</v>
      </c>
      <c r="U4" s="3670"/>
      <c r="V4" s="3694" t="s">
        <v>1670</v>
      </c>
      <c r="W4" s="3694"/>
      <c r="X4" s="1353"/>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8"/>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1888"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7" t="s">
        <v>1680</v>
      </c>
      <c r="Q7" s="3695"/>
      <c r="R7" s="699" t="s">
        <v>20</v>
      </c>
      <c r="S7" s="700">
        <f t="shared" ref="S7:S15" si="0">F7</f>
        <v>0</v>
      </c>
      <c r="T7" s="699" t="s">
        <v>20</v>
      </c>
      <c r="U7" s="700">
        <f t="shared" ref="U7:U15" si="1">H7</f>
        <v>0</v>
      </c>
      <c r="V7" s="699" t="s">
        <v>20</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7" t="s">
        <v>1683</v>
      </c>
      <c r="Q8" s="3668"/>
      <c r="R8" s="699" t="s">
        <v>20</v>
      </c>
      <c r="S8" s="700">
        <f t="shared" si="0"/>
        <v>100</v>
      </c>
      <c r="T8" s="699" t="s">
        <v>20</v>
      </c>
      <c r="U8" s="700">
        <f t="shared" si="1"/>
        <v>100</v>
      </c>
      <c r="V8" s="699" t="s">
        <v>20</v>
      </c>
      <c r="W8" s="700">
        <f t="shared" si="2"/>
        <v>100</v>
      </c>
      <c r="X8" s="701"/>
      <c r="Y8" s="3667" t="s">
        <v>1683</v>
      </c>
      <c r="Z8" s="366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61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0" t="str">
        <f t="shared" si="6"/>
        <v>居住社区成熟度</v>
      </c>
      <c r="R15" s="703" t="s">
        <v>18</v>
      </c>
      <c r="S15" s="704">
        <f t="shared" si="0"/>
        <v>100</v>
      </c>
      <c r="T15" s="703" t="s">
        <v>18</v>
      </c>
      <c r="U15" s="704">
        <f t="shared" si="1"/>
        <v>100</v>
      </c>
      <c r="V15" s="703" t="s">
        <v>18</v>
      </c>
      <c r="W15" s="704">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9"/>
      <c r="Q16" s="1350"/>
      <c r="R16" s="703"/>
      <c r="S16" s="704"/>
      <c r="T16" s="703"/>
      <c r="U16" s="704"/>
      <c r="V16" s="703"/>
      <c r="W16" s="704"/>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0" t="str">
        <f>B17</f>
        <v>交通便捷度</v>
      </c>
      <c r="R17" s="703" t="s">
        <v>18</v>
      </c>
      <c r="S17" s="704">
        <f>F17</f>
        <v>100</v>
      </c>
      <c r="T17" s="703" t="s">
        <v>18</v>
      </c>
      <c r="U17" s="704">
        <f>H17</f>
        <v>100</v>
      </c>
      <c r="V17" s="703" t="s">
        <v>18</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0" t="str">
        <f>B19</f>
        <v>公共配套设施</v>
      </c>
      <c r="R19" s="703" t="s">
        <v>18</v>
      </c>
      <c r="S19" s="704">
        <f>F19</f>
        <v>100</v>
      </c>
      <c r="T19" s="703" t="s">
        <v>18</v>
      </c>
      <c r="U19" s="704">
        <f>H19</f>
        <v>100</v>
      </c>
      <c r="V19" s="703" t="s">
        <v>18</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9"/>
      <c r="Q22" s="1350"/>
      <c r="R22" s="703"/>
      <c r="S22" s="704"/>
      <c r="T22" s="703"/>
      <c r="U22" s="704"/>
      <c r="V22" s="703"/>
      <c r="W22" s="704"/>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0" t="str">
        <f>B23</f>
        <v>自然及人文环境</v>
      </c>
      <c r="R23" s="703" t="s">
        <v>18</v>
      </c>
      <c r="S23" s="704">
        <f>F23</f>
        <v>100</v>
      </c>
      <c r="T23" s="703" t="s">
        <v>18</v>
      </c>
      <c r="U23" s="704">
        <f>H23</f>
        <v>100</v>
      </c>
      <c r="V23" s="703" t="s">
        <v>18</v>
      </c>
      <c r="W23" s="704">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9"/>
      <c r="Q26" s="1350" t="str">
        <f t="shared" si="11"/>
        <v>朝向</v>
      </c>
      <c r="R26" s="703" t="s">
        <v>18</v>
      </c>
      <c r="S26" s="704">
        <f t="shared" si="12"/>
        <v>100</v>
      </c>
      <c r="T26" s="703" t="s">
        <v>18</v>
      </c>
      <c r="U26" s="704">
        <f t="shared" si="13"/>
        <v>100</v>
      </c>
      <c r="V26" s="703" t="s">
        <v>18</v>
      </c>
      <c r="W26" s="704">
        <f t="shared" si="14"/>
        <v>100</v>
      </c>
      <c r="X26" s="1353"/>
      <c r="Y26" s="370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9"/>
      <c r="Q27" s="1341">
        <f t="shared" si="11"/>
        <v>111</v>
      </c>
      <c r="R27" s="699" t="s">
        <v>18</v>
      </c>
      <c r="S27" s="700">
        <f t="shared" si="12"/>
        <v>100</v>
      </c>
      <c r="T27" s="699" t="s">
        <v>18</v>
      </c>
      <c r="U27" s="700">
        <f t="shared" si="13"/>
        <v>100</v>
      </c>
      <c r="V27" s="699" t="s">
        <v>18</v>
      </c>
      <c r="W27" s="700">
        <f t="shared" si="14"/>
        <v>100</v>
      </c>
      <c r="X27" s="701"/>
      <c r="Y27" s="370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9"/>
      <c r="Q28" s="1350">
        <f t="shared" si="11"/>
        <v>111</v>
      </c>
      <c r="R28" s="703" t="s">
        <v>18</v>
      </c>
      <c r="S28" s="704">
        <f t="shared" si="12"/>
        <v>100</v>
      </c>
      <c r="T28" s="703" t="s">
        <v>18</v>
      </c>
      <c r="U28" s="704">
        <f t="shared" si="13"/>
        <v>100</v>
      </c>
      <c r="V28" s="703" t="s">
        <v>18</v>
      </c>
      <c r="W28" s="704">
        <f t="shared" si="14"/>
        <v>100</v>
      </c>
      <c r="X28" s="1353"/>
      <c r="Y28" s="370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9"/>
      <c r="Q29" s="1350">
        <f t="shared" si="11"/>
        <v>111</v>
      </c>
      <c r="R29" s="703" t="s">
        <v>18</v>
      </c>
      <c r="S29" s="704">
        <f t="shared" si="12"/>
        <v>100</v>
      </c>
      <c r="T29" s="703" t="s">
        <v>18</v>
      </c>
      <c r="U29" s="704">
        <f t="shared" si="13"/>
        <v>100</v>
      </c>
      <c r="V29" s="703" t="s">
        <v>18</v>
      </c>
      <c r="W29" s="704">
        <f t="shared" si="14"/>
        <v>100</v>
      </c>
      <c r="X29" s="1353"/>
      <c r="Y29" s="370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9"/>
      <c r="Q30" s="1350">
        <f t="shared" si="11"/>
        <v>111</v>
      </c>
      <c r="R30" s="703" t="s">
        <v>18</v>
      </c>
      <c r="S30" s="704">
        <f t="shared" si="12"/>
        <v>100</v>
      </c>
      <c r="T30" s="703" t="s">
        <v>18</v>
      </c>
      <c r="U30" s="704">
        <f t="shared" si="13"/>
        <v>100</v>
      </c>
      <c r="V30" s="703" t="s">
        <v>18</v>
      </c>
      <c r="W30" s="704">
        <f t="shared" si="14"/>
        <v>100</v>
      </c>
      <c r="X30" s="1353"/>
      <c r="Y30" s="370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9"/>
      <c r="Q31" s="1350">
        <f t="shared" si="11"/>
        <v>111</v>
      </c>
      <c r="R31" s="703" t="s">
        <v>18</v>
      </c>
      <c r="S31" s="704">
        <f t="shared" si="12"/>
        <v>100</v>
      </c>
      <c r="T31" s="703" t="s">
        <v>18</v>
      </c>
      <c r="U31" s="704">
        <f t="shared" si="13"/>
        <v>100</v>
      </c>
      <c r="V31" s="703" t="s">
        <v>18</v>
      </c>
      <c r="W31" s="704">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3" t="s">
        <v>18</v>
      </c>
      <c r="S32" s="704">
        <f t="shared" si="12"/>
        <v>100</v>
      </c>
      <c r="T32" s="703" t="s">
        <v>18</v>
      </c>
      <c r="U32" s="704">
        <f t="shared" si="13"/>
        <v>100</v>
      </c>
      <c r="V32" s="703" t="s">
        <v>18</v>
      </c>
      <c r="W32" s="704">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5" t="str">
        <f t="shared" si="11"/>
        <v>项目建筑规模</v>
      </c>
      <c r="R33" s="706" t="s">
        <v>18</v>
      </c>
      <c r="S33" s="707" t="e">
        <f t="shared" si="12"/>
        <v>#N/A</v>
      </c>
      <c r="T33" s="706" t="s">
        <v>18</v>
      </c>
      <c r="U33" s="707" t="e">
        <f t="shared" si="13"/>
        <v>#N/A</v>
      </c>
      <c r="V33" s="706" t="s">
        <v>18</v>
      </c>
      <c r="W33" s="707" t="e">
        <f t="shared" si="14"/>
        <v>#N/A</v>
      </c>
      <c r="X33" s="708"/>
      <c r="Y33" s="370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3" t="s">
        <v>18</v>
      </c>
      <c r="S34" s="704">
        <f t="shared" si="12"/>
        <v>100</v>
      </c>
      <c r="T34" s="703" t="s">
        <v>18</v>
      </c>
      <c r="U34" s="704">
        <f t="shared" si="13"/>
        <v>100</v>
      </c>
      <c r="V34" s="703" t="s">
        <v>18</v>
      </c>
      <c r="W34" s="704">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3" t="s">
        <v>18</v>
      </c>
      <c r="S35" s="704">
        <f t="shared" si="12"/>
        <v>100</v>
      </c>
      <c r="T35" s="703" t="s">
        <v>18</v>
      </c>
      <c r="U35" s="704">
        <f t="shared" si="13"/>
        <v>100</v>
      </c>
      <c r="V35" s="703" t="s">
        <v>18</v>
      </c>
      <c r="W35" s="704">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3" t="s">
        <v>18</v>
      </c>
      <c r="S36" s="704">
        <f t="shared" si="12"/>
        <v>100</v>
      </c>
      <c r="T36" s="703" t="s">
        <v>18</v>
      </c>
      <c r="U36" s="704">
        <f t="shared" si="13"/>
        <v>100</v>
      </c>
      <c r="V36" s="703" t="s">
        <v>18</v>
      </c>
      <c r="W36" s="704">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699" t="s">
        <v>18</v>
      </c>
      <c r="S37" s="700" t="e">
        <f t="shared" si="12"/>
        <v>#N/A</v>
      </c>
      <c r="T37" s="699" t="s">
        <v>18</v>
      </c>
      <c r="U37" s="700" t="e">
        <f t="shared" si="13"/>
        <v>#N/A</v>
      </c>
      <c r="V37" s="699" t="s">
        <v>18</v>
      </c>
      <c r="W37" s="700" t="e">
        <f t="shared" si="14"/>
        <v>#N/A</v>
      </c>
      <c r="X37" s="701"/>
      <c r="Y37" s="370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3" t="s">
        <v>18</v>
      </c>
      <c r="S38" s="704">
        <f t="shared" si="12"/>
        <v>100</v>
      </c>
      <c r="T38" s="703" t="s">
        <v>18</v>
      </c>
      <c r="U38" s="704">
        <f t="shared" si="13"/>
        <v>100</v>
      </c>
      <c r="V38" s="703" t="s">
        <v>18</v>
      </c>
      <c r="W38" s="704">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3" t="s">
        <v>18</v>
      </c>
      <c r="S39" s="704">
        <f t="shared" si="12"/>
        <v>100</v>
      </c>
      <c r="T39" s="703" t="s">
        <v>18</v>
      </c>
      <c r="U39" s="704">
        <f t="shared" si="13"/>
        <v>100</v>
      </c>
      <c r="V39" s="703" t="s">
        <v>18</v>
      </c>
      <c r="W39" s="704">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3" t="s">
        <v>18</v>
      </c>
      <c r="S40" s="704">
        <f t="shared" si="12"/>
        <v>100</v>
      </c>
      <c r="T40" s="703" t="s">
        <v>18</v>
      </c>
      <c r="U40" s="704">
        <f t="shared" si="13"/>
        <v>100</v>
      </c>
      <c r="V40" s="703" t="s">
        <v>18</v>
      </c>
      <c r="W40" s="704">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5" t="str">
        <f t="shared" si="11"/>
        <v>单套/主力户型建筑面积</v>
      </c>
      <c r="R41" s="706" t="s">
        <v>18</v>
      </c>
      <c r="S41" s="707">
        <f t="shared" si="12"/>
        <v>100</v>
      </c>
      <c r="T41" s="706" t="s">
        <v>18</v>
      </c>
      <c r="U41" s="707">
        <f t="shared" si="13"/>
        <v>100</v>
      </c>
      <c r="V41" s="706" t="s">
        <v>18</v>
      </c>
      <c r="W41" s="707">
        <f t="shared" si="14"/>
        <v>100</v>
      </c>
      <c r="X41" s="708"/>
      <c r="Y41" s="370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3" t="s">
        <v>18</v>
      </c>
      <c r="S42" s="704">
        <f t="shared" si="12"/>
        <v>100</v>
      </c>
      <c r="T42" s="703" t="s">
        <v>18</v>
      </c>
      <c r="U42" s="704">
        <f t="shared" si="13"/>
        <v>100</v>
      </c>
      <c r="V42" s="703" t="s">
        <v>18</v>
      </c>
      <c r="W42" s="704">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3" t="s">
        <v>18</v>
      </c>
      <c r="S43" s="704">
        <f t="shared" si="12"/>
        <v>100</v>
      </c>
      <c r="T43" s="703" t="s">
        <v>18</v>
      </c>
      <c r="U43" s="704">
        <f t="shared" si="13"/>
        <v>100</v>
      </c>
      <c r="V43" s="703" t="s">
        <v>18</v>
      </c>
      <c r="W43" s="704">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699" t="s">
        <v>18</v>
      </c>
      <c r="S44" s="700">
        <f t="shared" si="12"/>
        <v>100</v>
      </c>
      <c r="T44" s="699" t="s">
        <v>18</v>
      </c>
      <c r="U44" s="700">
        <f t="shared" si="13"/>
        <v>100</v>
      </c>
      <c r="V44" s="699" t="s">
        <v>18</v>
      </c>
      <c r="W44" s="700">
        <f t="shared" si="14"/>
        <v>100</v>
      </c>
      <c r="X44" s="701"/>
      <c r="Y44" s="370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3" t="s">
        <v>18</v>
      </c>
      <c r="S45" s="704">
        <f t="shared" si="12"/>
        <v>100</v>
      </c>
      <c r="T45" s="703" t="s">
        <v>18</v>
      </c>
      <c r="U45" s="704">
        <f t="shared" si="13"/>
        <v>100</v>
      </c>
      <c r="V45" s="703" t="s">
        <v>18</v>
      </c>
      <c r="W45" s="704">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3" t="s">
        <v>17</v>
      </c>
      <c r="S46" s="704">
        <f t="shared" si="12"/>
        <v>100</v>
      </c>
      <c r="T46" s="703" t="s">
        <v>17</v>
      </c>
      <c r="U46" s="704">
        <f t="shared" si="13"/>
        <v>100</v>
      </c>
      <c r="V46" s="703" t="s">
        <v>17</v>
      </c>
      <c r="W46" s="704">
        <f t="shared" si="14"/>
        <v>100</v>
      </c>
      <c r="X46" s="1353"/>
      <c r="Y46" s="370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105.71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94"/>
      <c r="AC6" s="3666"/>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0" t="str">
        <f t="shared" si="6"/>
        <v>商业繁华度</v>
      </c>
      <c r="R15" s="703" t="s">
        <v>14</v>
      </c>
      <c r="S15" s="704">
        <f t="shared" si="0"/>
        <v>100</v>
      </c>
      <c r="T15" s="703" t="s">
        <v>14</v>
      </c>
      <c r="U15" s="704">
        <f t="shared" si="1"/>
        <v>100</v>
      </c>
      <c r="V15" s="703" t="s">
        <v>14</v>
      </c>
      <c r="W15" s="704">
        <f t="shared" si="2"/>
        <v>100</v>
      </c>
      <c r="X15" s="1353"/>
      <c r="Y15" s="370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9"/>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9"/>
      <c r="Q22" s="1350"/>
      <c r="R22" s="703"/>
      <c r="S22" s="704"/>
      <c r="T22" s="703"/>
      <c r="U22" s="704"/>
      <c r="V22" s="703"/>
      <c r="W22" s="704"/>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0" t="str">
        <f>B23</f>
        <v>自然及人文环境</v>
      </c>
      <c r="R23" s="703" t="s">
        <v>14</v>
      </c>
      <c r="S23" s="704">
        <f>F23</f>
        <v>100</v>
      </c>
      <c r="T23" s="703" t="s">
        <v>14</v>
      </c>
      <c r="U23" s="704">
        <f>H23</f>
        <v>100</v>
      </c>
      <c r="V23" s="703" t="s">
        <v>14</v>
      </c>
      <c r="W23" s="704">
        <f>J23</f>
        <v>100</v>
      </c>
      <c r="X23" s="1353"/>
      <c r="Y23" s="370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0" t="str">
        <f t="shared" ref="Q25:Q46" si="11">B25</f>
        <v>临街状况</v>
      </c>
      <c r="R25" s="703" t="s">
        <v>14</v>
      </c>
      <c r="S25" s="704">
        <f>F25</f>
        <v>100</v>
      </c>
      <c r="T25" s="703" t="s">
        <v>14</v>
      </c>
      <c r="U25" s="704">
        <f>H25</f>
        <v>100</v>
      </c>
      <c r="V25" s="703" t="s">
        <v>14</v>
      </c>
      <c r="W25" s="704">
        <f>J25</f>
        <v>100</v>
      </c>
      <c r="X25" s="1353"/>
      <c r="Y25" s="370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0" t="str">
        <f t="shared" si="11"/>
        <v>平面位置/可视性</v>
      </c>
      <c r="R26" s="703" t="s">
        <v>14</v>
      </c>
      <c r="S26" s="704">
        <f>F26</f>
        <v>100</v>
      </c>
      <c r="T26" s="703" t="s">
        <v>14</v>
      </c>
      <c r="U26" s="704">
        <f>H26</f>
        <v>100</v>
      </c>
      <c r="V26" s="703" t="s">
        <v>14</v>
      </c>
      <c r="W26" s="704">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1" t="str">
        <f t="shared" si="11"/>
        <v>人流量</v>
      </c>
      <c r="R27" s="699" t="s">
        <v>14</v>
      </c>
      <c r="S27" s="700">
        <f>F27</f>
        <v>100</v>
      </c>
      <c r="T27" s="699" t="s">
        <v>14</v>
      </c>
      <c r="U27" s="700">
        <f>H27</f>
        <v>100</v>
      </c>
      <c r="V27" s="699" t="s">
        <v>14</v>
      </c>
      <c r="W27" s="700">
        <f>J27</f>
        <v>100</v>
      </c>
      <c r="X27" s="701"/>
      <c r="Y27" s="370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0">
        <f t="shared" si="11"/>
        <v>111</v>
      </c>
      <c r="R29" s="703" t="s">
        <v>14</v>
      </c>
      <c r="S29" s="704">
        <f t="shared" si="12"/>
        <v>100</v>
      </c>
      <c r="T29" s="703" t="s">
        <v>14</v>
      </c>
      <c r="U29" s="704">
        <f t="shared" si="13"/>
        <v>100</v>
      </c>
      <c r="V29" s="703" t="s">
        <v>14</v>
      </c>
      <c r="W29" s="704">
        <f t="shared" si="14"/>
        <v>100</v>
      </c>
      <c r="X29" s="1353"/>
      <c r="Y29" s="370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3" t="s">
        <v>14</v>
      </c>
      <c r="S32" s="704">
        <f t="shared" si="12"/>
        <v>100</v>
      </c>
      <c r="T32" s="703" t="s">
        <v>14</v>
      </c>
      <c r="U32" s="704">
        <f t="shared" si="13"/>
        <v>100</v>
      </c>
      <c r="V32" s="703" t="s">
        <v>14</v>
      </c>
      <c r="W32" s="704">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5" t="str">
        <f t="shared" si="11"/>
        <v>项目建筑规模</v>
      </c>
      <c r="R33" s="706" t="s">
        <v>14</v>
      </c>
      <c r="S33" s="707" t="e">
        <f t="shared" si="12"/>
        <v>#N/A</v>
      </c>
      <c r="T33" s="706" t="s">
        <v>14</v>
      </c>
      <c r="U33" s="707" t="e">
        <f t="shared" si="13"/>
        <v>#N/A</v>
      </c>
      <c r="V33" s="706" t="s">
        <v>14</v>
      </c>
      <c r="W33" s="707" t="e">
        <f t="shared" si="14"/>
        <v>#N/A</v>
      </c>
      <c r="X33" s="708"/>
      <c r="Y33" s="370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4"/>
      <c r="Q34" s="1350" t="str">
        <f t="shared" si="11"/>
        <v>建筑结构</v>
      </c>
      <c r="R34" s="703" t="s">
        <v>14</v>
      </c>
      <c r="S34" s="704">
        <f t="shared" si="12"/>
        <v>100</v>
      </c>
      <c r="T34" s="703" t="s">
        <v>14</v>
      </c>
      <c r="U34" s="704">
        <f t="shared" si="13"/>
        <v>100</v>
      </c>
      <c r="V34" s="703" t="s">
        <v>14</v>
      </c>
      <c r="W34" s="704">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3" t="s">
        <v>14</v>
      </c>
      <c r="S35" s="704">
        <f t="shared" si="12"/>
        <v>100</v>
      </c>
      <c r="T35" s="703" t="s">
        <v>14</v>
      </c>
      <c r="U35" s="704">
        <f t="shared" si="13"/>
        <v>100</v>
      </c>
      <c r="V35" s="703" t="s">
        <v>14</v>
      </c>
      <c r="W35" s="704">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0" t="str">
        <f t="shared" si="11"/>
        <v>成新度</v>
      </c>
      <c r="R36" s="703" t="s">
        <v>14</v>
      </c>
      <c r="S36" s="704" t="e">
        <f t="shared" si="12"/>
        <v>#N/A</v>
      </c>
      <c r="T36" s="703" t="s">
        <v>14</v>
      </c>
      <c r="U36" s="704" t="e">
        <f t="shared" si="13"/>
        <v>#N/A</v>
      </c>
      <c r="V36" s="703" t="s">
        <v>14</v>
      </c>
      <c r="W36" s="704" t="e">
        <f t="shared" si="14"/>
        <v>#N/A</v>
      </c>
      <c r="X36" s="1353"/>
      <c r="Y36" s="370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699" t="s">
        <v>14</v>
      </c>
      <c r="S37" s="700">
        <f t="shared" si="12"/>
        <v>100</v>
      </c>
      <c r="T37" s="699" t="s">
        <v>14</v>
      </c>
      <c r="U37" s="700">
        <f t="shared" si="13"/>
        <v>100</v>
      </c>
      <c r="V37" s="699" t="s">
        <v>14</v>
      </c>
      <c r="W37" s="700">
        <f t="shared" si="14"/>
        <v>100</v>
      </c>
      <c r="X37" s="701"/>
      <c r="Y37" s="370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3" t="s">
        <v>14</v>
      </c>
      <c r="S38" s="704">
        <f t="shared" si="12"/>
        <v>100</v>
      </c>
      <c r="T38" s="703" t="s">
        <v>14</v>
      </c>
      <c r="U38" s="704">
        <f t="shared" si="13"/>
        <v>100</v>
      </c>
      <c r="V38" s="703" t="s">
        <v>14</v>
      </c>
      <c r="W38" s="704">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3" t="s">
        <v>14</v>
      </c>
      <c r="S39" s="704">
        <f t="shared" si="12"/>
        <v>100</v>
      </c>
      <c r="T39" s="703" t="s">
        <v>14</v>
      </c>
      <c r="U39" s="704">
        <f t="shared" si="13"/>
        <v>100</v>
      </c>
      <c r="V39" s="703" t="s">
        <v>14</v>
      </c>
      <c r="W39" s="704">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3" t="s">
        <v>14</v>
      </c>
      <c r="S40" s="704">
        <f t="shared" si="12"/>
        <v>100</v>
      </c>
      <c r="T40" s="703" t="s">
        <v>14</v>
      </c>
      <c r="U40" s="704">
        <f t="shared" si="13"/>
        <v>100</v>
      </c>
      <c r="V40" s="703" t="s">
        <v>14</v>
      </c>
      <c r="W40" s="704">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5" t="str">
        <f t="shared" si="11"/>
        <v>进深比</v>
      </c>
      <c r="R41" s="706" t="s">
        <v>14</v>
      </c>
      <c r="S41" s="707">
        <f t="shared" si="12"/>
        <v>100</v>
      </c>
      <c r="T41" s="706" t="s">
        <v>14</v>
      </c>
      <c r="U41" s="707">
        <f t="shared" si="13"/>
        <v>100</v>
      </c>
      <c r="V41" s="706" t="s">
        <v>14</v>
      </c>
      <c r="W41" s="707">
        <f t="shared" si="14"/>
        <v>100</v>
      </c>
      <c r="X41" s="708"/>
      <c r="Y41" s="370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3" t="s">
        <v>14</v>
      </c>
      <c r="S42" s="704">
        <f t="shared" si="12"/>
        <v>100</v>
      </c>
      <c r="T42" s="703" t="s">
        <v>14</v>
      </c>
      <c r="U42" s="704">
        <f t="shared" si="13"/>
        <v>100</v>
      </c>
      <c r="V42" s="703" t="s">
        <v>14</v>
      </c>
      <c r="W42" s="704">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3" t="s">
        <v>14</v>
      </c>
      <c r="S43" s="704">
        <f t="shared" si="12"/>
        <v>100</v>
      </c>
      <c r="T43" s="703" t="s">
        <v>14</v>
      </c>
      <c r="U43" s="704">
        <f t="shared" si="13"/>
        <v>100</v>
      </c>
      <c r="V43" s="703" t="s">
        <v>14</v>
      </c>
      <c r="W43" s="704">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699" t="s">
        <v>14</v>
      </c>
      <c r="S44" s="700">
        <f t="shared" si="12"/>
        <v>100</v>
      </c>
      <c r="T44" s="699" t="s">
        <v>14</v>
      </c>
      <c r="U44" s="700">
        <f t="shared" si="13"/>
        <v>100</v>
      </c>
      <c r="V44" s="699" t="s">
        <v>14</v>
      </c>
      <c r="W44" s="700">
        <f t="shared" si="14"/>
        <v>100</v>
      </c>
      <c r="X44" s="701"/>
      <c r="Y44" s="370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3" t="s">
        <v>14</v>
      </c>
      <c r="S45" s="704">
        <f t="shared" si="12"/>
        <v>100</v>
      </c>
      <c r="T45" s="703" t="s">
        <v>14</v>
      </c>
      <c r="U45" s="704">
        <f t="shared" si="13"/>
        <v>100</v>
      </c>
      <c r="V45" s="703" t="s">
        <v>14</v>
      </c>
      <c r="W45" s="704">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9" t="str">
        <f>A47</f>
        <v>成交单价（元/平方米）</v>
      </c>
      <c r="Q47" s="3699"/>
      <c r="R47" s="3694">
        <f>E47</f>
        <v>0</v>
      </c>
      <c r="S47" s="3694"/>
      <c r="T47" s="3694">
        <f>G47</f>
        <v>0</v>
      </c>
      <c r="U47" s="3694"/>
      <c r="V47" s="3694">
        <f>I47</f>
        <v>0</v>
      </c>
      <c r="W47" s="369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3430</v>
      </c>
      <c r="F1" s="1877" t="s">
        <v>3431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461.77300000000002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43683</v>
      </c>
      <c r="C3" s="354" t="s">
        <v>1768</v>
      </c>
      <c r="D3" s="353">
        <f>IF(D1="",'数据-汇总表'!E3,SUMIF('数据-汇总表'!$C19:$C33,D1,'数据-汇总表'!$E19:$E33))</f>
        <v>105.71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8" t="s">
        <v>1775</v>
      </c>
      <c r="Q4" s="3719"/>
      <c r="R4" s="3711" t="s">
        <v>1771</v>
      </c>
      <c r="S4" s="3712"/>
      <c r="T4" s="3711" t="s">
        <v>1772</v>
      </c>
      <c r="U4" s="3712"/>
      <c r="V4" s="3722" t="s">
        <v>1773</v>
      </c>
      <c r="W4" s="3722"/>
      <c r="X4" s="1956"/>
      <c r="Y4" s="3711" t="s">
        <v>1775</v>
      </c>
      <c r="Z4" s="3712"/>
      <c r="AA4" s="3710" t="s">
        <v>1771</v>
      </c>
      <c r="AB4" s="3710" t="s">
        <v>1772</v>
      </c>
      <c r="AC4" s="3715" t="s">
        <v>1773</v>
      </c>
    </row>
    <row r="5" spans="1:29" ht="15">
      <c r="A5" s="358"/>
      <c r="B5" s="359"/>
      <c r="C5" s="3675" t="s">
        <v>1673</v>
      </c>
      <c r="D5" s="3676"/>
      <c r="E5" s="3713" t="s">
        <v>3466</v>
      </c>
      <c r="F5" s="3674"/>
      <c r="G5" s="3714" t="s">
        <v>3466</v>
      </c>
      <c r="H5" s="3676"/>
      <c r="I5" s="3714" t="s">
        <v>3469</v>
      </c>
      <c r="J5" s="3676"/>
      <c r="K5" s="559"/>
      <c r="L5" s="2713"/>
      <c r="M5" s="2714"/>
      <c r="N5" s="2714"/>
      <c r="O5" s="2714"/>
      <c r="P5" s="3720"/>
      <c r="Q5" s="3689"/>
      <c r="R5" s="3671"/>
      <c r="S5" s="3672"/>
      <c r="T5" s="3671"/>
      <c r="U5" s="3672"/>
      <c r="V5" s="3694"/>
      <c r="W5" s="3694"/>
      <c r="X5" s="1353"/>
      <c r="Y5" s="3671"/>
      <c r="Z5" s="3672"/>
      <c r="AA5" s="3665"/>
      <c r="AB5" s="3665"/>
      <c r="AC5" s="3716"/>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721"/>
      <c r="Q6" s="3691"/>
      <c r="R6" s="3671"/>
      <c r="S6" s="3672"/>
      <c r="T6" s="3692"/>
      <c r="U6" s="3693"/>
      <c r="V6" s="3694"/>
      <c r="W6" s="3694"/>
      <c r="X6" s="1353"/>
      <c r="Y6" s="3692"/>
      <c r="Z6" s="3693"/>
      <c r="AA6" s="3666"/>
      <c r="AB6" s="3666"/>
      <c r="AC6" s="3717"/>
    </row>
    <row r="7" spans="1:29" s="108" customFormat="1" ht="15.75" thickBot="1">
      <c r="A7" s="362" t="s">
        <v>1679</v>
      </c>
      <c r="B7" s="363"/>
      <c r="C7" s="364">
        <f>'数据-取费表'!B2</f>
        <v>45230</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23" t="s">
        <v>1680</v>
      </c>
      <c r="Q7" s="3695"/>
      <c r="R7" s="699" t="s">
        <v>14</v>
      </c>
      <c r="S7" s="700">
        <f t="shared" ref="S7:S15" si="0">F7</f>
        <v>100</v>
      </c>
      <c r="T7" s="699" t="s">
        <v>14</v>
      </c>
      <c r="U7" s="700">
        <f t="shared" ref="U7:U15" si="1">H7</f>
        <v>100</v>
      </c>
      <c r="V7" s="699" t="s">
        <v>14</v>
      </c>
      <c r="W7" s="700">
        <f t="shared" ref="W7:W15" si="2">J7</f>
        <v>100</v>
      </c>
      <c r="X7" s="701"/>
      <c r="Y7" s="3667" t="s">
        <v>1680</v>
      </c>
      <c r="Z7" s="3668"/>
      <c r="AA7" s="702">
        <f>D7/F7</f>
        <v>1</v>
      </c>
      <c r="AB7" s="702">
        <f>D7/H7</f>
        <v>1</v>
      </c>
      <c r="AC7" s="1957">
        <f>D7/J7</f>
        <v>1</v>
      </c>
    </row>
    <row r="8" spans="1:29" s="108" customFormat="1" ht="15.75" thickBot="1">
      <c r="A8" s="362" t="s">
        <v>1681</v>
      </c>
      <c r="B8" s="363"/>
      <c r="C8" s="368" t="s">
        <v>3432</v>
      </c>
      <c r="D8" s="365">
        <v>100</v>
      </c>
      <c r="E8" s="368" t="s">
        <v>3434</v>
      </c>
      <c r="F8" s="367">
        <f>SUMIF(62:62,E8,63:63)-SUMIF(62:62,C8,63:63)+100</f>
        <v>103</v>
      </c>
      <c r="G8" s="368" t="s">
        <v>3434</v>
      </c>
      <c r="H8" s="365">
        <f>SUMIF(62:62,G8,63:63)-SUMIF(62:62,C8,63:63)+100</f>
        <v>103</v>
      </c>
      <c r="I8" s="368" t="s">
        <v>3434</v>
      </c>
      <c r="J8" s="365">
        <f>SUMIF(62:62,I8,63:63)-SUMIF(62:62,C8,63:63)+100</f>
        <v>103</v>
      </c>
      <c r="K8" s="560"/>
      <c r="L8" s="2715"/>
      <c r="M8" s="2716"/>
      <c r="N8" s="2716"/>
      <c r="O8" s="2716"/>
      <c r="P8" s="3723" t="s">
        <v>1683</v>
      </c>
      <c r="Q8" s="3668"/>
      <c r="R8" s="699" t="s">
        <v>14</v>
      </c>
      <c r="S8" s="700">
        <f t="shared" si="0"/>
        <v>103</v>
      </c>
      <c r="T8" s="699" t="s">
        <v>14</v>
      </c>
      <c r="U8" s="700">
        <f t="shared" si="1"/>
        <v>103</v>
      </c>
      <c r="V8" s="699" t="s">
        <v>14</v>
      </c>
      <c r="W8" s="700">
        <f t="shared" si="2"/>
        <v>103</v>
      </c>
      <c r="X8" s="701"/>
      <c r="Y8" s="3667" t="s">
        <v>1683</v>
      </c>
      <c r="Z8" s="3668"/>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8" t="s">
        <v>1691</v>
      </c>
      <c r="Q15" s="1350" t="str">
        <f t="shared" si="6"/>
        <v>办公集聚程度</v>
      </c>
      <c r="R15" s="703" t="s">
        <v>14</v>
      </c>
      <c r="S15" s="704">
        <f t="shared" si="0"/>
        <v>100</v>
      </c>
      <c r="T15" s="703" t="s">
        <v>14</v>
      </c>
      <c r="U15" s="704">
        <f t="shared" si="1"/>
        <v>100</v>
      </c>
      <c r="V15" s="703" t="s">
        <v>14</v>
      </c>
      <c r="W15" s="704">
        <f t="shared" si="2"/>
        <v>100</v>
      </c>
      <c r="X15" s="1353"/>
      <c r="Y15" s="3701" t="s">
        <v>1691</v>
      </c>
      <c r="Z15" s="1354" t="str">
        <f t="shared" si="7"/>
        <v>办公集聚程度</v>
      </c>
      <c r="AA15" s="1351">
        <f t="shared" si="3"/>
        <v>1</v>
      </c>
      <c r="AB15" s="1351">
        <f t="shared" si="4"/>
        <v>1</v>
      </c>
      <c r="AC15" s="1960">
        <f t="shared" si="5"/>
        <v>1</v>
      </c>
    </row>
    <row r="16" spans="1:29" ht="15">
      <c r="A16" s="379"/>
      <c r="B16" s="578"/>
      <c r="C16" s="1902" t="s">
        <v>3460</v>
      </c>
      <c r="D16" s="399"/>
      <c r="E16" s="398" t="s">
        <v>3460</v>
      </c>
      <c r="F16" s="399"/>
      <c r="G16" s="398" t="s">
        <v>3460</v>
      </c>
      <c r="H16" s="401"/>
      <c r="I16" s="398" t="s">
        <v>3460</v>
      </c>
      <c r="J16" s="399"/>
      <c r="K16" s="564"/>
      <c r="L16" s="2720"/>
      <c r="M16" s="2714"/>
      <c r="N16" s="2714"/>
      <c r="O16" s="2714"/>
      <c r="P16" s="3709"/>
      <c r="Q16" s="1350"/>
      <c r="R16" s="703"/>
      <c r="S16" s="704"/>
      <c r="T16" s="703"/>
      <c r="U16" s="704"/>
      <c r="V16" s="703"/>
      <c r="W16" s="704"/>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960">
        <f t="shared" si="5"/>
        <v>1</v>
      </c>
    </row>
    <row r="18" spans="1:29" ht="15">
      <c r="A18" s="379"/>
      <c r="B18" s="580"/>
      <c r="C18" s="1962" t="s">
        <v>3460</v>
      </c>
      <c r="D18" s="401"/>
      <c r="E18" s="398" t="s">
        <v>3460</v>
      </c>
      <c r="F18" s="401"/>
      <c r="G18" s="398" t="s">
        <v>3460</v>
      </c>
      <c r="H18" s="399"/>
      <c r="I18" s="398" t="s">
        <v>3460</v>
      </c>
      <c r="J18" s="399"/>
      <c r="K18" s="564"/>
      <c r="L18" s="2720"/>
      <c r="M18" s="2714"/>
      <c r="N18" s="2714"/>
      <c r="O18" s="2714"/>
      <c r="P18" s="3709"/>
      <c r="Q18" s="1350"/>
      <c r="R18" s="703"/>
      <c r="S18" s="704"/>
      <c r="T18" s="703"/>
      <c r="U18" s="704"/>
      <c r="V18" s="703"/>
      <c r="W18" s="704"/>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960">
        <f t="shared" si="5"/>
        <v>1</v>
      </c>
    </row>
    <row r="20" spans="1:29" ht="15">
      <c r="A20" s="379"/>
      <c r="B20" s="580"/>
      <c r="C20" s="1902" t="s">
        <v>3460</v>
      </c>
      <c r="D20" s="399"/>
      <c r="E20" s="398" t="s">
        <v>3460</v>
      </c>
      <c r="F20" s="399"/>
      <c r="G20" s="398" t="s">
        <v>3460</v>
      </c>
      <c r="H20" s="399"/>
      <c r="I20" s="398" t="s">
        <v>3460</v>
      </c>
      <c r="J20" s="399"/>
      <c r="K20" s="564"/>
      <c r="L20" s="2720"/>
      <c r="M20" s="2714"/>
      <c r="N20" s="2714"/>
      <c r="O20" s="2714"/>
      <c r="P20" s="3709"/>
      <c r="Q20" s="1350"/>
      <c r="R20" s="703"/>
      <c r="S20" s="704"/>
      <c r="T20" s="703"/>
      <c r="U20" s="704"/>
      <c r="V20" s="703"/>
      <c r="W20" s="704"/>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t="s">
        <v>3461</v>
      </c>
      <c r="D22" s="399"/>
      <c r="E22" s="1962" t="s">
        <v>3461</v>
      </c>
      <c r="F22" s="399"/>
      <c r="G22" s="1962" t="s">
        <v>3461</v>
      </c>
      <c r="H22" s="399"/>
      <c r="I22" s="1962" t="s">
        <v>3461</v>
      </c>
      <c r="J22" s="399"/>
      <c r="K22" s="1128"/>
      <c r="L22" s="2720"/>
      <c r="M22" s="2714"/>
      <c r="N22" s="2714"/>
      <c r="O22" s="2714"/>
      <c r="P22" s="3709"/>
      <c r="Q22" s="1350"/>
      <c r="R22" s="703"/>
      <c r="S22" s="704"/>
      <c r="T22" s="703"/>
      <c r="U22" s="704"/>
      <c r="V22" s="703"/>
      <c r="W22" s="704"/>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9"/>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960">
        <f t="shared" si="5"/>
        <v>1</v>
      </c>
    </row>
    <row r="24" spans="1:29" ht="15">
      <c r="A24" s="379"/>
      <c r="B24" s="581"/>
      <c r="C24" s="1902" t="s">
        <v>3460</v>
      </c>
      <c r="D24" s="399"/>
      <c r="E24" s="1902" t="s">
        <v>3460</v>
      </c>
      <c r="F24" s="399"/>
      <c r="G24" s="1902" t="s">
        <v>3460</v>
      </c>
      <c r="H24" s="399"/>
      <c r="I24" s="1902" t="s">
        <v>3460</v>
      </c>
      <c r="J24" s="399"/>
      <c r="K24" s="564"/>
      <c r="L24" s="2720"/>
      <c r="M24" s="2714"/>
      <c r="N24" s="2714"/>
      <c r="O24" s="2714"/>
      <c r="P24" s="3709"/>
      <c r="Q24" s="1350"/>
      <c r="R24" s="703"/>
      <c r="S24" s="704"/>
      <c r="T24" s="703"/>
      <c r="U24" s="704"/>
      <c r="V24" s="703"/>
      <c r="W24" s="704"/>
      <c r="X24" s="1353"/>
      <c r="Y24" s="370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9"/>
      <c r="Q25" s="1350" t="str">
        <f>B25</f>
        <v>毗邻道路的类型与等级</v>
      </c>
      <c r="R25" s="703" t="s">
        <v>14</v>
      </c>
      <c r="S25" s="704">
        <f>F25</f>
        <v>100</v>
      </c>
      <c r="T25" s="703" t="s">
        <v>14</v>
      </c>
      <c r="U25" s="704">
        <f>H25</f>
        <v>100</v>
      </c>
      <c r="V25" s="703" t="s">
        <v>14</v>
      </c>
      <c r="W25" s="704">
        <f>J25</f>
        <v>100</v>
      </c>
      <c r="X25" s="1353"/>
      <c r="Y25" s="3702"/>
      <c r="Z25" s="1354" t="str">
        <f>Q25</f>
        <v>毗邻道路的类型与等级</v>
      </c>
      <c r="AA25" s="1351">
        <f t="shared" si="3"/>
        <v>1</v>
      </c>
      <c r="AB25" s="1351">
        <f t="shared" si="4"/>
        <v>1</v>
      </c>
      <c r="AC25" s="1960">
        <f t="shared" si="5"/>
        <v>1</v>
      </c>
    </row>
    <row r="26" spans="1:29" ht="15">
      <c r="A26" s="358"/>
      <c r="B26" s="580"/>
      <c r="C26" s="582" t="s">
        <v>3437</v>
      </c>
      <c r="D26" s="386"/>
      <c r="E26" s="582" t="s">
        <v>3437</v>
      </c>
      <c r="F26" s="386"/>
      <c r="G26" s="582" t="s">
        <v>3437</v>
      </c>
      <c r="H26" s="386"/>
      <c r="I26" s="582" t="s">
        <v>3437</v>
      </c>
      <c r="J26" s="386"/>
      <c r="K26" s="564"/>
      <c r="L26" s="2720"/>
      <c r="M26" s="2714"/>
      <c r="N26" s="2714"/>
      <c r="O26" s="2714"/>
      <c r="P26" s="3709"/>
      <c r="Q26" s="1350"/>
      <c r="R26" s="703"/>
      <c r="S26" s="704"/>
      <c r="T26" s="703"/>
      <c r="U26" s="704"/>
      <c r="V26" s="703"/>
      <c r="W26" s="704"/>
      <c r="X26" s="1353"/>
      <c r="Y26" s="3702"/>
      <c r="Z26" s="1354"/>
      <c r="AA26" s="1351">
        <v>1</v>
      </c>
      <c r="AB26" s="1351">
        <v>1</v>
      </c>
      <c r="AC26" s="1960">
        <v>1</v>
      </c>
    </row>
    <row r="27" spans="1:29" ht="15.75" thickBot="1">
      <c r="A27" s="379"/>
      <c r="B27" s="580" t="s">
        <v>1783</v>
      </c>
      <c r="C27" s="582" t="s">
        <v>3442</v>
      </c>
      <c r="D27" s="386">
        <v>100</v>
      </c>
      <c r="E27" s="582" t="s">
        <v>3445</v>
      </c>
      <c r="F27" s="386">
        <f>SUMIF(89:89,E27,90:90)-SUMIF(89:89,C27,90:90)+100</f>
        <v>96</v>
      </c>
      <c r="G27" s="582" t="s">
        <v>3445</v>
      </c>
      <c r="H27" s="386">
        <f>SUMIF(89:89,G27,90:90)-SUMIF(89:89,C27,90:90)+100</f>
        <v>96</v>
      </c>
      <c r="I27" s="582" t="s">
        <v>3442</v>
      </c>
      <c r="J27" s="386">
        <f>SUMIF(89:89,I27,90:90)-SUMIF(89:89,C27,90:90)+100</f>
        <v>100</v>
      </c>
      <c r="K27" s="561">
        <v>2</v>
      </c>
      <c r="L27" s="2720"/>
      <c r="M27" s="2714"/>
      <c r="N27" s="2714"/>
      <c r="O27" s="2714"/>
      <c r="P27" s="3709"/>
      <c r="Q27" s="1350" t="str">
        <f t="shared" ref="Q27:Q47" si="11">B27</f>
        <v>楼层</v>
      </c>
      <c r="R27" s="703" t="s">
        <v>14</v>
      </c>
      <c r="S27" s="704">
        <f>F27</f>
        <v>96</v>
      </c>
      <c r="T27" s="703" t="s">
        <v>14</v>
      </c>
      <c r="U27" s="704">
        <f>H27</f>
        <v>96</v>
      </c>
      <c r="V27" s="703" t="s">
        <v>14</v>
      </c>
      <c r="W27" s="704">
        <f>J27</f>
        <v>100</v>
      </c>
      <c r="X27" s="1353"/>
      <c r="Y27" s="3702"/>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9"/>
      <c r="Q28" s="1341" t="str">
        <f t="shared" si="11"/>
        <v>朝向</v>
      </c>
      <c r="R28" s="699" t="s">
        <v>14</v>
      </c>
      <c r="S28" s="700">
        <f>F28</f>
        <v>100</v>
      </c>
      <c r="T28" s="699" t="s">
        <v>14</v>
      </c>
      <c r="U28" s="700">
        <f>H28</f>
        <v>100</v>
      </c>
      <c r="V28" s="699" t="s">
        <v>14</v>
      </c>
      <c r="W28" s="700">
        <f>J28</f>
        <v>100</v>
      </c>
      <c r="X28" s="701"/>
      <c r="Y28" s="370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0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0">
        <f t="shared" si="11"/>
        <v>111</v>
      </c>
      <c r="R32" s="703" t="s">
        <v>14</v>
      </c>
      <c r="S32" s="704">
        <f t="shared" si="12"/>
        <v>100</v>
      </c>
      <c r="T32" s="703" t="s">
        <v>14</v>
      </c>
      <c r="U32" s="704">
        <f t="shared" si="13"/>
        <v>100</v>
      </c>
      <c r="V32" s="703" t="s">
        <v>14</v>
      </c>
      <c r="W32" s="704">
        <f t="shared" si="14"/>
        <v>100</v>
      </c>
      <c r="X32" s="1353"/>
      <c r="Y32" s="3702"/>
      <c r="Z32" s="1354">
        <f t="shared" si="15"/>
        <v>111</v>
      </c>
      <c r="AA32" s="1351">
        <f t="shared" si="3"/>
        <v>1</v>
      </c>
      <c r="AB32" s="1351">
        <f t="shared" si="4"/>
        <v>1</v>
      </c>
      <c r="AC32" s="1960">
        <f t="shared" si="5"/>
        <v>1</v>
      </c>
    </row>
    <row r="33" spans="1:29" ht="15">
      <c r="A33" s="391" t="s">
        <v>1694</v>
      </c>
      <c r="B33" s="63" t="s">
        <v>1817</v>
      </c>
      <c r="C33" s="1965" t="s">
        <v>3447</v>
      </c>
      <c r="D33" s="418">
        <v>100</v>
      </c>
      <c r="E33" s="1965" t="s">
        <v>3447</v>
      </c>
      <c r="F33" s="412">
        <f>SUMIF(101:101,E33,102:102)-SUMIF(101:101,C33,102:102)+100</f>
        <v>100</v>
      </c>
      <c r="G33" s="1965" t="s">
        <v>3447</v>
      </c>
      <c r="H33" s="386">
        <f>SUMIF(101:101,G33,102:102)-SUMIF(101:101,C33,102:102)+100</f>
        <v>100</v>
      </c>
      <c r="I33" s="1965" t="s">
        <v>3447</v>
      </c>
      <c r="J33" s="418">
        <f>SUMIF(101:101,I33,102:102)-SUMIF(101:101,C33,102:102)+100</f>
        <v>100</v>
      </c>
      <c r="K33" s="561"/>
      <c r="L33" s="2720"/>
      <c r="M33" s="2714"/>
      <c r="N33" s="2714"/>
      <c r="O33" s="2714"/>
      <c r="P33" s="3703" t="s">
        <v>1696</v>
      </c>
      <c r="Q33" s="1350" t="str">
        <f t="shared" si="11"/>
        <v>建筑类型</v>
      </c>
      <c r="R33" s="703" t="s">
        <v>14</v>
      </c>
      <c r="S33" s="704">
        <f t="shared" si="12"/>
        <v>100</v>
      </c>
      <c r="T33" s="703" t="s">
        <v>14</v>
      </c>
      <c r="U33" s="704">
        <f t="shared" si="13"/>
        <v>100</v>
      </c>
      <c r="V33" s="703" t="s">
        <v>14</v>
      </c>
      <c r="W33" s="704">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105.71</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1351">
        <f t="shared" si="3"/>
        <v>1</v>
      </c>
      <c r="AB34" s="1351">
        <f t="shared" si="4"/>
        <v>1</v>
      </c>
      <c r="AC34" s="1960">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04"/>
      <c r="Q35" s="1350" t="str">
        <f t="shared" si="11"/>
        <v>建筑结构</v>
      </c>
      <c r="R35" s="703" t="s">
        <v>14</v>
      </c>
      <c r="S35" s="704">
        <f t="shared" si="12"/>
        <v>100</v>
      </c>
      <c r="T35" s="703" t="s">
        <v>14</v>
      </c>
      <c r="U35" s="704">
        <f t="shared" si="13"/>
        <v>100</v>
      </c>
      <c r="V35" s="703" t="s">
        <v>14</v>
      </c>
      <c r="W35" s="704">
        <f t="shared" si="14"/>
        <v>100</v>
      </c>
      <c r="X35" s="1353"/>
      <c r="Y35" s="3706"/>
      <c r="Z35" s="1354" t="str">
        <f t="shared" si="15"/>
        <v>建筑结构</v>
      </c>
      <c r="AA35" s="1351">
        <f t="shared" si="3"/>
        <v>1</v>
      </c>
      <c r="AB35" s="1351">
        <f t="shared" si="4"/>
        <v>1</v>
      </c>
      <c r="AC35" s="1960">
        <f t="shared" si="5"/>
        <v>1</v>
      </c>
    </row>
    <row r="36" spans="1:29" ht="15">
      <c r="A36" s="423"/>
      <c r="B36" s="375" t="s">
        <v>1785</v>
      </c>
      <c r="C36" s="411" t="s">
        <v>3450</v>
      </c>
      <c r="D36" s="386">
        <v>100</v>
      </c>
      <c r="E36" s="411" t="s">
        <v>3450</v>
      </c>
      <c r="F36" s="412">
        <f>SUMIF(108:108,E36,109:109)-SUMIF(108:108,C36,109:109)+100</f>
        <v>100</v>
      </c>
      <c r="G36" s="3451" t="s">
        <v>3451</v>
      </c>
      <c r="H36" s="386">
        <f>SUMIF(108:108,G36,109:109)-SUMIF(108:108,C36,109:109)+100</f>
        <v>100</v>
      </c>
      <c r="I36" s="411" t="s">
        <v>3450</v>
      </c>
      <c r="J36" s="386">
        <f>SUMIF(108:108,I36,109:109)-SUMIF(108:108,C36,109:109)+100</f>
        <v>100</v>
      </c>
      <c r="K36" s="561">
        <v>1</v>
      </c>
      <c r="L36" s="2720"/>
      <c r="M36" s="2714"/>
      <c r="N36" s="2714"/>
      <c r="O36" s="2714"/>
      <c r="P36" s="3704"/>
      <c r="Q36" s="1350" t="str">
        <f t="shared" si="11"/>
        <v>公共部分装修</v>
      </c>
      <c r="R36" s="703" t="s">
        <v>14</v>
      </c>
      <c r="S36" s="704">
        <f t="shared" si="12"/>
        <v>100</v>
      </c>
      <c r="T36" s="703" t="s">
        <v>14</v>
      </c>
      <c r="U36" s="704">
        <f t="shared" si="13"/>
        <v>100</v>
      </c>
      <c r="V36" s="703" t="s">
        <v>14</v>
      </c>
      <c r="W36" s="704">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20"/>
      <c r="M37" s="2714"/>
      <c r="N37" s="2714"/>
      <c r="O37" s="2714"/>
      <c r="P37" s="3704"/>
      <c r="Q37" s="1350" t="str">
        <f t="shared" si="11"/>
        <v>成新度</v>
      </c>
      <c r="R37" s="703" t="s">
        <v>14</v>
      </c>
      <c r="S37" s="704">
        <f t="shared" si="12"/>
        <v>100</v>
      </c>
      <c r="T37" s="703" t="s">
        <v>14</v>
      </c>
      <c r="U37" s="704">
        <f t="shared" si="13"/>
        <v>100</v>
      </c>
      <c r="V37" s="703" t="s">
        <v>14</v>
      </c>
      <c r="W37" s="704">
        <f t="shared" si="14"/>
        <v>100</v>
      </c>
      <c r="X37" s="1353"/>
      <c r="Y37" s="3706"/>
      <c r="Z37" s="1354" t="str">
        <f t="shared" si="15"/>
        <v>成新度</v>
      </c>
      <c r="AA37" s="1351">
        <f t="shared" si="3"/>
        <v>1</v>
      </c>
      <c r="AB37" s="1351">
        <f t="shared" si="4"/>
        <v>1</v>
      </c>
      <c r="AC37" s="1960">
        <f t="shared" si="5"/>
        <v>1</v>
      </c>
    </row>
    <row r="38" spans="1:29" s="108" customFormat="1" ht="15">
      <c r="A38" s="424"/>
      <c r="B38" s="375" t="s">
        <v>1818</v>
      </c>
      <c r="C38" s="411" t="s">
        <v>3452</v>
      </c>
      <c r="D38" s="127">
        <v>100</v>
      </c>
      <c r="E38" s="411" t="s">
        <v>3452</v>
      </c>
      <c r="F38" s="412">
        <f>SUMIF(113:113,E38,114:114)-SUMIF(113:113,C38,114:114)+100</f>
        <v>100</v>
      </c>
      <c r="G38" s="411" t="s">
        <v>3452</v>
      </c>
      <c r="H38" s="386">
        <f>SUMIF(113:113,G38,114:114)-SUMIF(113:113,C38,114:114)+100</f>
        <v>100</v>
      </c>
      <c r="I38" s="411" t="s">
        <v>3452</v>
      </c>
      <c r="J38" s="386">
        <f>SUMIF(113:113,I38,114:114)-SUMIF(113:113,C38,114:114)+100</f>
        <v>100</v>
      </c>
      <c r="K38" s="561">
        <v>1</v>
      </c>
      <c r="L38" s="2715"/>
      <c r="M38" s="2716"/>
      <c r="N38" s="2716"/>
      <c r="O38" s="2716"/>
      <c r="P38" s="3704"/>
      <c r="Q38" s="1341" t="str">
        <f t="shared" si="11"/>
        <v>写字楼等级</v>
      </c>
      <c r="R38" s="699" t="s">
        <v>14</v>
      </c>
      <c r="S38" s="700">
        <f t="shared" si="12"/>
        <v>100</v>
      </c>
      <c r="T38" s="699" t="s">
        <v>14</v>
      </c>
      <c r="U38" s="700">
        <f t="shared" si="13"/>
        <v>100</v>
      </c>
      <c r="V38" s="699" t="s">
        <v>14</v>
      </c>
      <c r="W38" s="700">
        <f t="shared" si="14"/>
        <v>100</v>
      </c>
      <c r="X38" s="701"/>
      <c r="Y38" s="3706"/>
      <c r="Z38" s="52" t="str">
        <f t="shared" si="15"/>
        <v>写字楼等级</v>
      </c>
      <c r="AA38" s="702">
        <f t="shared" si="3"/>
        <v>1</v>
      </c>
      <c r="AB38" s="702">
        <f t="shared" si="4"/>
        <v>1</v>
      </c>
      <c r="AC38" s="1957">
        <f t="shared" si="5"/>
        <v>1</v>
      </c>
    </row>
    <row r="39" spans="1:29" ht="15">
      <c r="A39" s="423"/>
      <c r="B39" s="375" t="s">
        <v>1819</v>
      </c>
      <c r="C39" s="411" t="s">
        <v>3454</v>
      </c>
      <c r="D39" s="386">
        <v>100</v>
      </c>
      <c r="E39" s="411" t="s">
        <v>3454</v>
      </c>
      <c r="F39" s="412">
        <f>SUMIF(115:115,E39,116:116)-SUMIF(115:115,C39,116:116)+100</f>
        <v>100</v>
      </c>
      <c r="G39" s="411" t="s">
        <v>3454</v>
      </c>
      <c r="H39" s="386">
        <f>SUMIF(115:115,G39,116:116)-SUMIF(115:115,C39,116:116)+100</f>
        <v>100</v>
      </c>
      <c r="I39" s="411" t="s">
        <v>3454</v>
      </c>
      <c r="J39" s="386">
        <f>SUMIF(115:115,I39,116:116)-SUMIF(115:115,C39,116:116)+100</f>
        <v>100</v>
      </c>
      <c r="K39" s="561">
        <v>1</v>
      </c>
      <c r="L39" s="2720"/>
      <c r="M39" s="2714"/>
      <c r="N39" s="2714"/>
      <c r="O39" s="2714"/>
      <c r="P39" s="3704" t="s">
        <v>1696</v>
      </c>
      <c r="Q39" s="1350" t="str">
        <f t="shared" si="11"/>
        <v>物业管理</v>
      </c>
      <c r="R39" s="703" t="s">
        <v>14</v>
      </c>
      <c r="S39" s="704">
        <f t="shared" si="12"/>
        <v>100</v>
      </c>
      <c r="T39" s="703" t="s">
        <v>14</v>
      </c>
      <c r="U39" s="704">
        <f t="shared" si="13"/>
        <v>100</v>
      </c>
      <c r="V39" s="703" t="s">
        <v>14</v>
      </c>
      <c r="W39" s="704">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t="s">
        <v>3456</v>
      </c>
      <c r="D40" s="386">
        <v>100</v>
      </c>
      <c r="E40" s="411" t="s">
        <v>3456</v>
      </c>
      <c r="F40" s="412">
        <f>SUMIF(117:117,E40,118:118)-SUMIF(117:117,C40,118:118)+100</f>
        <v>100</v>
      </c>
      <c r="G40" s="411" t="s">
        <v>3456</v>
      </c>
      <c r="H40" s="386">
        <f>SUMIF(117:117,G40,118:118)-SUMIF(117:117,C40,118:118)+100</f>
        <v>100</v>
      </c>
      <c r="I40" s="411" t="s">
        <v>3456</v>
      </c>
      <c r="J40" s="386">
        <f>SUMIF(117:117,I40,118:118)-SUMIF(117:117,C40,118:118)+100</f>
        <v>100</v>
      </c>
      <c r="K40" s="561">
        <v>1</v>
      </c>
      <c r="L40" s="2720"/>
      <c r="M40" s="2714"/>
      <c r="N40" s="2714"/>
      <c r="O40" s="2714"/>
      <c r="P40" s="3704"/>
      <c r="Q40" s="1350" t="str">
        <f t="shared" si="11"/>
        <v>市政基础设施</v>
      </c>
      <c r="R40" s="703" t="s">
        <v>14</v>
      </c>
      <c r="S40" s="704">
        <f t="shared" si="12"/>
        <v>100</v>
      </c>
      <c r="T40" s="703" t="s">
        <v>14</v>
      </c>
      <c r="U40" s="704">
        <f t="shared" si="13"/>
        <v>100</v>
      </c>
      <c r="V40" s="703" t="s">
        <v>14</v>
      </c>
      <c r="W40" s="704">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0" t="str">
        <f t="shared" si="11"/>
        <v>层高</v>
      </c>
      <c r="R41" s="703" t="s">
        <v>14</v>
      </c>
      <c r="S41" s="704">
        <f t="shared" si="12"/>
        <v>100</v>
      </c>
      <c r="T41" s="703" t="s">
        <v>14</v>
      </c>
      <c r="U41" s="704">
        <f t="shared" si="13"/>
        <v>100</v>
      </c>
      <c r="V41" s="703" t="s">
        <v>14</v>
      </c>
      <c r="W41" s="704">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1351">
        <f t="shared" si="3"/>
        <v>1</v>
      </c>
      <c r="AB42" s="1351">
        <f t="shared" si="4"/>
        <v>1</v>
      </c>
      <c r="AC42" s="1960">
        <f t="shared" si="5"/>
        <v>1</v>
      </c>
    </row>
    <row r="43" spans="1:29" ht="15">
      <c r="A43" s="423"/>
      <c r="B43" s="375" t="s">
        <v>1792</v>
      </c>
      <c r="C43" s="411" t="s">
        <v>3450</v>
      </c>
      <c r="D43" s="386">
        <v>100</v>
      </c>
      <c r="E43" s="411" t="s">
        <v>3457</v>
      </c>
      <c r="F43" s="412">
        <f>SUMIF(123:123,E43,124:124)-SUMIF(123:123,C43,124:124)+100</f>
        <v>98</v>
      </c>
      <c r="G43" s="411" t="s">
        <v>3457</v>
      </c>
      <c r="H43" s="386">
        <f>SUMIF(123:123,G43,124:124)-SUMIF(123:123,C43,124:124)+100</f>
        <v>98</v>
      </c>
      <c r="I43" s="411" t="s">
        <v>3450</v>
      </c>
      <c r="J43" s="386">
        <f>SUMIF(123:123,I43,124:124)-SUMIF(123:123,C43,124:124)+100</f>
        <v>100</v>
      </c>
      <c r="K43" s="561">
        <v>2</v>
      </c>
      <c r="L43" s="2720"/>
      <c r="M43" s="2714"/>
      <c r="N43" s="2714"/>
      <c r="O43" s="2714"/>
      <c r="P43" s="3704"/>
      <c r="Q43" s="1350" t="str">
        <f t="shared" si="11"/>
        <v>内部装修</v>
      </c>
      <c r="R43" s="703" t="s">
        <v>14</v>
      </c>
      <c r="S43" s="704">
        <f t="shared" si="12"/>
        <v>98</v>
      </c>
      <c r="T43" s="703" t="s">
        <v>14</v>
      </c>
      <c r="U43" s="704">
        <f t="shared" si="13"/>
        <v>98</v>
      </c>
      <c r="V43" s="703" t="s">
        <v>14</v>
      </c>
      <c r="W43" s="704">
        <f t="shared" si="14"/>
        <v>100</v>
      </c>
      <c r="X43" s="1353"/>
      <c r="Y43" s="3706"/>
      <c r="Z43" s="1354" t="str">
        <f t="shared" si="15"/>
        <v>内部装修</v>
      </c>
      <c r="AA43" s="1351">
        <f t="shared" si="3"/>
        <v>1.0204081632653061</v>
      </c>
      <c r="AB43" s="1351">
        <f t="shared" si="4"/>
        <v>1.0204081632653061</v>
      </c>
      <c r="AC43" s="1960">
        <f t="shared" si="5"/>
        <v>1</v>
      </c>
    </row>
    <row r="44" spans="1:29" ht="15.75" thickBot="1">
      <c r="A44" s="423"/>
      <c r="B44" s="375" t="s">
        <v>1707</v>
      </c>
      <c r="C44" s="411" t="s">
        <v>3460</v>
      </c>
      <c r="D44" s="386">
        <v>100</v>
      </c>
      <c r="E44" s="411" t="s">
        <v>3460</v>
      </c>
      <c r="F44" s="412">
        <f>SUMIF(125:125,E44,126:126)-SUMIF(125:125,C44,126:126)+100</f>
        <v>100</v>
      </c>
      <c r="G44" s="411" t="s">
        <v>3460</v>
      </c>
      <c r="H44" s="386">
        <f>SUMIF(125:125,G44,126:126)-SUMIF(125:125,C44,126:126)+100</f>
        <v>100</v>
      </c>
      <c r="I44" s="411" t="s">
        <v>3460</v>
      </c>
      <c r="J44" s="386">
        <f>SUMIF(125:125,I44,126:126)-SUMIF(125:125,C44,126:126)+100</f>
        <v>100</v>
      </c>
      <c r="K44" s="561">
        <v>1</v>
      </c>
      <c r="L44" s="2720"/>
      <c r="M44" s="2714"/>
      <c r="N44" s="2714"/>
      <c r="O44" s="2714"/>
      <c r="P44" s="3704"/>
      <c r="Q44" s="1350" t="str">
        <f t="shared" si="11"/>
        <v>内部装修维护情况</v>
      </c>
      <c r="R44" s="703" t="s">
        <v>14</v>
      </c>
      <c r="S44" s="704">
        <f t="shared" si="12"/>
        <v>100</v>
      </c>
      <c r="T44" s="703" t="s">
        <v>14</v>
      </c>
      <c r="U44" s="704">
        <f t="shared" si="13"/>
        <v>100</v>
      </c>
      <c r="V44" s="703" t="s">
        <v>14</v>
      </c>
      <c r="W44" s="704">
        <f t="shared" si="14"/>
        <v>100</v>
      </c>
      <c r="X44" s="1353"/>
      <c r="Y44" s="370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1">
        <f t="shared" si="11"/>
        <v>111</v>
      </c>
      <c r="R45" s="699" t="s">
        <v>14</v>
      </c>
      <c r="S45" s="700">
        <f t="shared" si="12"/>
        <v>100</v>
      </c>
      <c r="T45" s="699" t="s">
        <v>14</v>
      </c>
      <c r="U45" s="700">
        <f t="shared" si="13"/>
        <v>100</v>
      </c>
      <c r="V45" s="699" t="s">
        <v>14</v>
      </c>
      <c r="W45" s="700">
        <f t="shared" si="14"/>
        <v>100</v>
      </c>
      <c r="X45" s="701"/>
      <c r="Y45" s="370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3" t="s">
        <v>14</v>
      </c>
      <c r="S47" s="704">
        <f t="shared" si="12"/>
        <v>100</v>
      </c>
      <c r="T47" s="703" t="s">
        <v>14</v>
      </c>
      <c r="U47" s="704">
        <f t="shared" si="13"/>
        <v>100</v>
      </c>
      <c r="V47" s="703" t="s">
        <v>14</v>
      </c>
      <c r="W47" s="704">
        <f t="shared" si="14"/>
        <v>100</v>
      </c>
      <c r="X47" s="1353"/>
      <c r="Y47" s="3707"/>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81"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1793</v>
      </c>
      <c r="B49" s="438"/>
      <c r="C49" s="1158">
        <f>R50</f>
        <v>43683</v>
      </c>
      <c r="D49" s="2315" t="s">
        <v>2137</v>
      </c>
      <c r="E49" s="1159">
        <f>R49</f>
        <v>41283</v>
      </c>
      <c r="F49" s="2316"/>
      <c r="G49" s="1158">
        <f>T49</f>
        <v>41279</v>
      </c>
      <c r="H49" s="2316"/>
      <c r="I49" s="1159">
        <f>V49</f>
        <v>48488</v>
      </c>
      <c r="J49" s="2316"/>
      <c r="K49" s="2318">
        <f>F49+H49+J49</f>
        <v>0</v>
      </c>
      <c r="L49" s="2722"/>
      <c r="M49" s="2714"/>
      <c r="N49" s="2714"/>
      <c r="O49" s="2714"/>
      <c r="P49" s="3681" t="str">
        <f>A49</f>
        <v>比较价值（元/平方米）</v>
      </c>
      <c r="Q49" s="3699"/>
      <c r="R49" s="3700">
        <f>IF(F1="售价",ROUND(PRODUCT(R48,AA7:AA47),0),ROUND(PRODUCT(R48,AA7:AA47),1))</f>
        <v>41283</v>
      </c>
      <c r="S49" s="3700"/>
      <c r="T49" s="3700">
        <f>IF(F1="售价",ROUND(PRODUCT(T48,AB7:AB47),0),ROUND(PRODUCT(T48,AB7:AB47),1))</f>
        <v>41279</v>
      </c>
      <c r="U49" s="3700"/>
      <c r="V49" s="3700">
        <f>IF(F1="售价",ROUND(PRODUCT(V48,AC7:AC47),0),ROUND(PRODUCT(V48,AC7:AC47),1))</f>
        <v>48488</v>
      </c>
      <c r="W49" s="3700"/>
      <c r="X49" s="397"/>
      <c r="Y49" s="397"/>
      <c r="Z49" s="397"/>
      <c r="AA49" s="397"/>
      <c r="AB49" s="397"/>
      <c r="AC49" s="578"/>
    </row>
    <row r="50" spans="1:29" ht="15.75" thickBot="1">
      <c r="A50" s="441" t="s">
        <v>1794</v>
      </c>
      <c r="B50" s="442"/>
      <c r="C50" s="1161">
        <f>R50</f>
        <v>43683</v>
      </c>
      <c r="D50" s="1161"/>
      <c r="E50" s="1161"/>
      <c r="F50" s="1161"/>
      <c r="G50" s="1161"/>
      <c r="H50" s="1161"/>
      <c r="I50" s="1161"/>
      <c r="J50" s="443"/>
      <c r="K50" s="713"/>
      <c r="L50" s="2722"/>
      <c r="M50" s="2714"/>
      <c r="N50" s="2714"/>
      <c r="O50" s="2714"/>
      <c r="P50" s="3724" t="str">
        <f>A50</f>
        <v>估价对象XX用房的比较价值（楼面单价，元/平方米）</v>
      </c>
      <c r="Q50" s="3725"/>
      <c r="R50" s="3726">
        <f>IF(F1="售价",ROUND(IF(D49="简单平均",AVERAGE(R49:V49),R49*F49+T49*H49+V49*J49),0),ROUND(IF(D49="简单平均",AVERAGE(R49:V49),R49*F49+T49*H49+V49*J49),1))</f>
        <v>43683</v>
      </c>
      <c r="S50" s="3726"/>
      <c r="T50" s="3726"/>
      <c r="U50" s="3726"/>
      <c r="V50" s="3726"/>
      <c r="W50" s="372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3.1971802819718009E-2</v>
      </c>
      <c r="F53" s="449" t="str">
        <f>IF(OR(E53&gt;=0.3,E53&lt;=-0.3),"超过30%","")</f>
        <v/>
      </c>
      <c r="G53" s="448">
        <f>IF(G48&lt;G49,G49/G48-1,G48/G49-1)</f>
        <v>3.1975000000000087E-2</v>
      </c>
      <c r="H53" s="449" t="str">
        <f>IF(OR(G53&gt;=0.3,G53&lt;=-0.3),"超过30%","")</f>
        <v/>
      </c>
      <c r="I53" s="448">
        <f>IF(I48&lt;I49,I49/I48-1,I48/I49-1)</f>
        <v>3.0007424517406456E-2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9.6901572228080823E-5</v>
      </c>
      <c r="F54" s="449" t="str">
        <f>IF(OR(E54&gt;=0.2,E54&lt;=-0.2),"超过20%","")</f>
        <v/>
      </c>
      <c r="G54" s="448">
        <f>IF(G49&lt;I49,I49/G49-1,G49/I49-1)</f>
        <v>0.17464085854792999</v>
      </c>
      <c r="H54" s="449" t="str">
        <f>IF(OR(G54&gt;=0.2,G54&lt;=-0.2),"超过20%","")</f>
        <v/>
      </c>
      <c r="I54" s="448">
        <f>IF(I49&lt;E49,E49/I49-1,I49/E49-1)</f>
        <v>0.1745270450306422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3435</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3436</v>
      </c>
      <c r="D87" s="3449" t="s">
        <v>3438</v>
      </c>
      <c r="E87" s="3449" t="s">
        <v>3439</v>
      </c>
      <c r="F87" s="3449" t="s">
        <v>3440</v>
      </c>
      <c r="G87" s="3449" t="s">
        <v>3441</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3443</v>
      </c>
      <c r="D89" s="3449" t="s">
        <v>3444</v>
      </c>
      <c r="E89" s="3449" t="s">
        <v>3446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3451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3453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3451</v>
      </c>
      <c r="D123" s="3449" t="s">
        <v>3458</v>
      </c>
      <c r="E123" s="3449" t="s">
        <v>3459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1"/>
      <c r="M5" s="912"/>
      <c r="N5" s="912"/>
      <c r="O5" s="912"/>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1"/>
      <c r="M6" s="912"/>
      <c r="N6" s="912"/>
      <c r="O6" s="912"/>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45230</v>
      </c>
      <c r="D7" s="365">
        <v>100</v>
      </c>
      <c r="E7" s="366"/>
      <c r="F7" s="367">
        <f>SUMIF(52:52,YEAR(E7)&amp;"-"&amp;MONTH(E7),53:53)</f>
        <v>0</v>
      </c>
      <c r="G7" s="366"/>
      <c r="H7" s="365">
        <f>SUMIF(52:52,YEAR(G7)&amp;"-"&amp;MONTH(G7),53:53)</f>
        <v>0</v>
      </c>
      <c r="I7" s="366"/>
      <c r="J7" s="365">
        <f>SUMIF(52:52,YEAR(I7)&amp;"-"&amp;MONTH(I7),53:53)</f>
        <v>0</v>
      </c>
      <c r="K7" s="560"/>
      <c r="L7" s="913"/>
      <c r="M7" s="914"/>
      <c r="N7" s="914"/>
      <c r="O7" s="914"/>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7" t="s">
        <v>1683</v>
      </c>
      <c r="Q8" s="3668"/>
      <c r="R8" s="699" t="s">
        <v>14</v>
      </c>
      <c r="S8" s="700">
        <f t="shared" si="0"/>
        <v>100</v>
      </c>
      <c r="T8" s="699" t="s">
        <v>14</v>
      </c>
      <c r="U8" s="700">
        <f t="shared" si="1"/>
        <v>100</v>
      </c>
      <c r="V8" s="699" t="s">
        <v>14</v>
      </c>
      <c r="W8" s="700">
        <f t="shared" si="2"/>
        <v>100</v>
      </c>
      <c r="X8" s="701"/>
      <c r="Y8" s="3667" t="s">
        <v>1683</v>
      </c>
      <c r="Z8" s="366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2"/>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2"/>
      <c r="Q18" s="1350"/>
      <c r="R18" s="703"/>
      <c r="S18" s="704"/>
      <c r="T18" s="703"/>
      <c r="U18" s="704"/>
      <c r="V18" s="703"/>
      <c r="W18" s="704"/>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2"/>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2"/>
      <c r="Q20" s="1350"/>
      <c r="R20" s="703"/>
      <c r="S20" s="704"/>
      <c r="T20" s="703"/>
      <c r="U20" s="704"/>
      <c r="V20" s="703"/>
      <c r="W20" s="704"/>
      <c r="X20" s="1353"/>
      <c r="Y20" s="370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2"/>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2"/>
      <c r="Q22" s="1350"/>
      <c r="R22" s="703"/>
      <c r="S22" s="704"/>
      <c r="T22" s="703"/>
      <c r="U22" s="704"/>
      <c r="V22" s="703"/>
      <c r="W22" s="704"/>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2"/>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2"/>
      <c r="Q24" s="1350"/>
      <c r="R24" s="703"/>
      <c r="S24" s="704"/>
      <c r="T24" s="703"/>
      <c r="U24" s="704"/>
      <c r="V24" s="703"/>
      <c r="W24" s="704"/>
      <c r="X24" s="1353"/>
      <c r="Y24" s="370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2"/>
      <c r="Q25" s="1350">
        <f>B25</f>
        <v>111</v>
      </c>
      <c r="R25" s="703" t="s">
        <v>14</v>
      </c>
      <c r="S25" s="704">
        <f>F25</f>
        <v>100</v>
      </c>
      <c r="T25" s="703" t="s">
        <v>14</v>
      </c>
      <c r="U25" s="704">
        <f>H25</f>
        <v>100</v>
      </c>
      <c r="V25" s="703" t="s">
        <v>14</v>
      </c>
      <c r="W25" s="704">
        <f>J25</f>
        <v>100</v>
      </c>
      <c r="X25" s="1353"/>
      <c r="Y25" s="370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2"/>
      <c r="Q26" s="1350">
        <f t="shared" ref="Q26:Q40" si="11">B26</f>
        <v>111</v>
      </c>
      <c r="R26" s="703" t="s">
        <v>14</v>
      </c>
      <c r="S26" s="704">
        <f>F26</f>
        <v>100</v>
      </c>
      <c r="T26" s="703" t="s">
        <v>14</v>
      </c>
      <c r="U26" s="704">
        <f>H26</f>
        <v>100</v>
      </c>
      <c r="V26" s="703" t="s">
        <v>14</v>
      </c>
      <c r="W26" s="704">
        <f>J26</f>
        <v>100</v>
      </c>
      <c r="X26" s="1353"/>
      <c r="Y26" s="370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2"/>
      <c r="Q27" s="1341">
        <f t="shared" si="11"/>
        <v>111</v>
      </c>
      <c r="R27" s="699" t="s">
        <v>14</v>
      </c>
      <c r="S27" s="700">
        <f>F27</f>
        <v>100</v>
      </c>
      <c r="T27" s="699" t="s">
        <v>14</v>
      </c>
      <c r="U27" s="700">
        <f>H27</f>
        <v>100</v>
      </c>
      <c r="V27" s="699" t="s">
        <v>14</v>
      </c>
      <c r="W27" s="700">
        <f>J27</f>
        <v>100</v>
      </c>
      <c r="X27" s="701"/>
      <c r="Y27" s="370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2"/>
      <c r="Q28" s="1350">
        <f t="shared" si="11"/>
        <v>111</v>
      </c>
      <c r="R28" s="703" t="s">
        <v>14</v>
      </c>
      <c r="S28" s="704">
        <f t="shared" ref="S28:S40" si="12">F28</f>
        <v>100</v>
      </c>
      <c r="T28" s="703" t="s">
        <v>14</v>
      </c>
      <c r="U28" s="704">
        <f t="shared" ref="U28:U40" si="13">H28</f>
        <v>100</v>
      </c>
      <c r="V28" s="703" t="s">
        <v>14</v>
      </c>
      <c r="W28" s="704">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6"/>
      <c r="Q30" s="705" t="str">
        <f t="shared" si="11"/>
        <v>项目建筑规模</v>
      </c>
      <c r="R30" s="706" t="s">
        <v>14</v>
      </c>
      <c r="S30" s="707" t="e">
        <f t="shared" si="12"/>
        <v>#N/A</v>
      </c>
      <c r="T30" s="706" t="s">
        <v>14</v>
      </c>
      <c r="U30" s="707" t="e">
        <f t="shared" si="13"/>
        <v>#N/A</v>
      </c>
      <c r="V30" s="706" t="s">
        <v>14</v>
      </c>
      <c r="W30" s="707" t="e">
        <f t="shared" si="14"/>
        <v>#N/A</v>
      </c>
      <c r="X30" s="708"/>
      <c r="Y30" s="370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6"/>
      <c r="Q31" s="1350" t="str">
        <f t="shared" si="11"/>
        <v>建筑结构</v>
      </c>
      <c r="R31" s="703" t="s">
        <v>14</v>
      </c>
      <c r="S31" s="704">
        <f t="shared" si="12"/>
        <v>100</v>
      </c>
      <c r="T31" s="703" t="s">
        <v>14</v>
      </c>
      <c r="U31" s="704">
        <f t="shared" si="13"/>
        <v>100</v>
      </c>
      <c r="V31" s="703" t="s">
        <v>14</v>
      </c>
      <c r="W31" s="704">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6"/>
      <c r="Q32" s="1350" t="str">
        <f t="shared" si="11"/>
        <v>公共部分装修</v>
      </c>
      <c r="R32" s="703" t="s">
        <v>14</v>
      </c>
      <c r="S32" s="704">
        <f t="shared" si="12"/>
        <v>100</v>
      </c>
      <c r="T32" s="703" t="s">
        <v>14</v>
      </c>
      <c r="U32" s="704">
        <f t="shared" si="13"/>
        <v>100</v>
      </c>
      <c r="V32" s="703" t="s">
        <v>14</v>
      </c>
      <c r="W32" s="704">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6"/>
      <c r="Q33" s="1350" t="str">
        <f t="shared" si="11"/>
        <v>成新度</v>
      </c>
      <c r="R33" s="703" t="s">
        <v>14</v>
      </c>
      <c r="S33" s="704" t="e">
        <f t="shared" si="12"/>
        <v>#N/A</v>
      </c>
      <c r="T33" s="703" t="s">
        <v>14</v>
      </c>
      <c r="U33" s="704" t="e">
        <f t="shared" si="13"/>
        <v>#N/A</v>
      </c>
      <c r="V33" s="703" t="s">
        <v>14</v>
      </c>
      <c r="W33" s="704"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6"/>
      <c r="Q34" s="1341" t="str">
        <f t="shared" si="11"/>
        <v>物业管理</v>
      </c>
      <c r="R34" s="699" t="s">
        <v>14</v>
      </c>
      <c r="S34" s="700">
        <f t="shared" si="12"/>
        <v>100</v>
      </c>
      <c r="T34" s="699" t="s">
        <v>14</v>
      </c>
      <c r="U34" s="700">
        <f t="shared" si="13"/>
        <v>100</v>
      </c>
      <c r="V34" s="699" t="s">
        <v>14</v>
      </c>
      <c r="W34" s="700">
        <f t="shared" si="14"/>
        <v>100</v>
      </c>
      <c r="X34" s="701"/>
      <c r="Y34" s="370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6" t="s">
        <v>1696</v>
      </c>
      <c r="Q35" s="1350" t="str">
        <f t="shared" si="11"/>
        <v>市政基础设施</v>
      </c>
      <c r="R35" s="703" t="s">
        <v>14</v>
      </c>
      <c r="S35" s="704">
        <f t="shared" si="12"/>
        <v>100</v>
      </c>
      <c r="T35" s="703" t="s">
        <v>14</v>
      </c>
      <c r="U35" s="704">
        <f t="shared" si="13"/>
        <v>100</v>
      </c>
      <c r="V35" s="703" t="s">
        <v>14</v>
      </c>
      <c r="W35" s="704">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6"/>
      <c r="Q36" s="1350" t="str">
        <f t="shared" si="11"/>
        <v>内部装修</v>
      </c>
      <c r="R36" s="703" t="s">
        <v>14</v>
      </c>
      <c r="S36" s="704">
        <f t="shared" si="12"/>
        <v>100</v>
      </c>
      <c r="T36" s="703" t="s">
        <v>14</v>
      </c>
      <c r="U36" s="704">
        <f t="shared" si="13"/>
        <v>100</v>
      </c>
      <c r="V36" s="703" t="s">
        <v>14</v>
      </c>
      <c r="W36" s="704">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6"/>
      <c r="Q37" s="1350" t="str">
        <f t="shared" si="11"/>
        <v>内部装修状况</v>
      </c>
      <c r="R37" s="703" t="s">
        <v>14</v>
      </c>
      <c r="S37" s="704">
        <f t="shared" si="12"/>
        <v>100</v>
      </c>
      <c r="T37" s="703" t="s">
        <v>14</v>
      </c>
      <c r="U37" s="704">
        <f t="shared" si="13"/>
        <v>100</v>
      </c>
      <c r="V37" s="703" t="s">
        <v>14</v>
      </c>
      <c r="W37" s="704">
        <f t="shared" si="14"/>
        <v>100</v>
      </c>
      <c r="X37" s="1353"/>
      <c r="Y37" s="370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6"/>
      <c r="Q38" s="705">
        <f t="shared" si="11"/>
        <v>111</v>
      </c>
      <c r="R38" s="706" t="s">
        <v>14</v>
      </c>
      <c r="S38" s="707">
        <f t="shared" si="12"/>
        <v>100</v>
      </c>
      <c r="T38" s="706" t="s">
        <v>14</v>
      </c>
      <c r="U38" s="707">
        <f t="shared" si="13"/>
        <v>100</v>
      </c>
      <c r="V38" s="706" t="s">
        <v>14</v>
      </c>
      <c r="W38" s="707">
        <f t="shared" si="14"/>
        <v>100</v>
      </c>
      <c r="X38" s="708"/>
      <c r="Y38" s="370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6"/>
      <c r="Q39" s="1350">
        <f t="shared" si="11"/>
        <v>111</v>
      </c>
      <c r="R39" s="703" t="s">
        <v>14</v>
      </c>
      <c r="S39" s="704">
        <f t="shared" si="12"/>
        <v>100</v>
      </c>
      <c r="T39" s="703" t="s">
        <v>14</v>
      </c>
      <c r="U39" s="704">
        <f t="shared" si="13"/>
        <v>100</v>
      </c>
      <c r="V39" s="703" t="s">
        <v>14</v>
      </c>
      <c r="W39" s="704">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7"/>
      <c r="Q40" s="1350">
        <f t="shared" si="11"/>
        <v>111</v>
      </c>
      <c r="R40" s="703" t="s">
        <v>14</v>
      </c>
      <c r="S40" s="704">
        <f t="shared" si="12"/>
        <v>100</v>
      </c>
      <c r="T40" s="703" t="s">
        <v>14</v>
      </c>
      <c r="U40" s="704">
        <f t="shared" si="13"/>
        <v>100</v>
      </c>
      <c r="V40" s="703" t="s">
        <v>14</v>
      </c>
      <c r="W40" s="704">
        <f t="shared" si="14"/>
        <v>100</v>
      </c>
      <c r="X40" s="1353"/>
      <c r="Y40" s="370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2023年10月31日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3"/>
      <c r="S15" s="704"/>
      <c r="T15" s="703"/>
      <c r="U15" s="704"/>
      <c r="V15" s="703"/>
      <c r="W15" s="704"/>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3"/>
      <c r="S17" s="704"/>
      <c r="T17" s="703"/>
      <c r="U17" s="704"/>
      <c r="V17" s="703"/>
      <c r="W17" s="704"/>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2"/>
      <c r="Q19" s="1350"/>
      <c r="R19" s="703"/>
      <c r="S19" s="704"/>
      <c r="T19" s="703"/>
      <c r="U19" s="704"/>
      <c r="V19" s="703"/>
      <c r="W19" s="704"/>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3"/>
      <c r="S21" s="704"/>
      <c r="T21" s="703"/>
      <c r="U21" s="704"/>
      <c r="V21" s="703"/>
      <c r="W21" s="704"/>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5" t="str">
        <f t="shared" si="11"/>
        <v>项目停车位配比</v>
      </c>
      <c r="R27" s="706" t="s">
        <v>14</v>
      </c>
      <c r="S27" s="707">
        <f t="shared" si="12"/>
        <v>100</v>
      </c>
      <c r="T27" s="706" t="s">
        <v>14</v>
      </c>
      <c r="U27" s="707">
        <f t="shared" si="13"/>
        <v>100</v>
      </c>
      <c r="V27" s="706" t="s">
        <v>14</v>
      </c>
      <c r="W27" s="707">
        <f t="shared" si="14"/>
        <v>100</v>
      </c>
      <c r="X27" s="708"/>
      <c r="Y27" s="370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3" t="s">
        <v>14</v>
      </c>
      <c r="S28" s="704">
        <f t="shared" si="12"/>
        <v>100</v>
      </c>
      <c r="T28" s="703" t="s">
        <v>14</v>
      </c>
      <c r="U28" s="704">
        <f t="shared" si="13"/>
        <v>100</v>
      </c>
      <c r="V28" s="703" t="s">
        <v>14</v>
      </c>
      <c r="W28" s="704">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3" t="s">
        <v>14</v>
      </c>
      <c r="S29" s="704" t="e">
        <f t="shared" si="12"/>
        <v>#N/A</v>
      </c>
      <c r="T29" s="703" t="s">
        <v>14</v>
      </c>
      <c r="U29" s="704" t="e">
        <f t="shared" si="13"/>
        <v>#N/A</v>
      </c>
      <c r="V29" s="703" t="s">
        <v>14</v>
      </c>
      <c r="W29" s="704"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3" t="s">
        <v>14</v>
      </c>
      <c r="S30" s="704">
        <f t="shared" si="12"/>
        <v>100</v>
      </c>
      <c r="T30" s="703" t="s">
        <v>14</v>
      </c>
      <c r="U30" s="704">
        <f t="shared" si="13"/>
        <v>100</v>
      </c>
      <c r="V30" s="703" t="s">
        <v>14</v>
      </c>
      <c r="W30" s="704">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699" t="s">
        <v>14</v>
      </c>
      <c r="S31" s="700" t="e">
        <f t="shared" si="12"/>
        <v>#N/A</v>
      </c>
      <c r="T31" s="699" t="s">
        <v>14</v>
      </c>
      <c r="U31" s="700" t="e">
        <f t="shared" si="13"/>
        <v>#N/A</v>
      </c>
      <c r="V31" s="699" t="s">
        <v>14</v>
      </c>
      <c r="W31" s="700" t="e">
        <f t="shared" si="14"/>
        <v>#N/A</v>
      </c>
      <c r="X31" s="701"/>
      <c r="Y31" s="370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3" t="s">
        <v>14</v>
      </c>
      <c r="S32" s="704">
        <f t="shared" si="12"/>
        <v>100</v>
      </c>
      <c r="T32" s="703" t="s">
        <v>14</v>
      </c>
      <c r="U32" s="704">
        <f t="shared" si="13"/>
        <v>100</v>
      </c>
      <c r="V32" s="703" t="s">
        <v>14</v>
      </c>
      <c r="W32" s="704">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3" t="s">
        <v>14</v>
      </c>
      <c r="S33" s="704">
        <f t="shared" si="12"/>
        <v>100</v>
      </c>
      <c r="T33" s="703" t="s">
        <v>14</v>
      </c>
      <c r="U33" s="704">
        <f t="shared" si="13"/>
        <v>100</v>
      </c>
      <c r="V33" s="703" t="s">
        <v>14</v>
      </c>
      <c r="W33" s="704">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5">
        <f t="shared" si="11"/>
        <v>111</v>
      </c>
      <c r="R35" s="706" t="s">
        <v>14</v>
      </c>
      <c r="S35" s="707">
        <f t="shared" si="12"/>
        <v>100</v>
      </c>
      <c r="T35" s="706" t="s">
        <v>14</v>
      </c>
      <c r="U35" s="707">
        <f t="shared" si="13"/>
        <v>100</v>
      </c>
      <c r="V35" s="706" t="s">
        <v>14</v>
      </c>
      <c r="W35" s="707">
        <f t="shared" si="14"/>
        <v>100</v>
      </c>
      <c r="X35" s="708"/>
      <c r="Y35" s="370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3" t="s">
        <v>14</v>
      </c>
      <c r="S36" s="704">
        <f t="shared" si="12"/>
        <v>100</v>
      </c>
      <c r="T36" s="703" t="s">
        <v>14</v>
      </c>
      <c r="U36" s="704">
        <f t="shared" si="13"/>
        <v>100</v>
      </c>
      <c r="V36" s="703" t="s">
        <v>14</v>
      </c>
      <c r="W36" s="704">
        <f t="shared" si="14"/>
        <v>100</v>
      </c>
      <c r="X36" s="1353"/>
      <c r="Y36" s="3706"/>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6" t="str">
        <f>A39</f>
        <v>估价对象XX用房的比较价值（楼面单价，元/平方米）</v>
      </c>
      <c r="Q39" s="3697"/>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3"/>
      <c r="S15" s="704"/>
      <c r="T15" s="703"/>
      <c r="U15" s="704"/>
      <c r="V15" s="703"/>
      <c r="W15" s="704"/>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3"/>
      <c r="S17" s="704"/>
      <c r="T17" s="703"/>
      <c r="U17" s="704"/>
      <c r="V17" s="703"/>
      <c r="W17" s="704"/>
      <c r="X17" s="1353"/>
      <c r="Y17" s="370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2"/>
      <c r="Q19" s="1350"/>
      <c r="R19" s="703"/>
      <c r="S19" s="704"/>
      <c r="T19" s="703"/>
      <c r="U19" s="704"/>
      <c r="V19" s="703"/>
      <c r="W19" s="704"/>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3"/>
      <c r="S21" s="704"/>
      <c r="T21" s="703"/>
      <c r="U21" s="704"/>
      <c r="V21" s="703"/>
      <c r="W21" s="704"/>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5" t="str">
        <f t="shared" si="11"/>
        <v>成新率</v>
      </c>
      <c r="R27" s="706" t="s">
        <v>14</v>
      </c>
      <c r="S27" s="707" t="e">
        <f t="shared" si="12"/>
        <v>#N/A</v>
      </c>
      <c r="T27" s="706" t="s">
        <v>14</v>
      </c>
      <c r="U27" s="707" t="e">
        <f t="shared" si="13"/>
        <v>#N/A</v>
      </c>
      <c r="V27" s="706" t="s">
        <v>14</v>
      </c>
      <c r="W27" s="707" t="e">
        <f t="shared" si="14"/>
        <v>#N/A</v>
      </c>
      <c r="X27" s="708"/>
      <c r="Y27" s="370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3" t="s">
        <v>14</v>
      </c>
      <c r="S28" s="704">
        <f t="shared" si="12"/>
        <v>100</v>
      </c>
      <c r="T28" s="703" t="s">
        <v>14</v>
      </c>
      <c r="U28" s="704">
        <f t="shared" si="13"/>
        <v>100</v>
      </c>
      <c r="V28" s="703" t="s">
        <v>14</v>
      </c>
      <c r="W28" s="704">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3" t="s">
        <v>14</v>
      </c>
      <c r="S29" s="704">
        <f t="shared" si="12"/>
        <v>100</v>
      </c>
      <c r="T29" s="703" t="s">
        <v>14</v>
      </c>
      <c r="U29" s="704">
        <f t="shared" si="13"/>
        <v>100</v>
      </c>
      <c r="V29" s="703" t="s">
        <v>14</v>
      </c>
      <c r="W29" s="704">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3" t="s">
        <v>14</v>
      </c>
      <c r="S30" s="704" t="e">
        <f t="shared" si="12"/>
        <v>#N/A</v>
      </c>
      <c r="T30" s="703" t="s">
        <v>14</v>
      </c>
      <c r="U30" s="704" t="e">
        <f t="shared" si="13"/>
        <v>#N/A</v>
      </c>
      <c r="V30" s="703" t="s">
        <v>14</v>
      </c>
      <c r="W30" s="704"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699" t="s">
        <v>14</v>
      </c>
      <c r="S31" s="700">
        <f t="shared" si="12"/>
        <v>100</v>
      </c>
      <c r="T31" s="699" t="s">
        <v>14</v>
      </c>
      <c r="U31" s="700">
        <f t="shared" si="13"/>
        <v>100</v>
      </c>
      <c r="V31" s="699" t="s">
        <v>14</v>
      </c>
      <c r="W31" s="700">
        <f t="shared" si="14"/>
        <v>100</v>
      </c>
      <c r="X31" s="701"/>
      <c r="Y31" s="370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3" t="s">
        <v>14</v>
      </c>
      <c r="S32" s="704">
        <f t="shared" si="12"/>
        <v>100</v>
      </c>
      <c r="T32" s="703" t="s">
        <v>14</v>
      </c>
      <c r="U32" s="704">
        <f t="shared" si="13"/>
        <v>100</v>
      </c>
      <c r="V32" s="703" t="s">
        <v>14</v>
      </c>
      <c r="W32" s="704">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3" t="s">
        <v>14</v>
      </c>
      <c r="S33" s="704">
        <f t="shared" si="12"/>
        <v>100</v>
      </c>
      <c r="T33" s="703" t="s">
        <v>14</v>
      </c>
      <c r="U33" s="704">
        <f t="shared" si="13"/>
        <v>100</v>
      </c>
      <c r="V33" s="703" t="s">
        <v>14</v>
      </c>
      <c r="W33" s="704">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6" t="str">
        <f>A37</f>
        <v>估价对象XX用房的比较价值（楼面单价，元/平方米）</v>
      </c>
      <c r="Q37" s="3697"/>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30" s="108" customFormat="1" ht="15.75" thickBot="1">
      <c r="A7" s="362" t="s">
        <v>1679</v>
      </c>
      <c r="B7" s="363"/>
      <c r="C7" s="364">
        <f>'数据-取费表'!B2</f>
        <v>45230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149</v>
      </c>
      <c r="G10" s="414"/>
      <c r="H10" s="127">
        <f>ROUND(100/'数据-取费表'!G16,0)</f>
        <v>149</v>
      </c>
      <c r="I10" s="414"/>
      <c r="J10" s="127">
        <f>ROUND(100/'数据-取费表'!G16,0)</f>
        <v>149</v>
      </c>
      <c r="K10" s="620"/>
      <c r="L10" s="2717"/>
      <c r="M10" s="2718"/>
      <c r="N10" s="2718"/>
      <c r="O10" s="2771"/>
      <c r="P10" s="3699"/>
      <c r="Q10" s="1341" t="str">
        <f t="shared" si="6"/>
        <v>土地使用年限（年）</v>
      </c>
      <c r="R10" s="699" t="s">
        <v>14</v>
      </c>
      <c r="S10" s="700">
        <f t="shared" si="0"/>
        <v>149</v>
      </c>
      <c r="T10" s="699" t="s">
        <v>14</v>
      </c>
      <c r="U10" s="700">
        <f t="shared" si="1"/>
        <v>149</v>
      </c>
      <c r="V10" s="699" t="s">
        <v>14</v>
      </c>
      <c r="W10" s="700">
        <f t="shared" si="2"/>
        <v>149</v>
      </c>
      <c r="X10" s="701"/>
      <c r="Y10" s="3611"/>
      <c r="Z10" s="52" t="str">
        <f t="shared" si="7"/>
        <v>土地使用年限（年）</v>
      </c>
      <c r="AA10" s="702">
        <f t="shared" si="3"/>
        <v>0.67114093959731547</v>
      </c>
      <c r="AB10" s="702">
        <f t="shared" si="4"/>
        <v>0.67114093959731547</v>
      </c>
      <c r="AC10" s="702">
        <f t="shared" si="5"/>
        <v>0.67114093959731547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699" t="s">
        <v>14</v>
      </c>
      <c r="S12" s="700">
        <f t="shared" si="0"/>
        <v>100</v>
      </c>
      <c r="T12" s="699" t="s">
        <v>14</v>
      </c>
      <c r="U12" s="700">
        <f t="shared" si="1"/>
        <v>100</v>
      </c>
      <c r="V12" s="699" t="s">
        <v>14</v>
      </c>
      <c r="W12" s="700">
        <f t="shared" si="2"/>
        <v>100</v>
      </c>
      <c r="X12" s="701"/>
      <c r="Y12" s="361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3" t="s">
        <v>14</v>
      </c>
      <c r="S15" s="704">
        <f t="shared" si="0"/>
        <v>100</v>
      </c>
      <c r="T15" s="703" t="s">
        <v>14</v>
      </c>
      <c r="U15" s="704">
        <f t="shared" si="1"/>
        <v>100</v>
      </c>
      <c r="V15" s="703" t="s">
        <v>14</v>
      </c>
      <c r="W15" s="704">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3" t="s">
        <v>14</v>
      </c>
      <c r="S17" s="704">
        <f>F17</f>
        <v>100</v>
      </c>
      <c r="T17" s="703" t="s">
        <v>14</v>
      </c>
      <c r="U17" s="704">
        <f>H17</f>
        <v>100</v>
      </c>
      <c r="V17" s="703" t="s">
        <v>14</v>
      </c>
      <c r="W17" s="704">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3" t="s">
        <v>14</v>
      </c>
      <c r="S19" s="704">
        <f>F19</f>
        <v>100</v>
      </c>
      <c r="T19" s="703" t="s">
        <v>14</v>
      </c>
      <c r="U19" s="704">
        <f>H19</f>
        <v>100</v>
      </c>
      <c r="V19" s="703" t="s">
        <v>14</v>
      </c>
      <c r="W19" s="704">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3"/>
      <c r="S20" s="704"/>
      <c r="T20" s="703"/>
      <c r="U20" s="704"/>
      <c r="V20" s="703"/>
      <c r="W20" s="704"/>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3" t="s">
        <v>14</v>
      </c>
      <c r="S21" s="704">
        <f>F21</f>
        <v>100</v>
      </c>
      <c r="T21" s="703" t="s">
        <v>14</v>
      </c>
      <c r="U21" s="704">
        <f>H21</f>
        <v>100</v>
      </c>
      <c r="V21" s="703" t="s">
        <v>14</v>
      </c>
      <c r="W21" s="704">
        <f>J21</f>
        <v>100</v>
      </c>
      <c r="X21" s="1353"/>
      <c r="Y21" s="370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3" t="s">
        <v>14</v>
      </c>
      <c r="S23" s="704">
        <f>F23</f>
        <v>100</v>
      </c>
      <c r="T23" s="703" t="s">
        <v>14</v>
      </c>
      <c r="U23" s="704">
        <f>H23</f>
        <v>100</v>
      </c>
      <c r="V23" s="703" t="s">
        <v>14</v>
      </c>
      <c r="W23" s="704">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2"/>
      <c r="Q24" s="1350"/>
      <c r="R24" s="703"/>
      <c r="S24" s="704"/>
      <c r="T24" s="703"/>
      <c r="U24" s="704"/>
      <c r="V24" s="703"/>
      <c r="W24" s="704"/>
      <c r="X24" s="1353"/>
      <c r="Y24" s="370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3" t="s">
        <v>14</v>
      </c>
      <c r="S25" s="704">
        <f>F25</f>
        <v>100</v>
      </c>
      <c r="T25" s="703" t="s">
        <v>14</v>
      </c>
      <c r="U25" s="704">
        <f>H25</f>
        <v>100</v>
      </c>
      <c r="V25" s="703" t="s">
        <v>14</v>
      </c>
      <c r="W25" s="704">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3"/>
      <c r="S26" s="704"/>
      <c r="T26" s="703"/>
      <c r="U26" s="704"/>
      <c r="V26" s="703"/>
      <c r="W26" s="704"/>
      <c r="X26" s="1353"/>
      <c r="Y26" s="370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699" t="s">
        <v>14</v>
      </c>
      <c r="S27" s="700">
        <f>F27</f>
        <v>100</v>
      </c>
      <c r="T27" s="699" t="s">
        <v>14</v>
      </c>
      <c r="U27" s="700">
        <f>H27</f>
        <v>100</v>
      </c>
      <c r="V27" s="699" t="s">
        <v>14</v>
      </c>
      <c r="W27" s="700">
        <f>J27</f>
        <v>100</v>
      </c>
      <c r="X27" s="701"/>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699"/>
      <c r="S28" s="700"/>
      <c r="T28" s="699"/>
      <c r="U28" s="700"/>
      <c r="V28" s="699"/>
      <c r="W28" s="700"/>
      <c r="X28" s="701"/>
      <c r="Y28" s="370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699" t="s">
        <v>14</v>
      </c>
      <c r="S29" s="700">
        <f>F29</f>
        <v>100</v>
      </c>
      <c r="T29" s="699" t="s">
        <v>14</v>
      </c>
      <c r="U29" s="700">
        <f>H29</f>
        <v>100</v>
      </c>
      <c r="V29" s="699" t="s">
        <v>14</v>
      </c>
      <c r="W29" s="700">
        <f>J29</f>
        <v>100</v>
      </c>
      <c r="X29" s="701"/>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699"/>
      <c r="S30" s="700"/>
      <c r="T30" s="699"/>
      <c r="U30" s="700"/>
      <c r="V30" s="699"/>
      <c r="W30" s="700"/>
      <c r="X30" s="701"/>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3" t="s">
        <v>14</v>
      </c>
      <c r="S32" s="704">
        <f t="shared" si="10"/>
        <v>100</v>
      </c>
      <c r="T32" s="703" t="s">
        <v>14</v>
      </c>
      <c r="U32" s="704">
        <f t="shared" si="11"/>
        <v>100</v>
      </c>
      <c r="V32" s="703" t="s">
        <v>14</v>
      </c>
      <c r="W32" s="704">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3"/>
      <c r="S33" s="704"/>
      <c r="T33" s="703"/>
      <c r="U33" s="704"/>
      <c r="V33" s="703"/>
      <c r="W33" s="704"/>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3" t="s">
        <v>14</v>
      </c>
      <c r="S34" s="704">
        <f t="shared" si="10"/>
        <v>100</v>
      </c>
      <c r="T34" s="703" t="s">
        <v>14</v>
      </c>
      <c r="U34" s="704">
        <f t="shared" si="11"/>
        <v>100</v>
      </c>
      <c r="V34" s="703" t="s">
        <v>14</v>
      </c>
      <c r="W34" s="704">
        <f t="shared" si="12"/>
        <v>100</v>
      </c>
      <c r="X34" s="1353"/>
      <c r="Y34" s="370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3" t="s">
        <v>14</v>
      </c>
      <c r="S35" s="704">
        <f t="shared" si="10"/>
        <v>100</v>
      </c>
      <c r="T35" s="703" t="s">
        <v>14</v>
      </c>
      <c r="U35" s="704">
        <f t="shared" si="11"/>
        <v>100</v>
      </c>
      <c r="V35" s="703" t="s">
        <v>14</v>
      </c>
      <c r="W35" s="704">
        <f t="shared" si="12"/>
        <v>100</v>
      </c>
      <c r="X35" s="1353"/>
      <c r="Y35" s="370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6" t="s">
        <v>14</v>
      </c>
      <c r="S37" s="707">
        <f t="shared" si="10"/>
        <v>100</v>
      </c>
      <c r="T37" s="706" t="s">
        <v>14</v>
      </c>
      <c r="U37" s="707">
        <f t="shared" si="11"/>
        <v>100</v>
      </c>
      <c r="V37" s="706" t="s">
        <v>14</v>
      </c>
      <c r="W37" s="707">
        <f t="shared" si="12"/>
        <v>100</v>
      </c>
      <c r="X37" s="708"/>
      <c r="Y37" s="370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3" t="s">
        <v>14</v>
      </c>
      <c r="S38" s="704" t="e">
        <f t="shared" si="10"/>
        <v>#N/A</v>
      </c>
      <c r="T38" s="703" t="s">
        <v>14</v>
      </c>
      <c r="U38" s="704" t="e">
        <f t="shared" si="11"/>
        <v>#N/A</v>
      </c>
      <c r="V38" s="703" t="s">
        <v>14</v>
      </c>
      <c r="W38" s="704"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3" t="s">
        <v>14</v>
      </c>
      <c r="S39" s="704">
        <f t="shared" si="10"/>
        <v>100</v>
      </c>
      <c r="T39" s="703" t="s">
        <v>14</v>
      </c>
      <c r="U39" s="704">
        <f t="shared" si="11"/>
        <v>100</v>
      </c>
      <c r="V39" s="703" t="s">
        <v>14</v>
      </c>
      <c r="W39" s="704">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3" t="s">
        <v>14</v>
      </c>
      <c r="S40" s="704">
        <f t="shared" si="10"/>
        <v>100</v>
      </c>
      <c r="T40" s="703" t="s">
        <v>14</v>
      </c>
      <c r="U40" s="704">
        <f t="shared" si="11"/>
        <v>100</v>
      </c>
      <c r="V40" s="703" t="s">
        <v>14</v>
      </c>
      <c r="W40" s="704">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699" t="s">
        <v>14</v>
      </c>
      <c r="S41" s="700">
        <f t="shared" si="10"/>
        <v>100</v>
      </c>
      <c r="T41" s="699" t="s">
        <v>14</v>
      </c>
      <c r="U41" s="700">
        <f t="shared" si="11"/>
        <v>100</v>
      </c>
      <c r="V41" s="699" t="s">
        <v>14</v>
      </c>
      <c r="W41" s="700">
        <f t="shared" si="12"/>
        <v>100</v>
      </c>
      <c r="X41" s="701"/>
      <c r="Y41" s="370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3" t="s">
        <v>14</v>
      </c>
      <c r="S42" s="704">
        <f t="shared" si="10"/>
        <v>100</v>
      </c>
      <c r="T42" s="703" t="s">
        <v>14</v>
      </c>
      <c r="U42" s="704">
        <f t="shared" si="11"/>
        <v>100</v>
      </c>
      <c r="V42" s="703" t="s">
        <v>14</v>
      </c>
      <c r="W42" s="704">
        <f t="shared" si="12"/>
        <v>100</v>
      </c>
      <c r="X42" s="1353"/>
      <c r="Y42" s="370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3" t="s">
        <v>14</v>
      </c>
      <c r="S43" s="704">
        <f t="shared" si="10"/>
        <v>100</v>
      </c>
      <c r="T43" s="703" t="s">
        <v>14</v>
      </c>
      <c r="U43" s="704">
        <f t="shared" si="11"/>
        <v>100</v>
      </c>
      <c r="V43" s="703" t="s">
        <v>14</v>
      </c>
      <c r="W43" s="704">
        <f t="shared" si="12"/>
        <v>100</v>
      </c>
      <c r="X43" s="1353"/>
      <c r="Y43" s="370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3" t="s">
        <v>14</v>
      </c>
      <c r="S44" s="704">
        <f t="shared" si="10"/>
        <v>100</v>
      </c>
      <c r="T44" s="703" t="s">
        <v>14</v>
      </c>
      <c r="U44" s="704">
        <f t="shared" si="11"/>
        <v>100</v>
      </c>
      <c r="V44" s="703" t="s">
        <v>14</v>
      </c>
      <c r="W44" s="704">
        <f t="shared" si="12"/>
        <v>100</v>
      </c>
      <c r="X44" s="1353"/>
      <c r="Y44" s="370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6" t="s">
        <v>14</v>
      </c>
      <c r="S45" s="707">
        <f t="shared" si="10"/>
        <v>100</v>
      </c>
      <c r="T45" s="706" t="s">
        <v>14</v>
      </c>
      <c r="U45" s="707">
        <f t="shared" si="11"/>
        <v>100</v>
      </c>
      <c r="V45" s="706" t="s">
        <v>14</v>
      </c>
      <c r="W45" s="707">
        <f t="shared" si="12"/>
        <v>100</v>
      </c>
      <c r="X45" s="708"/>
      <c r="Y45" s="370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9" t="str">
        <f>A46</f>
        <v>成交单价</v>
      </c>
      <c r="Q46" s="3699"/>
      <c r="R46" s="3694">
        <f>E46</f>
        <v>0</v>
      </c>
      <c r="S46" s="3694"/>
      <c r="T46" s="3694">
        <f>G46</f>
        <v>0</v>
      </c>
      <c r="U46" s="3694"/>
      <c r="V46" s="3694">
        <f>I46</f>
        <v>0</v>
      </c>
      <c r="W46" s="369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6" t="str">
        <f>A48</f>
        <v>估价对象XX用房的比较价值（楼面单价，元/平方米）</v>
      </c>
      <c r="Q48" s="3697"/>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105.71</v>
      </c>
      <c r="F56" s="884" t="e">
        <f t="shared" ref="F56:F64" si="15">ROUND(B56*E56/10000,0)</f>
        <v>#DIV/0!</v>
      </c>
      <c r="G56" s="3681"/>
      <c r="H56" s="3699"/>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105.71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149</v>
      </c>
      <c r="G10" s="383"/>
      <c r="H10" s="127">
        <f>ROUND(100/'数据-取费表'!G16,0)</f>
        <v>149</v>
      </c>
      <c r="I10" s="383"/>
      <c r="J10" s="127">
        <f>ROUND(100/'数据-取费表'!G16,0)</f>
        <v>149</v>
      </c>
      <c r="K10" s="620"/>
      <c r="L10" s="2717"/>
      <c r="M10" s="2718"/>
      <c r="N10" s="2718"/>
      <c r="O10" s="2771"/>
      <c r="P10" s="3699"/>
      <c r="Q10" s="1341" t="str">
        <f t="shared" si="6"/>
        <v>土地使用年限（年）</v>
      </c>
      <c r="R10" s="699" t="s">
        <v>14</v>
      </c>
      <c r="S10" s="700">
        <f t="shared" si="0"/>
        <v>149</v>
      </c>
      <c r="T10" s="699" t="s">
        <v>14</v>
      </c>
      <c r="U10" s="700">
        <f t="shared" si="1"/>
        <v>149</v>
      </c>
      <c r="V10" s="699" t="s">
        <v>14</v>
      </c>
      <c r="W10" s="700">
        <f t="shared" si="2"/>
        <v>149</v>
      </c>
      <c r="X10" s="701"/>
      <c r="Y10" s="3611"/>
      <c r="Z10" s="52" t="str">
        <f t="shared" si="7"/>
        <v>土地使用年限（年）</v>
      </c>
      <c r="AA10" s="702">
        <f t="shared" si="3"/>
        <v>0.67114093959731547</v>
      </c>
      <c r="AB10" s="702">
        <f t="shared" si="4"/>
        <v>0.67114093959731547</v>
      </c>
      <c r="AC10" s="702">
        <f t="shared" si="5"/>
        <v>0.67114093959731547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3" t="s">
        <v>14</v>
      </c>
      <c r="S19" s="704">
        <f>F19</f>
        <v>100</v>
      </c>
      <c r="T19" s="703" t="s">
        <v>14</v>
      </c>
      <c r="U19" s="704">
        <f>H19</f>
        <v>100</v>
      </c>
      <c r="V19" s="703" t="s">
        <v>14</v>
      </c>
      <c r="W19" s="704">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2"/>
      <c r="Q20" s="1350"/>
      <c r="R20" s="703"/>
      <c r="S20" s="704"/>
      <c r="T20" s="703"/>
      <c r="U20" s="704"/>
      <c r="V20" s="703"/>
      <c r="W20" s="704"/>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3" t="s">
        <v>14</v>
      </c>
      <c r="S21" s="704">
        <f>F21</f>
        <v>100</v>
      </c>
      <c r="T21" s="703" t="s">
        <v>14</v>
      </c>
      <c r="U21" s="704">
        <f>H21</f>
        <v>100</v>
      </c>
      <c r="V21" s="703" t="s">
        <v>14</v>
      </c>
      <c r="W21" s="704">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699" t="s">
        <v>14</v>
      </c>
      <c r="S23" s="700">
        <f>F23</f>
        <v>100</v>
      </c>
      <c r="T23" s="699" t="s">
        <v>14</v>
      </c>
      <c r="U23" s="700">
        <f>H23</f>
        <v>100</v>
      </c>
      <c r="V23" s="699" t="s">
        <v>14</v>
      </c>
      <c r="W23" s="700">
        <f>J23</f>
        <v>100</v>
      </c>
      <c r="X23" s="701"/>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699"/>
      <c r="S24" s="700"/>
      <c r="T24" s="699"/>
      <c r="U24" s="700"/>
      <c r="V24" s="699"/>
      <c r="W24" s="700"/>
      <c r="X24" s="701"/>
      <c r="Y24" s="370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699" t="s">
        <v>14</v>
      </c>
      <c r="S25" s="700">
        <f>F25</f>
        <v>100</v>
      </c>
      <c r="T25" s="699" t="s">
        <v>14</v>
      </c>
      <c r="U25" s="700">
        <f>H25</f>
        <v>100</v>
      </c>
      <c r="V25" s="699" t="s">
        <v>14</v>
      </c>
      <c r="W25" s="700">
        <f>J25</f>
        <v>100</v>
      </c>
      <c r="X25" s="701"/>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699"/>
      <c r="S26" s="700"/>
      <c r="T26" s="699"/>
      <c r="U26" s="700"/>
      <c r="V26" s="699"/>
      <c r="W26" s="700"/>
      <c r="X26" s="701"/>
      <c r="Y26" s="370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3" t="s">
        <v>14</v>
      </c>
      <c r="S28" s="704">
        <f t="shared" si="10"/>
        <v>100</v>
      </c>
      <c r="T28" s="703" t="s">
        <v>14</v>
      </c>
      <c r="U28" s="704">
        <f t="shared" si="11"/>
        <v>100</v>
      </c>
      <c r="V28" s="703" t="s">
        <v>14</v>
      </c>
      <c r="W28" s="704">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3"/>
      <c r="S29" s="704"/>
      <c r="T29" s="703"/>
      <c r="U29" s="704"/>
      <c r="V29" s="703"/>
      <c r="W29" s="704"/>
      <c r="X29" s="1353"/>
      <c r="Y29" s="370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3" t="s">
        <v>14</v>
      </c>
      <c r="S30" s="704">
        <f t="shared" si="10"/>
        <v>100</v>
      </c>
      <c r="T30" s="703" t="s">
        <v>14</v>
      </c>
      <c r="U30" s="704">
        <f t="shared" si="11"/>
        <v>100</v>
      </c>
      <c r="V30" s="703" t="s">
        <v>14</v>
      </c>
      <c r="W30" s="704">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3" t="s">
        <v>14</v>
      </c>
      <c r="S31" s="704">
        <f t="shared" si="10"/>
        <v>100</v>
      </c>
      <c r="T31" s="703" t="s">
        <v>14</v>
      </c>
      <c r="U31" s="704">
        <f t="shared" si="11"/>
        <v>100</v>
      </c>
      <c r="V31" s="703" t="s">
        <v>14</v>
      </c>
      <c r="W31" s="704">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6" t="s">
        <v>14</v>
      </c>
      <c r="S33" s="707">
        <f t="shared" si="10"/>
        <v>100</v>
      </c>
      <c r="T33" s="706" t="s">
        <v>14</v>
      </c>
      <c r="U33" s="707">
        <f t="shared" si="11"/>
        <v>100</v>
      </c>
      <c r="V33" s="706" t="s">
        <v>14</v>
      </c>
      <c r="W33" s="707">
        <f t="shared" si="12"/>
        <v>100</v>
      </c>
      <c r="X33" s="708"/>
      <c r="Y33" s="370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3" t="s">
        <v>14</v>
      </c>
      <c r="S34" s="704" t="e">
        <f t="shared" si="10"/>
        <v>#N/A</v>
      </c>
      <c r="T34" s="703" t="s">
        <v>14</v>
      </c>
      <c r="U34" s="704" t="e">
        <f t="shared" si="11"/>
        <v>#N/A</v>
      </c>
      <c r="V34" s="703" t="s">
        <v>14</v>
      </c>
      <c r="W34" s="704"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3" t="s">
        <v>14</v>
      </c>
      <c r="S35" s="704">
        <f t="shared" si="10"/>
        <v>100</v>
      </c>
      <c r="T35" s="703" t="s">
        <v>14</v>
      </c>
      <c r="U35" s="704">
        <f t="shared" si="11"/>
        <v>100</v>
      </c>
      <c r="V35" s="703" t="s">
        <v>14</v>
      </c>
      <c r="W35" s="704">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699" t="s">
        <v>14</v>
      </c>
      <c r="S36" s="700">
        <f t="shared" si="10"/>
        <v>100</v>
      </c>
      <c r="T36" s="699" t="s">
        <v>14</v>
      </c>
      <c r="U36" s="700">
        <f t="shared" si="11"/>
        <v>100</v>
      </c>
      <c r="V36" s="699" t="s">
        <v>14</v>
      </c>
      <c r="W36" s="700">
        <f t="shared" si="12"/>
        <v>100</v>
      </c>
      <c r="X36" s="701"/>
      <c r="Y36" s="370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3" t="s">
        <v>14</v>
      </c>
      <c r="S37" s="704">
        <f t="shared" si="10"/>
        <v>100</v>
      </c>
      <c r="T37" s="703" t="s">
        <v>14</v>
      </c>
      <c r="U37" s="704">
        <f t="shared" si="11"/>
        <v>100</v>
      </c>
      <c r="V37" s="703" t="s">
        <v>14</v>
      </c>
      <c r="W37" s="704">
        <f t="shared" si="12"/>
        <v>100</v>
      </c>
      <c r="X37" s="1353"/>
      <c r="Y37" s="370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3" t="s">
        <v>14</v>
      </c>
      <c r="S38" s="704">
        <f t="shared" si="10"/>
        <v>100</v>
      </c>
      <c r="T38" s="703" t="s">
        <v>14</v>
      </c>
      <c r="U38" s="704">
        <f t="shared" si="11"/>
        <v>100</v>
      </c>
      <c r="V38" s="703" t="s">
        <v>14</v>
      </c>
      <c r="W38" s="704">
        <f t="shared" si="12"/>
        <v>100</v>
      </c>
      <c r="X38" s="1353"/>
      <c r="Y38" s="370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3" t="s">
        <v>14</v>
      </c>
      <c r="S39" s="704">
        <f t="shared" si="10"/>
        <v>100</v>
      </c>
      <c r="T39" s="703" t="s">
        <v>14</v>
      </c>
      <c r="U39" s="704">
        <f t="shared" si="11"/>
        <v>100</v>
      </c>
      <c r="V39" s="703" t="s">
        <v>14</v>
      </c>
      <c r="W39" s="704">
        <f t="shared" si="12"/>
        <v>100</v>
      </c>
      <c r="X39" s="1353"/>
      <c r="Y39" s="370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6" t="s">
        <v>14</v>
      </c>
      <c r="S40" s="707">
        <f t="shared" si="10"/>
        <v>100</v>
      </c>
      <c r="T40" s="706" t="s">
        <v>14</v>
      </c>
      <c r="U40" s="707">
        <f t="shared" si="11"/>
        <v>100</v>
      </c>
      <c r="V40" s="706" t="s">
        <v>14</v>
      </c>
      <c r="W40" s="707">
        <f t="shared" si="12"/>
        <v>100</v>
      </c>
      <c r="X40" s="708"/>
      <c r="Y40" s="370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9" t="str">
        <f>A41</f>
        <v>成交单价</v>
      </c>
      <c r="Q41" s="3699"/>
      <c r="R41" s="3694">
        <f>E41</f>
        <v>0</v>
      </c>
      <c r="S41" s="3694"/>
      <c r="T41" s="3694">
        <f>G41</f>
        <v>0</v>
      </c>
      <c r="U41" s="3694"/>
      <c r="V41" s="3694">
        <f>I41</f>
        <v>0</v>
      </c>
      <c r="W41" s="369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6" t="str">
        <f>A43</f>
        <v>估价对象XX用房的比较价值（楼面单价，元/平方米）</v>
      </c>
      <c r="Q43" s="3697"/>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105.71</v>
      </c>
      <c r="F51" s="639" t="e">
        <f t="shared" ref="F51:F60" si="15">ROUND(B51*E51/10000,0)</f>
        <v>#DIV/0!</v>
      </c>
      <c r="G51" s="3681"/>
      <c r="H51" s="3699"/>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12.5</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19.52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248.363</v>
      </c>
      <c r="C2" s="1385" t="s">
        <v>879</v>
      </c>
      <c r="D2" s="1469">
        <f ca="1">C40+J29+L46</f>
        <v>2483630</v>
      </c>
      <c r="E2" s="1386" t="s">
        <v>880</v>
      </c>
      <c r="F2" s="1387"/>
      <c r="G2" s="2704"/>
      <c r="H2" s="2693"/>
      <c r="I2" s="2693"/>
      <c r="J2" s="2693"/>
      <c r="K2" s="2694"/>
      <c r="L2" s="2693"/>
      <c r="M2" s="2693"/>
    </row>
    <row r="3" spans="1:37" ht="18" customHeight="1" thickBot="1">
      <c r="A3" s="1388" t="s">
        <v>881</v>
      </c>
      <c r="B3" s="1389">
        <f ca="1">IF(ISERROR(D2/F43),0,ROUND(D2/F43,0))</f>
        <v>23495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208614</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208354</v>
      </c>
      <c r="D6" s="155" t="s">
        <v>2105</v>
      </c>
      <c r="E6" s="302" t="s">
        <v>696</v>
      </c>
      <c r="F6" s="303">
        <f ca="1">INDIRECT("'数据-取费表'!u"&amp;$G$1)</f>
        <v>6</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105.71</v>
      </c>
      <c r="G7" s="1382"/>
      <c r="H7" s="304"/>
      <c r="I7" s="3641"/>
      <c r="J7" s="306"/>
      <c r="K7" s="307"/>
      <c r="L7" s="302" t="s">
        <v>697</v>
      </c>
      <c r="M7" s="303">
        <f ca="1">F7</f>
        <v>105.71</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260</v>
      </c>
      <c r="D10" s="1364" t="s">
        <v>2115</v>
      </c>
      <c r="E10" s="313" t="s">
        <v>701</v>
      </c>
      <c r="F10" s="1114" t="s">
        <v>3427</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460615</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422840</v>
      </c>
      <c r="D14" s="1343" t="s">
        <v>708</v>
      </c>
      <c r="E14" s="1340"/>
      <c r="F14" s="319"/>
      <c r="G14" s="1382"/>
      <c r="H14" s="980" t="s">
        <v>398</v>
      </c>
      <c r="I14" s="302" t="s">
        <v>709</v>
      </c>
      <c r="J14" s="21">
        <f ca="1">C29</f>
        <v>606072</v>
      </c>
      <c r="K14" s="12"/>
      <c r="L14" s="805"/>
      <c r="M14" s="806"/>
    </row>
    <row r="15" spans="1:37" s="1395" customFormat="1" ht="18" customHeight="1" thickBot="1">
      <c r="A15" s="980" t="s">
        <v>399</v>
      </c>
      <c r="B15" s="302" t="s">
        <v>710</v>
      </c>
      <c r="C15" s="21">
        <f ca="1">ROUND(C14*F15,0)</f>
        <v>12685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3255</v>
      </c>
      <c r="K16" s="1085" t="s">
        <v>715</v>
      </c>
      <c r="L16" s="1086"/>
      <c r="M16" s="1070"/>
    </row>
    <row r="17" spans="1:37" s="1395" customFormat="1" ht="18" customHeight="1">
      <c r="A17" s="980" t="s">
        <v>681</v>
      </c>
      <c r="B17" s="302" t="s">
        <v>716</v>
      </c>
      <c r="C17" s="21">
        <f ca="1">ROUND(F17*(F43+INDIRECT("'数据-取费表'!S"&amp;$G$1)),0)</f>
        <v>21142</v>
      </c>
      <c r="D17" s="302" t="s">
        <v>717</v>
      </c>
      <c r="E17" s="302" t="s">
        <v>718</v>
      </c>
      <c r="F17" s="23">
        <f>'数据-取费表'!B35</f>
        <v>200</v>
      </c>
      <c r="G17" s="1394"/>
      <c r="H17" s="980" t="s">
        <v>398</v>
      </c>
      <c r="I17" s="302" t="s">
        <v>719</v>
      </c>
      <c r="J17" s="2314">
        <f ca="1">ROUND(IF(AND(项目基本情况!B11="自然人",项目基本情况!B10="北京市"),J6*M17/(1+'数据-取费表'!C42),J18+J19+J20),0)</f>
        <v>225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6343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463010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9260</v>
      </c>
      <c r="D20" s="323" t="s">
        <v>729</v>
      </c>
      <c r="E20" s="302" t="s">
        <v>712</v>
      </c>
      <c r="F20" s="322">
        <f>'数据-取费表'!B37</f>
        <v>0.02</v>
      </c>
      <c r="G20" s="1394"/>
      <c r="H20" s="980" t="s">
        <v>680</v>
      </c>
      <c r="I20" s="155" t="s">
        <v>730</v>
      </c>
      <c r="J20" s="22">
        <f ca="1">ROUND(M20*M21,0)</f>
        <v>225</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12.5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3030</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16293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-3255</v>
      </c>
      <c r="K25" s="1093" t="s">
        <v>753</v>
      </c>
      <c r="L25" s="1094"/>
      <c r="M25" s="1095"/>
    </row>
    <row r="26" spans="1:37" ht="18" customHeight="1">
      <c r="A26" s="980" t="s">
        <v>397</v>
      </c>
      <c r="B26" s="302" t="s">
        <v>754</v>
      </c>
      <c r="C26" s="21">
        <f ca="1">ROUND((C19+C20)*F26,0)</f>
        <v>70841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606072</v>
      </c>
      <c r="D29" s="1090"/>
      <c r="E29" s="1088"/>
      <c r="F29" s="1091"/>
      <c r="G29" s="1394"/>
      <c r="H29" s="334" t="s">
        <v>396</v>
      </c>
      <c r="I29" s="335" t="s">
        <v>768</v>
      </c>
      <c r="J29" s="336">
        <f ca="1">ROUND(J26/(1+F40)^F41,0)</f>
        <v>0</v>
      </c>
      <c r="K29" s="337" t="s">
        <v>769</v>
      </c>
      <c r="L29" s="338"/>
      <c r="M29" s="339">
        <f ca="1">INDIRECT("'数据-取费表'!k"&amp;$G$1)</f>
        <v>105.71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39683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35149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11112</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23812</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225</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12.5</v>
      </c>
      <c r="G35" s="1382"/>
      <c r="H35" s="2695"/>
      <c r="I35" s="1396"/>
      <c r="J35" s="1397"/>
      <c r="K35" s="2699"/>
      <c r="L35" s="2698"/>
      <c r="M35" s="2698"/>
    </row>
    <row r="36" spans="1:18" ht="18" customHeight="1">
      <c r="A36" s="1100" t="s">
        <v>402</v>
      </c>
      <c r="B36" s="302" t="s">
        <v>738</v>
      </c>
      <c r="C36" s="21">
        <f ca="1">ROUND(C29*F36,0)</f>
        <v>3030</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461</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1043</v>
      </c>
      <c r="D38" s="1090" t="s">
        <v>748</v>
      </c>
      <c r="E38" s="1088" t="s">
        <v>744</v>
      </c>
      <c r="F38" s="1084">
        <f ca="1">INDIRECT("'数据-取费表'!Am"&amp;$G$1)</f>
        <v>5.0000000000000001E-3</v>
      </c>
      <c r="G38" s="1382"/>
      <c r="H38" s="2698"/>
      <c r="I38" s="1396">
        <f ca="1">C39/C5</f>
        <v>0.80977786725723111</v>
      </c>
      <c r="J38" s="1397"/>
      <c r="K38" s="2702"/>
      <c r="L38" s="2698"/>
      <c r="M38" s="2698"/>
    </row>
    <row r="39" spans="1:18" ht="24.6" customHeight="1" thickTop="1">
      <c r="A39" s="1077" t="s">
        <v>394</v>
      </c>
      <c r="B39" s="1092" t="s">
        <v>772</v>
      </c>
      <c r="C39" s="310">
        <f ca="1">C5-C30</f>
        <v>168931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2424543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19.52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22936</v>
      </c>
      <c r="D43" s="337" t="s">
        <v>777</v>
      </c>
      <c r="E43" s="338" t="s">
        <v>778</v>
      </c>
      <c r="F43" s="339">
        <f ca="1">INDIRECT("'数据-取费表'!k"&amp;$G$1)</f>
        <v>105.71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-246.8348</v>
      </c>
      <c r="D45" s="3430" t="s">
        <v>3356</v>
      </c>
      <c r="E45" s="1398"/>
      <c r="F45" s="1398"/>
      <c r="O45" s="1401" t="s">
        <v>808</v>
      </c>
      <c r="P45" s="1459"/>
      <c r="Q45" s="1459"/>
      <c r="R45" s="1459"/>
    </row>
    <row r="46" spans="1:18" s="1382" customFormat="1" ht="13.5" thickBot="1">
      <c r="A46" s="1402" t="s">
        <v>809</v>
      </c>
      <c r="C46" s="1403">
        <f ca="1">ROUND(C45,0)</f>
        <v>-247</v>
      </c>
      <c r="D46" s="1404" t="str">
        <f>C2</f>
        <v>万元</v>
      </c>
      <c r="I46" s="1405" t="s">
        <v>810</v>
      </c>
      <c r="J46" s="1406"/>
      <c r="K46" s="1407"/>
      <c r="L46" s="1408">
        <f ca="1">IF(M47="住宅",0,IF(L48&gt;J51,L60,J60))</f>
        <v>59087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3428</v>
      </c>
      <c r="K47" s="1414" t="s">
        <v>816</v>
      </c>
      <c r="L47" s="1415">
        <f ca="1">INDIRECT("'数据-取费表'!d"&amp;$G$1)</f>
        <v>50</v>
      </c>
      <c r="M47" s="1378" t="str">
        <f>IF(ISNUMBER(FIND("住宅",C1)),"住宅","非住宅")</f>
        <v>非住宅</v>
      </c>
      <c r="O47" s="1416" t="s">
        <v>403</v>
      </c>
      <c r="P47" s="1417" t="s">
        <v>817</v>
      </c>
      <c r="Q47" s="1418">
        <f ca="1">C40+J29</f>
        <v>2424543</v>
      </c>
      <c r="R47" s="1418" t="s">
        <v>818</v>
      </c>
    </row>
    <row r="48" spans="1:18" s="1382" customFormat="1" ht="28.5" thickBot="1">
      <c r="A48" s="1108" t="s">
        <v>438</v>
      </c>
      <c r="B48" s="300" t="s">
        <v>692</v>
      </c>
      <c r="C48" s="1357">
        <f ca="1">C49+C53+C55</f>
        <v>0</v>
      </c>
      <c r="D48" s="1110"/>
      <c r="E48" s="1111"/>
      <c r="F48" s="960"/>
      <c r="G48" s="720"/>
      <c r="H48" s="721"/>
      <c r="I48" s="1419" t="s">
        <v>819</v>
      </c>
      <c r="J48" s="1420" t="s">
        <v>3429</v>
      </c>
      <c r="K48" s="1421" t="s">
        <v>820</v>
      </c>
      <c r="L48" s="1422">
        <f ca="1">INDIRECT("'数据-取费表'!f"&amp;$G$1)</f>
        <v>19.52</v>
      </c>
      <c r="O48" s="1416" t="s">
        <v>404</v>
      </c>
      <c r="P48" s="1417" t="s">
        <v>821</v>
      </c>
      <c r="Q48" s="1418">
        <f ca="1">J60</f>
        <v>59087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2003</v>
      </c>
      <c r="K49" s="1421" t="s">
        <v>824</v>
      </c>
      <c r="L49" s="1425"/>
      <c r="O49" s="1426" t="s">
        <v>405</v>
      </c>
      <c r="P49" s="1417" t="s">
        <v>825</v>
      </c>
      <c r="Q49" s="1418">
        <f ca="1">C29</f>
        <v>606072</v>
      </c>
      <c r="R49" s="1418" t="s">
        <v>818</v>
      </c>
    </row>
    <row r="50" spans="1:18" s="1382" customFormat="1" ht="13.5" thickBot="1">
      <c r="A50" s="974"/>
      <c r="B50" s="977"/>
      <c r="C50" s="978"/>
      <c r="D50" s="951"/>
      <c r="E50" s="1054" t="s">
        <v>697</v>
      </c>
      <c r="F50" s="1055">
        <f ca="1">F7</f>
        <v>105.71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2345440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19.52</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19.52</v>
      </c>
      <c r="K53" s="3638" t="s">
        <v>837</v>
      </c>
      <c r="L53" s="3639"/>
      <c r="O53" s="1416" t="s">
        <v>409</v>
      </c>
      <c r="P53" s="1417" t="s">
        <v>838</v>
      </c>
      <c r="Q53" s="1418">
        <f ca="1">Q47+Q48</f>
        <v>2483630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460615</v>
      </c>
      <c r="D56" s="1445"/>
      <c r="E56" s="1446"/>
      <c r="F56" s="1438"/>
      <c r="I56" s="1447" t="s">
        <v>842</v>
      </c>
      <c r="J56" s="1448" t="s">
        <v>3388</v>
      </c>
      <c r="K56" s="1419" t="s">
        <v>843</v>
      </c>
      <c r="L56" s="1422" t="str">
        <f ca="1">IF(L48&lt;J51,"——",L48-J51)</f>
        <v>——</v>
      </c>
      <c r="O56" s="1416" t="s">
        <v>403</v>
      </c>
      <c r="P56" s="1417" t="s">
        <v>817</v>
      </c>
      <c r="Q56" s="1418">
        <f ca="1">C40+J29</f>
        <v>2424543</v>
      </c>
      <c r="R56" s="1418" t="s">
        <v>818</v>
      </c>
    </row>
    <row r="57" spans="1:18" s="1382" customFormat="1" ht="24.75" thickBot="1">
      <c r="A57" s="1449"/>
      <c r="B57" s="948" t="s">
        <v>767</v>
      </c>
      <c r="C57" s="238">
        <f ca="1">C29</f>
        <v>606072</v>
      </c>
      <c r="D57" s="1450"/>
      <c r="E57" s="1451"/>
      <c r="F57" s="1452"/>
      <c r="I57" s="1453" t="s">
        <v>844</v>
      </c>
      <c r="J57" s="1454">
        <f ca="1">IF(OR(M47="住宅",J51&lt;L48,J56="是"),"——",J51-L48)</f>
        <v>20.48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225</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242429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59087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225</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2424543</v>
      </c>
      <c r="R62" s="1418" t="s">
        <v>410</v>
      </c>
    </row>
    <row r="63" spans="1:18" s="1382" customFormat="1" ht="13.5" thickBot="1">
      <c r="A63" s="326"/>
      <c r="B63" s="954"/>
      <c r="C63" s="26"/>
      <c r="D63" s="964"/>
      <c r="E63" s="948" t="s">
        <v>788</v>
      </c>
      <c r="F63" s="303">
        <f t="shared" ca="1" si="0"/>
        <v>12.5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3030</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461</v>
      </c>
      <c r="D65" s="962" t="s">
        <v>743</v>
      </c>
      <c r="E65" s="948" t="s">
        <v>744</v>
      </c>
      <c r="F65" s="330">
        <f t="shared" ca="1" si="0"/>
        <v>1E-3</v>
      </c>
      <c r="I65" s="1460" t="s">
        <v>867</v>
      </c>
      <c r="J65" s="1461">
        <v>40</v>
      </c>
      <c r="K65" s="1461">
        <v>30</v>
      </c>
      <c r="L65" s="1461">
        <v>50</v>
      </c>
      <c r="M65" s="1463">
        <v>0.02</v>
      </c>
      <c r="O65" s="1416" t="s">
        <v>403</v>
      </c>
      <c r="P65" s="1417" t="s">
        <v>868</v>
      </c>
      <c r="Q65" s="1418">
        <f ca="1">C40+J29</f>
        <v>2424543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-3716</v>
      </c>
      <c r="D67" s="961" t="s">
        <v>753</v>
      </c>
      <c r="E67" s="966"/>
      <c r="F67" s="967"/>
      <c r="O67" s="1426" t="s">
        <v>405</v>
      </c>
      <c r="P67" s="1417" t="s">
        <v>850</v>
      </c>
      <c r="Q67" s="1464">
        <f ca="1">L51</f>
        <v>2345440</v>
      </c>
      <c r="R67" s="1418" t="s">
        <v>870</v>
      </c>
    </row>
    <row r="68" spans="1:18" s="1382" customFormat="1" ht="16.5" thickBot="1">
      <c r="A68" s="945" t="s">
        <v>395</v>
      </c>
      <c r="B68" s="946" t="s">
        <v>774</v>
      </c>
      <c r="C68" s="301">
        <f ca="1">ROUND(C67*(1-((1+F70)/(1+F68))^F69)/(F68-F70),0)</f>
        <v>-43805</v>
      </c>
      <c r="D68" s="963" t="s">
        <v>758</v>
      </c>
      <c r="E68" s="948" t="s">
        <v>759</v>
      </c>
      <c r="F68" s="312">
        <f ca="1">F40</f>
        <v>5.5E-2</v>
      </c>
      <c r="O68" s="1426" t="s">
        <v>406</v>
      </c>
      <c r="P68" s="1465" t="s">
        <v>871</v>
      </c>
      <c r="Q68" s="1418">
        <f ca="1">ROUND(Q69-Q70*Q71,0)</f>
        <v>136688</v>
      </c>
      <c r="R68" s="1418" t="s">
        <v>414</v>
      </c>
    </row>
    <row r="69" spans="1:18" s="1382" customFormat="1" ht="13.5" thickBot="1">
      <c r="A69" s="949"/>
      <c r="B69" s="950"/>
      <c r="C69" s="306"/>
      <c r="D69" s="968" t="s">
        <v>762</v>
      </c>
      <c r="E69" s="948" t="s">
        <v>763</v>
      </c>
      <c r="F69" s="333">
        <f ca="1">F41</f>
        <v>19.52</v>
      </c>
      <c r="O69" s="1426" t="s">
        <v>411</v>
      </c>
      <c r="P69" s="1465" t="s">
        <v>872</v>
      </c>
      <c r="Q69" s="1418">
        <f ca="1">C39</f>
        <v>168931</v>
      </c>
      <c r="R69" s="1418" t="s">
        <v>818</v>
      </c>
    </row>
    <row r="70" spans="1:18" s="1382" customFormat="1" ht="13.5" thickBot="1">
      <c r="A70" s="952"/>
      <c r="B70" s="953"/>
      <c r="C70" s="310"/>
      <c r="D70" s="964"/>
      <c r="E70" s="948" t="s">
        <v>766</v>
      </c>
      <c r="F70" s="1052"/>
      <c r="O70" s="1426" t="s">
        <v>412</v>
      </c>
      <c r="P70" s="1465" t="s">
        <v>873</v>
      </c>
      <c r="Q70" s="1418">
        <f ca="1">C13</f>
        <v>460615</v>
      </c>
      <c r="R70" s="1418" t="s">
        <v>818</v>
      </c>
    </row>
    <row r="71" spans="1:18" s="1382" customFormat="1" ht="13.5" thickBot="1">
      <c r="A71" s="969" t="s">
        <v>396</v>
      </c>
      <c r="B71" s="970" t="s">
        <v>776</v>
      </c>
      <c r="C71" s="336">
        <f ca="1">ROUND(C68/F71,0)</f>
        <v>-414</v>
      </c>
      <c r="D71" s="971" t="s">
        <v>777</v>
      </c>
      <c r="E71" s="972" t="s">
        <v>778</v>
      </c>
      <c r="F71" s="339">
        <f ca="1">F43</f>
        <v>105.71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32243</v>
      </c>
      <c r="D75" s="1382"/>
      <c r="E75" s="1382"/>
      <c r="F75" s="1382"/>
      <c r="K75" s="1400"/>
      <c r="L75" s="1382"/>
      <c r="O75" s="1416" t="s">
        <v>409</v>
      </c>
      <c r="P75" s="1417" t="s">
        <v>838</v>
      </c>
      <c r="Q75" s="1418">
        <f ca="1">Q65+Q66</f>
        <v>2424543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0.81</v>
      </c>
    </row>
    <row r="83" spans="2:3">
      <c r="B83" s="273" t="s">
        <v>803</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4484</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37633</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6" t="s">
        <v>27</v>
      </c>
      <c r="D22" s="3737"/>
      <c r="E22" s="3737"/>
      <c r="F22" s="3737"/>
      <c r="G22" s="3737"/>
      <c r="H22" s="3737"/>
      <c r="I22" s="3737"/>
      <c r="J22" s="3737"/>
      <c r="K22" s="3737"/>
      <c r="L22" s="3737"/>
      <c r="M22" s="3737"/>
      <c r="N22" s="3737"/>
      <c r="O22" s="3737"/>
      <c r="P22" s="3737"/>
      <c r="Q22" s="3738"/>
      <c r="R22" s="661">
        <f ca="1">ROUND(S22*10000/B22,0)</f>
        <v>37633</v>
      </c>
      <c r="S22" s="21">
        <f ca="1">SUM(S24:S10000)</f>
        <v>4484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37627</v>
      </c>
      <c r="S24" s="664">
        <f t="shared" ref="S24:S54" ca="1" si="11">ROUND(R24*B24/10000,0)</f>
        <v>398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37627</v>
      </c>
      <c r="S25" s="316">
        <f t="shared" ca="1" si="11"/>
        <v>398</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37627</v>
      </c>
      <c r="S26" s="316">
        <f t="shared" ca="1" si="11"/>
        <v>607</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37627</v>
      </c>
      <c r="S27" s="316">
        <f t="shared" ca="1" si="11"/>
        <v>517</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37627</v>
      </c>
      <c r="S28" s="316">
        <f t="shared" ca="1" si="11"/>
        <v>644</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37627</v>
      </c>
      <c r="S29" s="316">
        <f t="shared" ca="1" si="11"/>
        <v>517</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37627</v>
      </c>
      <c r="S30" s="316">
        <f t="shared" ca="1" si="11"/>
        <v>607</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37627</v>
      </c>
      <c r="S31" s="316">
        <f t="shared" ca="1" si="11"/>
        <v>398</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37627</v>
      </c>
      <c r="S32" s="316">
        <f t="shared" ca="1" si="11"/>
        <v>398</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45230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8" t="s">
        <v>2610</v>
      </c>
      <c r="B20" s="3761" t="s">
        <v>2631</v>
      </c>
      <c r="C20" s="3101" t="s">
        <v>2442</v>
      </c>
      <c r="D20" s="3102"/>
      <c r="E20" s="3103">
        <v>1</v>
      </c>
      <c r="F20" s="3104" t="s">
        <v>2443</v>
      </c>
      <c r="G20" s="3104"/>
    </row>
    <row r="21" spans="1:13" ht="19.5" customHeight="1">
      <c r="A21" s="3769"/>
      <c r="B21" s="3762"/>
      <c r="C21" s="3105" t="s">
        <v>2444</v>
      </c>
      <c r="D21" s="3106"/>
      <c r="E21" s="3107">
        <v>1</v>
      </c>
      <c r="F21" s="3104" t="s">
        <v>2445</v>
      </c>
      <c r="G21" s="3104"/>
    </row>
    <row r="22" spans="1:13" ht="19.5" customHeight="1">
      <c r="A22" s="3769"/>
      <c r="B22" s="3762"/>
      <c r="C22" s="3105" t="s">
        <v>2446</v>
      </c>
      <c r="D22" s="3106"/>
      <c r="E22" s="3107">
        <v>0.9</v>
      </c>
      <c r="F22" s="3104" t="s">
        <v>2447</v>
      </c>
      <c r="G22" s="3104"/>
    </row>
    <row r="23" spans="1:13" ht="19.5" customHeight="1">
      <c r="A23" s="3769"/>
      <c r="B23" s="3762"/>
      <c r="C23" s="3105" t="s">
        <v>2448</v>
      </c>
      <c r="D23" s="3106"/>
      <c r="E23" s="3107">
        <v>0.9</v>
      </c>
      <c r="F23" s="3104" t="s">
        <v>2449</v>
      </c>
      <c r="G23" s="3104"/>
    </row>
    <row r="24" spans="1:13" ht="19.5" customHeight="1">
      <c r="A24" s="3769"/>
      <c r="B24" s="3762"/>
      <c r="C24" s="3105" t="s">
        <v>2450</v>
      </c>
      <c r="D24" s="3106"/>
      <c r="E24" s="3107">
        <v>0.8</v>
      </c>
      <c r="F24" s="3104" t="s">
        <v>2451</v>
      </c>
      <c r="G24" s="3104"/>
    </row>
    <row r="25" spans="1:13" ht="19.5" customHeight="1" thickBot="1">
      <c r="A25" s="3770"/>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1" t="s">
        <v>2615</v>
      </c>
      <c r="C27" s="3101" t="s">
        <v>2455</v>
      </c>
      <c r="D27" s="3102"/>
      <c r="E27" s="3103">
        <v>1</v>
      </c>
      <c r="F27" s="3104" t="s">
        <v>2456</v>
      </c>
      <c r="G27" s="3104"/>
    </row>
    <row r="28" spans="1:13" ht="19.5" customHeight="1">
      <c r="A28" s="3765"/>
      <c r="B28" s="3762"/>
      <c r="C28" s="3105" t="s">
        <v>2457</v>
      </c>
      <c r="D28" s="3106"/>
      <c r="E28" s="3107">
        <v>1</v>
      </c>
      <c r="F28" s="3104" t="s">
        <v>2458</v>
      </c>
      <c r="G28" s="3104"/>
    </row>
    <row r="29" spans="1:13" ht="19.5" customHeight="1">
      <c r="A29" s="3765"/>
      <c r="B29" s="3762"/>
      <c r="C29" s="3105" t="s">
        <v>2459</v>
      </c>
      <c r="D29" s="3106"/>
      <c r="E29" s="3107">
        <v>0.8</v>
      </c>
      <c r="F29" s="3104" t="s">
        <v>2460</v>
      </c>
      <c r="G29" s="3104"/>
    </row>
    <row r="30" spans="1:13" ht="19.5" customHeight="1">
      <c r="A30" s="3765"/>
      <c r="B30" s="3762"/>
      <c r="C30" s="3105" t="s">
        <v>2461</v>
      </c>
      <c r="D30" s="3106"/>
      <c r="E30" s="3107">
        <v>0.8</v>
      </c>
      <c r="F30" s="3104" t="s">
        <v>2462</v>
      </c>
      <c r="G30" s="3104"/>
    </row>
    <row r="31" spans="1:13" ht="19.5" customHeight="1">
      <c r="A31" s="3765"/>
      <c r="B31" s="3762"/>
      <c r="C31" s="3105" t="s">
        <v>2463</v>
      </c>
      <c r="D31" s="3106"/>
      <c r="E31" s="3107">
        <v>0.8</v>
      </c>
      <c r="F31" s="3104" t="s">
        <v>2464</v>
      </c>
      <c r="G31" s="3104"/>
    </row>
    <row r="32" spans="1:13" ht="19.5" customHeight="1">
      <c r="A32" s="3765"/>
      <c r="B32" s="3762"/>
      <c r="C32" s="3105" t="s">
        <v>2465</v>
      </c>
      <c r="D32" s="3106"/>
      <c r="E32" s="3107">
        <v>0.7</v>
      </c>
      <c r="F32" s="3104" t="s">
        <v>2466</v>
      </c>
      <c r="G32" s="3104"/>
    </row>
    <row r="33" spans="1:7" ht="19.5" customHeight="1">
      <c r="A33" s="3765"/>
      <c r="B33" s="3762"/>
      <c r="C33" s="3105" t="s">
        <v>2467</v>
      </c>
      <c r="D33" s="3106"/>
      <c r="E33" s="3107">
        <v>0.8</v>
      </c>
      <c r="F33" s="3104" t="s">
        <v>2468</v>
      </c>
      <c r="G33" s="3104"/>
    </row>
    <row r="34" spans="1:7" ht="19.5" customHeight="1">
      <c r="A34" s="3765"/>
      <c r="B34" s="3762"/>
      <c r="C34" s="3105" t="s">
        <v>2469</v>
      </c>
      <c r="D34" s="3106"/>
      <c r="E34" s="3107">
        <v>0.6</v>
      </c>
      <c r="F34" s="3104" t="s">
        <v>2470</v>
      </c>
      <c r="G34" s="3104"/>
    </row>
    <row r="35" spans="1:7" ht="19.5" customHeight="1">
      <c r="A35" s="3765"/>
      <c r="B35" s="3762"/>
      <c r="C35" s="3105" t="s">
        <v>2471</v>
      </c>
      <c r="D35" s="3106"/>
      <c r="E35" s="3107">
        <v>0.2</v>
      </c>
      <c r="F35" s="3104" t="s">
        <v>2472</v>
      </c>
      <c r="G35" s="3104"/>
    </row>
    <row r="36" spans="1:7" ht="19.5" customHeight="1">
      <c r="A36" s="3765"/>
      <c r="B36" s="3762"/>
      <c r="C36" s="3105" t="s">
        <v>2473</v>
      </c>
      <c r="D36" s="3106"/>
      <c r="E36" s="3107">
        <v>0.2</v>
      </c>
      <c r="F36" s="3104" t="s">
        <v>2474</v>
      </c>
      <c r="G36" s="3104"/>
    </row>
    <row r="37" spans="1:7" ht="19.5" customHeight="1">
      <c r="A37" s="3765"/>
      <c r="B37" s="3767" t="s">
        <v>2635</v>
      </c>
      <c r="C37" s="3105" t="s">
        <v>2475</v>
      </c>
      <c r="D37" s="3106"/>
      <c r="E37" s="3107">
        <v>0.6</v>
      </c>
      <c r="F37" s="3104" t="s">
        <v>2476</v>
      </c>
      <c r="G37" s="3104"/>
    </row>
    <row r="38" spans="1:7" ht="19.5" customHeight="1">
      <c r="A38" s="3765"/>
      <c r="B38" s="3762"/>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8" t="s">
        <v>2613</v>
      </c>
      <c r="B41" s="3761" t="s">
        <v>2637</v>
      </c>
      <c r="C41" s="3101" t="s">
        <v>2482</v>
      </c>
      <c r="D41" s="3102"/>
      <c r="E41" s="3103">
        <v>1</v>
      </c>
      <c r="F41" s="3104" t="s">
        <v>2483</v>
      </c>
      <c r="G41" s="3104"/>
    </row>
    <row r="42" spans="1:7" ht="19.5" customHeight="1">
      <c r="A42" s="3769"/>
      <c r="B42" s="3762"/>
      <c r="C42" s="3105" t="s">
        <v>2484</v>
      </c>
      <c r="D42" s="3106"/>
      <c r="E42" s="3107">
        <v>1</v>
      </c>
      <c r="F42" s="3104" t="s">
        <v>2485</v>
      </c>
      <c r="G42" s="3104"/>
    </row>
    <row r="43" spans="1:7" ht="19.5" customHeight="1">
      <c r="A43" s="3769"/>
      <c r="B43" s="3771"/>
      <c r="C43" s="3105" t="s">
        <v>2486</v>
      </c>
      <c r="D43" s="3106"/>
      <c r="E43" s="3107">
        <v>1.5</v>
      </c>
      <c r="F43" s="3104" t="s">
        <v>2487</v>
      </c>
      <c r="G43" s="3104"/>
    </row>
    <row r="44" spans="1:7" ht="19.5" customHeight="1">
      <c r="A44" s="3769"/>
      <c r="B44" s="3116" t="s">
        <v>2638</v>
      </c>
      <c r="C44" s="3105" t="s">
        <v>2639</v>
      </c>
      <c r="D44" s="3106"/>
      <c r="E44" s="3107">
        <v>2</v>
      </c>
      <c r="F44" s="3104" t="s">
        <v>2488</v>
      </c>
      <c r="G44" s="3104"/>
    </row>
    <row r="45" spans="1:7" ht="19.5" customHeight="1">
      <c r="A45" s="3769"/>
      <c r="B45" s="3767" t="s">
        <v>2640</v>
      </c>
      <c r="C45" s="3105" t="s">
        <v>2489</v>
      </c>
      <c r="D45" s="3106"/>
      <c r="E45" s="3107">
        <v>1</v>
      </c>
      <c r="F45" s="3104" t="s">
        <v>2490</v>
      </c>
      <c r="G45" s="3104"/>
    </row>
    <row r="46" spans="1:7" ht="19.5" customHeight="1">
      <c r="A46" s="3769"/>
      <c r="B46" s="3762"/>
      <c r="C46" s="3105" t="s">
        <v>2491</v>
      </c>
      <c r="D46" s="3106"/>
      <c r="E46" s="3107">
        <v>1</v>
      </c>
      <c r="F46" s="3104" t="s">
        <v>2492</v>
      </c>
      <c r="G46" s="3104"/>
    </row>
    <row r="47" spans="1:7" ht="19.5" customHeight="1">
      <c r="A47" s="3769"/>
      <c r="B47" s="3762"/>
      <c r="C47" s="3105" t="s">
        <v>2493</v>
      </c>
      <c r="D47" s="3106"/>
      <c r="E47" s="3107">
        <v>1</v>
      </c>
      <c r="F47" s="3104" t="s">
        <v>2494</v>
      </c>
      <c r="G47" s="3104"/>
    </row>
    <row r="48" spans="1:7" ht="19.5" customHeight="1">
      <c r="A48" s="3769"/>
      <c r="B48" s="3762"/>
      <c r="C48" s="3105" t="s">
        <v>2495</v>
      </c>
      <c r="D48" s="3106"/>
      <c r="E48" s="3107">
        <v>1</v>
      </c>
      <c r="F48" s="3104" t="s">
        <v>2496</v>
      </c>
      <c r="G48" s="3104"/>
    </row>
    <row r="49" spans="1:7" ht="19.5" customHeight="1">
      <c r="A49" s="3769"/>
      <c r="B49" s="3762"/>
      <c r="C49" s="3105" t="s">
        <v>2497</v>
      </c>
      <c r="D49" s="3106"/>
      <c r="E49" s="3107">
        <v>1</v>
      </c>
      <c r="F49" s="3104" t="s">
        <v>2498</v>
      </c>
      <c r="G49" s="3104"/>
    </row>
    <row r="50" spans="1:7" ht="19.5" customHeight="1">
      <c r="A50" s="3769"/>
      <c r="B50" s="3762"/>
      <c r="C50" s="3105" t="s">
        <v>2499</v>
      </c>
      <c r="D50" s="3106"/>
      <c r="E50" s="3107">
        <v>1</v>
      </c>
      <c r="F50" s="3104" t="s">
        <v>2500</v>
      </c>
      <c r="G50" s="3104"/>
    </row>
    <row r="51" spans="1:7" ht="19.5" customHeight="1" thickBot="1">
      <c r="A51" s="3770"/>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2"/>
      <c r="C74" s="3090" t="s">
        <v>2657</v>
      </c>
      <c r="D74" s="3090" t="s">
        <v>2658</v>
      </c>
      <c r="E74" s="3116">
        <v>0.2</v>
      </c>
      <c r="F74" s="3116">
        <v>25</v>
      </c>
    </row>
    <row r="75" spans="1:7" ht="24">
      <c r="A75" s="3116">
        <v>3</v>
      </c>
      <c r="B75" s="3762"/>
      <c r="C75" s="3090" t="s">
        <v>2659</v>
      </c>
      <c r="D75" s="3090" t="s">
        <v>2660</v>
      </c>
      <c r="E75" s="3116">
        <v>0.2</v>
      </c>
      <c r="F75" s="3116">
        <v>25</v>
      </c>
    </row>
    <row r="76" spans="1:7" ht="13.5">
      <c r="A76" s="3116">
        <v>4</v>
      </c>
      <c r="B76" s="3762"/>
      <c r="C76" s="3090" t="s">
        <v>2661</v>
      </c>
      <c r="D76" s="3090" t="s">
        <v>2662</v>
      </c>
      <c r="E76" s="3116">
        <v>0.15</v>
      </c>
      <c r="F76" s="3116">
        <v>20</v>
      </c>
    </row>
    <row r="77" spans="1:7" ht="24">
      <c r="A77" s="3116">
        <v>5</v>
      </c>
      <c r="B77" s="3762"/>
      <c r="C77" s="3090" t="s">
        <v>2663</v>
      </c>
      <c r="D77" s="3090" t="s">
        <v>2664</v>
      </c>
      <c r="E77" s="3116">
        <v>0.15</v>
      </c>
      <c r="F77" s="3116">
        <v>20</v>
      </c>
    </row>
    <row r="78" spans="1:7" ht="24">
      <c r="A78" s="3116">
        <v>6</v>
      </c>
      <c r="B78" s="3762"/>
      <c r="C78" s="3090" t="s">
        <v>2665</v>
      </c>
      <c r="D78" s="3090" t="s">
        <v>2666</v>
      </c>
      <c r="E78" s="3116">
        <v>0.15</v>
      </c>
      <c r="F78" s="3116">
        <v>20</v>
      </c>
    </row>
    <row r="79" spans="1:7" ht="24">
      <c r="A79" s="3116">
        <v>7</v>
      </c>
      <c r="B79" s="3762"/>
      <c r="C79" s="3090" t="s">
        <v>2667</v>
      </c>
      <c r="D79" s="3090" t="s">
        <v>2668</v>
      </c>
      <c r="E79" s="3116">
        <v>0.15</v>
      </c>
      <c r="F79" s="3116">
        <v>20</v>
      </c>
    </row>
    <row r="80" spans="1:7" ht="24">
      <c r="A80" s="3116">
        <v>8</v>
      </c>
      <c r="B80" s="3762"/>
      <c r="C80" s="3090" t="s">
        <v>2669</v>
      </c>
      <c r="D80" s="3090" t="s">
        <v>2670</v>
      </c>
      <c r="E80" s="3116">
        <v>0.1</v>
      </c>
      <c r="F80" s="3116">
        <v>15</v>
      </c>
    </row>
    <row r="81" spans="1:6" ht="24">
      <c r="A81" s="3116">
        <v>9</v>
      </c>
      <c r="B81" s="3762"/>
      <c r="C81" s="3090" t="s">
        <v>2671</v>
      </c>
      <c r="D81" s="3090" t="s">
        <v>2672</v>
      </c>
      <c r="E81" s="3116">
        <v>0.1</v>
      </c>
      <c r="F81" s="3116">
        <v>15</v>
      </c>
    </row>
    <row r="82" spans="1:6" ht="24">
      <c r="A82" s="3116">
        <v>10</v>
      </c>
      <c r="B82" s="3762"/>
      <c r="C82" s="3090" t="s">
        <v>2673</v>
      </c>
      <c r="D82" s="3090" t="s">
        <v>2674</v>
      </c>
      <c r="E82" s="3116">
        <v>0.1</v>
      </c>
      <c r="F82" s="3116">
        <v>15</v>
      </c>
    </row>
    <row r="83" spans="1:6" ht="24">
      <c r="A83" s="3116">
        <v>11</v>
      </c>
      <c r="B83" s="3762"/>
      <c r="C83" s="3090" t="s">
        <v>2675</v>
      </c>
      <c r="D83" s="3090" t="s">
        <v>2676</v>
      </c>
      <c r="E83" s="3116">
        <v>0.1</v>
      </c>
      <c r="F83" s="3116">
        <v>15</v>
      </c>
    </row>
    <row r="84" spans="1:6" ht="24">
      <c r="A84" s="3116">
        <v>12</v>
      </c>
      <c r="B84" s="3762"/>
      <c r="C84" s="3090" t="s">
        <v>2677</v>
      </c>
      <c r="D84" s="3090" t="s">
        <v>2678</v>
      </c>
      <c r="E84" s="3116">
        <v>0.1</v>
      </c>
      <c r="F84" s="3116">
        <v>15</v>
      </c>
    </row>
    <row r="85" spans="1:6" ht="13.5">
      <c r="A85" s="3116">
        <v>13</v>
      </c>
      <c r="B85" s="3762"/>
      <c r="C85" s="3090" t="s">
        <v>2679</v>
      </c>
      <c r="D85" s="3090" t="s">
        <v>2680</v>
      </c>
      <c r="E85" s="3116">
        <v>0.1</v>
      </c>
      <c r="F85" s="3116">
        <v>15</v>
      </c>
    </row>
    <row r="86" spans="1:6" ht="13.5">
      <c r="A86" s="3116">
        <v>14</v>
      </c>
      <c r="B86" s="3762"/>
      <c r="C86" s="3090" t="s">
        <v>2681</v>
      </c>
      <c r="D86" s="3090" t="s">
        <v>2682</v>
      </c>
      <c r="E86" s="3116">
        <v>0.1</v>
      </c>
      <c r="F86" s="3116">
        <v>15</v>
      </c>
    </row>
    <row r="87" spans="1:6" ht="13.5">
      <c r="A87" s="3116">
        <v>15</v>
      </c>
      <c r="B87" s="3762"/>
      <c r="C87" s="3090" t="s">
        <v>2683</v>
      </c>
      <c r="D87" s="3090" t="s">
        <v>2684</v>
      </c>
      <c r="E87" s="3116">
        <v>0.1</v>
      </c>
      <c r="F87" s="3116">
        <v>15</v>
      </c>
    </row>
    <row r="88" spans="1:6" ht="24">
      <c r="A88" s="3116">
        <v>16</v>
      </c>
      <c r="B88" s="376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2"/>
      <c r="C91" s="3090" t="s">
        <v>2692</v>
      </c>
      <c r="D91" s="3090" t="s">
        <v>2693</v>
      </c>
      <c r="E91" s="3116">
        <v>0.2</v>
      </c>
      <c r="F91" s="3116">
        <v>25</v>
      </c>
    </row>
    <row r="92" spans="1:6" ht="13.5">
      <c r="A92" s="3116">
        <v>20</v>
      </c>
      <c r="B92" s="3762"/>
      <c r="C92" s="3090" t="s">
        <v>2694</v>
      </c>
      <c r="D92" s="3090" t="s">
        <v>2695</v>
      </c>
      <c r="E92" s="3116">
        <v>0.15</v>
      </c>
      <c r="F92" s="3116">
        <v>20</v>
      </c>
    </row>
    <row r="93" spans="1:6" ht="13.5">
      <c r="A93" s="3116">
        <v>21</v>
      </c>
      <c r="B93" s="3762"/>
      <c r="C93" s="3090" t="s">
        <v>2696</v>
      </c>
      <c r="D93" s="3090" t="s">
        <v>2697</v>
      </c>
      <c r="E93" s="3116">
        <v>0.15</v>
      </c>
      <c r="F93" s="3116">
        <v>20</v>
      </c>
    </row>
    <row r="94" spans="1:6" ht="13.5">
      <c r="A94" s="3116">
        <v>22</v>
      </c>
      <c r="B94" s="3762"/>
      <c r="C94" s="3090" t="s">
        <v>2698</v>
      </c>
      <c r="D94" s="3090" t="s">
        <v>2699</v>
      </c>
      <c r="E94" s="3116">
        <v>0.15</v>
      </c>
      <c r="F94" s="3116">
        <v>20</v>
      </c>
    </row>
    <row r="95" spans="1:6" ht="36">
      <c r="A95" s="3116">
        <v>23</v>
      </c>
      <c r="B95" s="3762"/>
      <c r="C95" s="3090" t="s">
        <v>2700</v>
      </c>
      <c r="D95" s="3090" t="s">
        <v>2701</v>
      </c>
      <c r="E95" s="3116">
        <v>0.15</v>
      </c>
      <c r="F95" s="3116">
        <v>20</v>
      </c>
    </row>
    <row r="96" spans="1:6" ht="13.5">
      <c r="A96" s="3116">
        <v>24</v>
      </c>
      <c r="B96" s="3762"/>
      <c r="C96" s="3090" t="s">
        <v>2702</v>
      </c>
      <c r="D96" s="3090" t="s">
        <v>2703</v>
      </c>
      <c r="E96" s="3116">
        <v>0.1</v>
      </c>
      <c r="F96" s="3116">
        <v>15</v>
      </c>
    </row>
    <row r="97" spans="1:6" ht="13.5">
      <c r="A97" s="3116">
        <v>25</v>
      </c>
      <c r="B97" s="3762"/>
      <c r="C97" s="3090" t="s">
        <v>2704</v>
      </c>
      <c r="D97" s="3090" t="s">
        <v>2705</v>
      </c>
      <c r="E97" s="3116">
        <v>0.1</v>
      </c>
      <c r="F97" s="3116">
        <v>15</v>
      </c>
    </row>
    <row r="98" spans="1:6" ht="24">
      <c r="A98" s="3116">
        <v>26</v>
      </c>
      <c r="B98" s="3762"/>
      <c r="C98" s="3090" t="s">
        <v>2706</v>
      </c>
      <c r="D98" s="3090" t="s">
        <v>2707</v>
      </c>
      <c r="E98" s="3116">
        <v>0.1</v>
      </c>
      <c r="F98" s="3116">
        <v>15</v>
      </c>
    </row>
    <row r="99" spans="1:6" ht="24">
      <c r="A99" s="3116">
        <v>27</v>
      </c>
      <c r="B99" s="3762"/>
      <c r="C99" s="3090" t="s">
        <v>2708</v>
      </c>
      <c r="D99" s="3090" t="s">
        <v>2709</v>
      </c>
      <c r="E99" s="3116">
        <v>0.1</v>
      </c>
      <c r="F99" s="3116">
        <v>15</v>
      </c>
    </row>
    <row r="100" spans="1:6" ht="13.5">
      <c r="A100" s="3116">
        <v>28</v>
      </c>
      <c r="B100" s="3762"/>
      <c r="C100" s="3090" t="s">
        <v>2710</v>
      </c>
      <c r="D100" s="3090" t="s">
        <v>2711</v>
      </c>
      <c r="E100" s="3116">
        <v>0.1</v>
      </c>
      <c r="F100" s="3116">
        <v>15</v>
      </c>
    </row>
    <row r="101" spans="1:6" ht="13.5">
      <c r="A101" s="3116">
        <v>29</v>
      </c>
      <c r="B101" s="3762"/>
      <c r="C101" s="3090" t="s">
        <v>2712</v>
      </c>
      <c r="D101" s="3090" t="s">
        <v>2713</v>
      </c>
      <c r="E101" s="3116">
        <v>0.1</v>
      </c>
      <c r="F101" s="3116">
        <v>15</v>
      </c>
    </row>
    <row r="102" spans="1:6" ht="13.5">
      <c r="A102" s="3116">
        <v>30</v>
      </c>
      <c r="B102" s="3762"/>
      <c r="C102" s="3090" t="s">
        <v>2714</v>
      </c>
      <c r="D102" s="3090" t="s">
        <v>2715</v>
      </c>
      <c r="E102" s="3116">
        <v>0.1</v>
      </c>
      <c r="F102" s="3116">
        <v>15</v>
      </c>
    </row>
    <row r="103" spans="1:6" ht="24">
      <c r="A103" s="3116">
        <v>31</v>
      </c>
      <c r="B103" s="3762"/>
      <c r="C103" s="3090" t="s">
        <v>2716</v>
      </c>
      <c r="D103" s="3090" t="s">
        <v>2717</v>
      </c>
      <c r="E103" s="3116">
        <v>0.1</v>
      </c>
      <c r="F103" s="3116">
        <v>15</v>
      </c>
    </row>
    <row r="104" spans="1:6" ht="24">
      <c r="A104" s="3116">
        <v>32</v>
      </c>
      <c r="B104" s="3762"/>
      <c r="C104" s="3090" t="s">
        <v>2718</v>
      </c>
      <c r="D104" s="3090" t="s">
        <v>2719</v>
      </c>
      <c r="E104" s="3116">
        <v>0.1</v>
      </c>
      <c r="F104" s="3116">
        <v>15</v>
      </c>
    </row>
    <row r="105" spans="1:6" ht="24">
      <c r="A105" s="3116">
        <v>33</v>
      </c>
      <c r="B105" s="376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2"/>
      <c r="C108" s="3116" t="s">
        <v>2727</v>
      </c>
      <c r="D108" s="3090" t="s">
        <v>2728</v>
      </c>
      <c r="E108" s="3116">
        <v>0.15</v>
      </c>
      <c r="F108" s="3116">
        <v>20</v>
      </c>
    </row>
    <row r="109" spans="1:6" ht="13.5">
      <c r="A109" s="3116">
        <v>37</v>
      </c>
      <c r="B109" s="3762"/>
      <c r="C109" s="3116" t="s">
        <v>2729</v>
      </c>
      <c r="D109" s="3090" t="s">
        <v>2730</v>
      </c>
      <c r="E109" s="3116">
        <v>0.15</v>
      </c>
      <c r="F109" s="3116">
        <v>20</v>
      </c>
    </row>
    <row r="110" spans="1:6" ht="13.5">
      <c r="A110" s="3116">
        <v>38</v>
      </c>
      <c r="B110" s="3762"/>
      <c r="C110" s="3116" t="s">
        <v>2731</v>
      </c>
      <c r="D110" s="3090" t="s">
        <v>2732</v>
      </c>
      <c r="E110" s="3116">
        <v>0.1</v>
      </c>
      <c r="F110" s="3116">
        <v>15</v>
      </c>
    </row>
    <row r="111" spans="1:6" ht="24">
      <c r="A111" s="3116">
        <v>39</v>
      </c>
      <c r="B111" s="376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72" t="s">
        <v>2737</v>
      </c>
      <c r="C113" s="3116" t="s">
        <v>2738</v>
      </c>
      <c r="D113" s="3090" t="s">
        <v>2739</v>
      </c>
      <c r="E113" s="3116">
        <v>0.1</v>
      </c>
      <c r="F113" s="3116">
        <v>15</v>
      </c>
    </row>
    <row r="114" spans="1:6" ht="13.5">
      <c r="A114" s="3116">
        <v>42</v>
      </c>
      <c r="B114" s="3772"/>
      <c r="C114" s="3116" t="s">
        <v>2740</v>
      </c>
      <c r="D114" s="3090" t="s">
        <v>2741</v>
      </c>
      <c r="E114" s="3116">
        <v>0.1</v>
      </c>
      <c r="F114" s="3116">
        <v>15</v>
      </c>
    </row>
    <row r="115" spans="1:6" ht="24">
      <c r="A115" s="3116">
        <v>43</v>
      </c>
      <c r="B115" s="3772"/>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72" t="s">
        <v>2759</v>
      </c>
      <c r="C122" s="3116" t="s">
        <v>2760</v>
      </c>
      <c r="D122" s="3090" t="s">
        <v>2761</v>
      </c>
      <c r="E122" s="3116">
        <v>0.1</v>
      </c>
      <c r="F122" s="3116">
        <v>15</v>
      </c>
    </row>
    <row r="123" spans="1:6" ht="24">
      <c r="A123" s="3116">
        <v>51</v>
      </c>
      <c r="B123" s="3772"/>
      <c r="C123" s="3116" t="s">
        <v>2762</v>
      </c>
      <c r="D123" s="3090" t="s">
        <v>2763</v>
      </c>
      <c r="E123" s="3116">
        <v>0.1</v>
      </c>
      <c r="F123" s="3116">
        <v>15</v>
      </c>
    </row>
    <row r="124" spans="1:6" ht="24">
      <c r="A124" s="3116">
        <v>52</v>
      </c>
      <c r="B124" s="3772" t="s">
        <v>2764</v>
      </c>
      <c r="C124" s="3116" t="s">
        <v>2765</v>
      </c>
      <c r="D124" s="3090" t="s">
        <v>2766</v>
      </c>
      <c r="E124" s="3116">
        <v>0.1</v>
      </c>
      <c r="F124" s="3116">
        <v>15</v>
      </c>
    </row>
    <row r="125" spans="1:6" ht="24">
      <c r="A125" s="3116">
        <v>53</v>
      </c>
      <c r="B125" s="377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2" t="s">
        <v>2772</v>
      </c>
      <c r="C127" s="3116" t="s">
        <v>2773</v>
      </c>
      <c r="D127" s="3090" t="s">
        <v>2774</v>
      </c>
      <c r="E127" s="3116">
        <v>0.1</v>
      </c>
      <c r="F127" s="3116">
        <v>15</v>
      </c>
    </row>
    <row r="128" spans="1:6" ht="13.5">
      <c r="A128" s="3116">
        <v>56</v>
      </c>
      <c r="B128" s="3772"/>
      <c r="C128" s="3116" t="s">
        <v>2775</v>
      </c>
      <c r="D128" s="3090" t="s">
        <v>2776</v>
      </c>
      <c r="E128" s="3116">
        <v>0.1</v>
      </c>
      <c r="F128" s="3116">
        <v>15</v>
      </c>
    </row>
    <row r="129" spans="1:6" ht="24">
      <c r="A129" s="3116">
        <v>57</v>
      </c>
      <c r="B129" s="3772"/>
      <c r="C129" s="3116" t="s">
        <v>2777</v>
      </c>
      <c r="D129" s="3090" t="s">
        <v>2778</v>
      </c>
      <c r="E129" s="3116">
        <v>0.1</v>
      </c>
      <c r="F129" s="3116">
        <v>15</v>
      </c>
    </row>
    <row r="130" spans="1:6" ht="24">
      <c r="A130" s="3116">
        <v>58</v>
      </c>
      <c r="B130" s="3772" t="s">
        <v>2779</v>
      </c>
      <c r="C130" s="3116" t="s">
        <v>2780</v>
      </c>
      <c r="D130" s="3090" t="s">
        <v>2781</v>
      </c>
      <c r="E130" s="3116">
        <v>0.1</v>
      </c>
      <c r="F130" s="3116">
        <v>15</v>
      </c>
    </row>
    <row r="131" spans="1:6" ht="13.5">
      <c r="A131" s="3116">
        <v>59</v>
      </c>
      <c r="B131" s="3772"/>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2" t="s">
        <v>2792</v>
      </c>
      <c r="C135" s="3116" t="s">
        <v>2793</v>
      </c>
      <c r="D135" s="3090" t="s">
        <v>2794</v>
      </c>
      <c r="E135" s="3116">
        <v>0.1</v>
      </c>
      <c r="F135" s="3116">
        <v>15</v>
      </c>
    </row>
    <row r="136" spans="1:6" ht="13.5">
      <c r="A136" s="3116">
        <v>64</v>
      </c>
      <c r="B136" s="377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398</v>
      </c>
      <c r="E5" s="1489"/>
    </row>
    <row r="6" spans="1:5" ht="15.75">
      <c r="A6" s="1489"/>
      <c r="B6" s="3454"/>
      <c r="C6" s="1492" t="s">
        <v>911</v>
      </c>
      <c r="D6" s="848" t="str">
        <f ca="1">NUMBERSTRING(INT(D5*10000),2)&amp;"元整"</f>
        <v>叁佰玖拾捌万元整</v>
      </c>
      <c r="E6" s="1489"/>
    </row>
    <row r="7" spans="1:5" ht="15.75">
      <c r="A7" s="1489"/>
      <c r="B7" s="3459"/>
      <c r="C7" s="1493" t="s">
        <v>912</v>
      </c>
      <c r="D7" s="849">
        <f ca="1">结果表!H102</f>
        <v>37627</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398</v>
      </c>
      <c r="E13" s="1489"/>
    </row>
    <row r="14" spans="1:5" ht="15.75">
      <c r="A14" s="1489"/>
      <c r="B14" s="3454"/>
      <c r="C14" s="1492" t="s">
        <v>911</v>
      </c>
      <c r="D14" s="848" t="str">
        <f ca="1">NUMBERSTRING(INT(D13*10000),2)&amp;"元整"</f>
        <v>叁佰玖拾捌万元整</v>
      </c>
      <c r="E14" s="1489"/>
    </row>
    <row r="15" spans="1:5" ht="15">
      <c r="A15" s="1489"/>
      <c r="B15" s="3459"/>
      <c r="C15" s="1493" t="s">
        <v>921</v>
      </c>
      <c r="D15" s="857">
        <f ca="1">结果表!H108</f>
        <v>37627</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27825</v>
      </c>
      <c r="C2" s="2" t="s">
        <v>106</v>
      </c>
      <c r="D2" s="199"/>
      <c r="E2" s="199"/>
      <c r="F2" s="199"/>
      <c r="G2" s="199"/>
    </row>
    <row r="3" spans="1:7" s="200" customFormat="1" ht="18" customHeight="1" thickBot="1">
      <c r="A3" s="203" t="s">
        <v>58</v>
      </c>
      <c r="B3" s="204">
        <f ca="1">ROUND(B2*10000/'数据-汇总表'!E3,0)</f>
        <v>2632201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v>
      </c>
      <c r="D10" s="843">
        <f>'数据-汇总表'!E6</f>
        <v>105.71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105.71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105.71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7</v>
      </c>
      <c r="D45" s="235">
        <f>C47</f>
        <v>3.0000000000000001E-3</v>
      </c>
      <c r="E45" s="236" t="s">
        <v>102</v>
      </c>
      <c r="F45" s="246"/>
      <c r="G45" s="247" t="s">
        <v>434</v>
      </c>
    </row>
    <row r="46" spans="1:7" s="214" customFormat="1" ht="13.5" customHeight="1">
      <c r="A46" s="778" t="s">
        <v>349</v>
      </c>
      <c r="B46" s="248" t="s">
        <v>427</v>
      </c>
      <c r="C46" s="249">
        <f>ROUND((C33+C39)*F27,0)</f>
        <v>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61</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46</v>
      </c>
      <c r="D51" s="232"/>
      <c r="E51" s="232"/>
      <c r="F51" s="264"/>
      <c r="G51" s="234" t="s">
        <v>37</v>
      </c>
    </row>
    <row r="52" spans="1:7" s="208" customFormat="1" ht="16.5" thickBot="1">
      <c r="A52" s="265" t="s">
        <v>38</v>
      </c>
      <c r="B52" s="266"/>
      <c r="C52" s="267">
        <f ca="1">C31+C51</f>
        <v>27825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45230</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2" t="s">
        <v>925</v>
      </c>
      <c r="E3" s="852" t="s">
        <v>931</v>
      </c>
      <c r="F3" s="852" t="s">
        <v>925</v>
      </c>
      <c r="G3" s="852" t="s">
        <v>926</v>
      </c>
      <c r="H3" s="852" t="s">
        <v>925</v>
      </c>
      <c r="I3" s="852" t="s">
        <v>926</v>
      </c>
    </row>
    <row r="4" spans="1:9" ht="15">
      <c r="A4" s="1503" t="str">
        <f>项目基本情况!S2</f>
        <v>北京市房地产</v>
      </c>
      <c r="B4" s="852">
        <f>项目基本情况!C17</f>
        <v>105.71</v>
      </c>
      <c r="C4" s="852">
        <f>项目基本情况!C18</f>
        <v>12.5</v>
      </c>
      <c r="D4" s="852" t="e">
        <f ca="1">结果表!D118</f>
        <v>#DIV/0!</v>
      </c>
      <c r="E4" s="852" t="e">
        <f ca="1">结果表!E118</f>
        <v>#DIV/0!</v>
      </c>
      <c r="F4" s="852" t="e">
        <f ca="1">结果表!F118</f>
        <v>#DIV/0!</v>
      </c>
      <c r="G4" s="852" t="e">
        <f ca="1">结果表!G118</f>
        <v>#DIV/0!</v>
      </c>
      <c r="H4" s="852">
        <f ca="1">结果表!H118</f>
        <v>398</v>
      </c>
      <c r="I4" s="852">
        <f ca="1">结果表!I118</f>
        <v>37627</v>
      </c>
    </row>
    <row r="5" spans="1:9" ht="30" customHeight="1">
      <c r="A5" s="3465" t="s">
        <v>927</v>
      </c>
      <c r="B5" s="3465"/>
      <c r="C5" s="3465"/>
      <c r="D5" s="3465" t="e">
        <f ca="1">结果表!D119</f>
        <v>#DIV/0!</v>
      </c>
      <c r="E5" s="3465"/>
      <c r="F5" s="3465" t="e">
        <f ca="1">结果表!F119</f>
        <v>#DIV/0!</v>
      </c>
      <c r="G5" s="3465"/>
      <c r="H5" s="3465" t="str">
        <f ca="1">结果表!H119</f>
        <v>叁佰玖拾捌万元整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398</v>
      </c>
      <c r="E8" s="3466"/>
      <c r="F8" s="3466"/>
      <c r="G8" s="3466"/>
      <c r="H8" s="3466"/>
      <c r="I8" s="3466"/>
    </row>
    <row r="9" spans="1:9" ht="15">
      <c r="A9" s="3465" t="s">
        <v>927</v>
      </c>
      <c r="B9" s="3465"/>
      <c r="C9" s="3465"/>
      <c r="D9" s="3465" t="str">
        <f ca="1">结果表!D123</f>
        <v>叁佰玖拾捌万元整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2" t="s">
        <v>949</v>
      </c>
      <c r="B1" s="3472"/>
      <c r="C1" s="3472"/>
      <c r="D1" s="3472"/>
    </row>
    <row r="2" spans="1:4" ht="18">
      <c r="A2" s="3473" t="s">
        <v>933</v>
      </c>
      <c r="B2" s="3473"/>
      <c r="C2" s="3473"/>
      <c r="D2" s="347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3" t="s">
        <v>939</v>
      </c>
      <c r="B6" s="3473"/>
      <c r="C6" s="3473"/>
      <c r="D6" s="347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2023-11-02T05:29:05Z</dcterms:modified>
</cp:coreProperties>
</file>