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顺义区裕民大街4号1幢1层局部租金评估\"/>
    </mc:Choice>
  </mc:AlternateContent>
  <xr:revisionPtr revIDLastSave="0" documentId="13_ncr:1_{954AC65F-67C6-4889-BF47-D14A1B7AD827}" xr6:coauthVersionLast="47" xr6:coauthVersionMax="47" xr10:uidLastSave="{00000000-0000-0000-0000-000000000000}"/>
  <bookViews>
    <workbookView xWindow="-120" yWindow="-120" windowWidth="29040" windowHeight="15840" tabRatio="899" firstSheet="9"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售价" sheetId="83" r:id="rId29"/>
    <sheet name="比较法-商业-租金" sheetId="82" r:id="rId30"/>
    <sheet name="收益法倒推-商业" sheetId="81" r:id="rId31"/>
    <sheet name="售价案例" sheetId="84" r:id="rId32"/>
    <sheet name="租金案例" sheetId="85"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8" hidden="1">'比较法-商业-售价'!$A$1:$L$49</definedName>
    <definedName name="_xlnm._FilterDatabase" localSheetId="2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8">'比较法-商业-售价'!$A$1:$K$54,'比较法-商业-售价'!$A$57:$M$131</definedName>
    <definedName name="_xlnm.Print_Area" localSheetId="2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0">'收益法倒推-商业'!$A$1:$I$42</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 localSheetId="30">[1]区片价!$P$1:$P$44</definedName>
    <definedName name="八级">区片价!$P$1:$P$44</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'[2]数据-取费表'!$A$53:$A$63</definedName>
    <definedName name="城镇土地纳税等级分级范围">'数据-取费表'!$A$53:$A$63</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[1]区片价!$J$1:$J$21</definedName>
    <definedName name="二级">区片价!$J$1:$J$21</definedName>
    <definedName name="二级分类" localSheetId="30">[2]修正!$C$17:$C$39</definedName>
    <definedName name="二级分类">修正!$C$19:$C$53</definedName>
    <definedName name="法定最高年限" localSheetId="30">[2]定义!$G$1:$G$4</definedName>
    <definedName name="法定最高年限">定义!$G$1:$G$6</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定义!$Z$2:$Z$14</definedName>
    <definedName name="公共配套设施" localSheetId="30">[2]定义!$Q$1:$Q$6</definedName>
    <definedName name="公共配套设施">定义!$Q$1:$Q$6</definedName>
    <definedName name="估价范围判定" localSheetId="30">[1]定义!$D$1:$D$4</definedName>
    <definedName name="估价范围判定">定义!$D$1:$D$4</definedName>
    <definedName name="估价方法" localSheetId="30">[2]定义!$B$1:$B$50</definedName>
    <definedName name="估价方法">定义!$B$1:$B$50</definedName>
    <definedName name="核算项目余额表">#REF!</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[1]基准地价修正!$Q$19:$AD$19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[1]区片价!$Q$1:$Q$51</definedName>
    <definedName name="九级">区片价!$Q$1:$Q$51</definedName>
    <definedName name="居住社区成熟度" localSheetId="30">[2]定义!$K$1:$K$6</definedName>
    <definedName name="居住社区成熟度">定义!$K$1:$K$6</definedName>
    <definedName name="科目余额表">#REF!</definedName>
    <definedName name="类别" localSheetId="30">[2]定义!$J$1:$J$3</definedName>
    <definedName name="类别">定义!$J$1:$J$3</definedName>
    <definedName name="临街状况" localSheetId="30">[2]定义!$T$1:$T$5</definedName>
    <definedName name="临街状况">定义!$T$1:$T$5</definedName>
    <definedName name="六级" localSheetId="30">[1]区片价!$N$1:$N$64</definedName>
    <definedName name="六级">区片价!$N$1:$N$64</definedName>
    <definedName name="内部装修维护情况" localSheetId="30">[2]定义!$U$1:$U$6</definedName>
    <definedName name="内部装修维护情况">定义!$U$1:$U$6</definedName>
    <definedName name="判定" localSheetId="30">[2]定义!$D$1:$D$4</definedName>
    <definedName name="评估方法">[3]定义!$B$1:$B$50</definedName>
    <definedName name="七级" localSheetId="30">[1]区片价!$O$1:$O$45</definedName>
    <definedName name="七级">区片价!$O$1:$O$45</definedName>
    <definedName name="七通一平" localSheetId="30">[2]修正!$A$6:$A$14</definedName>
    <definedName name="七通一平">修正!$A$8:$A$16</definedName>
    <definedName name="区域土地利用方向" localSheetId="30">[2]定义!$P$1:$P$6</definedName>
    <definedName name="区域土地利用方向">定义!$P$1:$P$6</definedName>
    <definedName name="三级" localSheetId="30">[1]区片价!$K$1:$K$26</definedName>
    <definedName name="三级">区片价!$K$1:$K$26</definedName>
    <definedName name="商业">定义!$X$2:$X$9</definedName>
    <definedName name="商业层高" localSheetId="28">'比较法-商业-售价'!$B$116:$M$116</definedName>
    <definedName name="商业层高" localSheetId="29">'比较法-商业-租金'!$B$116:$M$116</definedName>
    <definedName name="商业层高" localSheetId="30">'[2]比较法-商业'!$B$116:$M$116</definedName>
    <definedName name="商业层高">#REF!</definedName>
    <definedName name="商业成新度" localSheetId="28">'比较法-商业-售价'!$B$109:$M$109</definedName>
    <definedName name="商业成新度" localSheetId="29">'比较法-商业-租金'!$B$109:$M$109</definedName>
    <definedName name="商业成新度" localSheetId="30">'[1]比较法-商业'!$B$109:$M$109</definedName>
    <definedName name="商业成新度">#REF!</definedName>
    <definedName name="商业繁华度" localSheetId="30">[2]定义!$L$1:$L$6</definedName>
    <definedName name="商业繁华度">定义!$L$1:$L$6</definedName>
    <definedName name="商业公共部分装修" localSheetId="28">'比较法-商业-售价'!$B$107:$M$107</definedName>
    <definedName name="商业公共部分装修" localSheetId="29">'比较法-商业-租金'!$B$107:$M$107</definedName>
    <definedName name="商业公共部分装修" localSheetId="30">'[2]比较法-商业'!$B$107:$M$107</definedName>
    <definedName name="商业公共部分装修">#REF!</definedName>
    <definedName name="商业基础设施水平" localSheetId="28">'比较法-商业-售价'!$B$112:$M$112</definedName>
    <definedName name="商业基础设施水平" localSheetId="29">'比较法-商业-租金'!$B$112:$M$112</definedName>
    <definedName name="商业基础设施水平" localSheetId="30">'[2]比较法-商业'!$B$112:$M$112</definedName>
    <definedName name="商业基础设施水平">#REF!</definedName>
    <definedName name="商业建筑结构" localSheetId="28">'比较法-商业-售价'!$B$105:$M$105</definedName>
    <definedName name="商业建筑结构" localSheetId="29">'比较法-商业-租金'!$B$105:$M$105</definedName>
    <definedName name="商业建筑结构" localSheetId="30">'[2]比较法-商业'!$B$105:$M$105</definedName>
    <definedName name="商业建筑结构">#REF!</definedName>
    <definedName name="商业交易情况" localSheetId="28">'比较法-商业-售价'!$A$61:$M$61</definedName>
    <definedName name="商业交易情况" localSheetId="29">'比较法-商业-租金'!$A$61:$M$61</definedName>
    <definedName name="商业交易情况" localSheetId="30">'[2]比较法-商业'!$A$61:$M$61</definedName>
    <definedName name="商业交易情况">#REF!</definedName>
    <definedName name="商业街名称" localSheetId="30">[2]修正!$C$59:$C$119</definedName>
    <definedName name="商业街名称">修正!$C$73:$C$140</definedName>
    <definedName name="商业进深比" localSheetId="28">'比较法-商业-售价'!$B$120:$M$120</definedName>
    <definedName name="商业进深比" localSheetId="29">'比较法-商业-租金'!$B$120:$M$120</definedName>
    <definedName name="商业进深比" localSheetId="30">'[2]比较法-商业'!$B$120:$M$120</definedName>
    <definedName name="商业进深比">#REF!</definedName>
    <definedName name="商业类型" localSheetId="28">'比较法-商业-售价'!$B$100:$M$100</definedName>
    <definedName name="商业类型" localSheetId="29">'比较法-商业-租金'!$B$100:$M$100</definedName>
    <definedName name="商业类型" localSheetId="30">'[2]比较法-商业'!$B$100:$M$100</definedName>
    <definedName name="商业类型">#REF!</definedName>
    <definedName name="商业临街状况" localSheetId="28">'比较法-商业-售价'!$B$86:$M$86</definedName>
    <definedName name="商业临街状况" localSheetId="29">'比较法-商业-租金'!$B$86:$M$86</definedName>
    <definedName name="商业临街状况" localSheetId="30">'[2]比较法-商业'!$B$86:$M$86</definedName>
    <definedName name="商业临街状况">#REF!</definedName>
    <definedName name="商业楼层" localSheetId="28">'比较法-商业-售价'!$B$92:$M$92</definedName>
    <definedName name="商业楼层" localSheetId="29">'比较法-商业-租金'!$B$92:$M$92</definedName>
    <definedName name="商业楼层" localSheetId="30">'[2]比较法-商业'!$B$92:$M$92</definedName>
    <definedName name="商业楼层">#REF!</definedName>
    <definedName name="商业内部装修" localSheetId="28">'比较法-商业-售价'!$B$122:$M$122</definedName>
    <definedName name="商业内部装修" localSheetId="29">'比较法-商业-租金'!$B$122:$M$122</definedName>
    <definedName name="商业内部装修" localSheetId="30">'[2]比较法-商业'!$B$122:$M$122</definedName>
    <definedName name="商业内部装修">#REF!</definedName>
    <definedName name="商业人流量" localSheetId="28">'比较法-商业-售价'!$B$90:$M$90</definedName>
    <definedName name="商业人流量" localSheetId="29">'比较法-商业-租金'!$B$90:$M$90</definedName>
    <definedName name="商业人流量" localSheetId="30">'[2]比较法-商业'!$B$90:$M$90</definedName>
    <definedName name="商业人流量">#REF!</definedName>
    <definedName name="商业业态" localSheetId="28">'比较法-商业-售价'!$B$114:$M$114</definedName>
    <definedName name="商业业态" localSheetId="29">'比较法-商业-租金'!$B$114:$M$114</definedName>
    <definedName name="商业业态" localSheetId="30">'[2]比较法-商业'!$B$114:$M$114</definedName>
    <definedName name="商业业态">#REF!</definedName>
    <definedName name="商业用途" localSheetId="28">'比较法-商业-售价'!$B$63:$M$63</definedName>
    <definedName name="商业用途" localSheetId="29">'比较法-商业-租金'!$B$63:$M$63</definedName>
    <definedName name="商业用途" localSheetId="30">'[2]比较法-商业'!$B$63:$M$63</definedName>
    <definedName name="商业用途">#REF!</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[1]区片价!$L$1:$L$33</definedName>
    <definedName name="四级">区片价!$L$1:$L$33</definedName>
    <definedName name="套工道路等级" localSheetId="30">'[2]土地比较法-工业'!$B$97:$M$97</definedName>
    <definedName name="套工道路等级">'土地比较法-工业'!$B$97:$M$97</definedName>
    <definedName name="套工地质条件" localSheetId="30">'[2]土地比较法-工业'!$B$114:$M$114</definedName>
    <definedName name="套工地质条件">'土地比较法-工业'!$B$114:$M$114</definedName>
    <definedName name="套工交易情况" localSheetId="30">'[2]土地比较法-住宅、综合'!$A$73:$M$73</definedName>
    <definedName name="套工交易情况">'土地比较法-住宅、综合'!$A$72:$M$72</definedName>
    <definedName name="套工土地级别" localSheetId="30">'[2]土地比较法-工业'!$B$99:$M$99</definedName>
    <definedName name="套工土地级别">'土地比较法-工业'!$B$99:$M$99</definedName>
    <definedName name="套工用途" localSheetId="30">'[2]土地比较法-工业'!$B$70:$M$70</definedName>
    <definedName name="套工用途">'土地比较法-工业'!$B$70:$M$70</definedName>
    <definedName name="套工宗地开发程度" localSheetId="30">'[2]土地比较法-工业'!$B$112:$M$112</definedName>
    <definedName name="套工宗地开发程度">'土地比较法-工业'!$B$112:$M$112</definedName>
    <definedName name="套工宗地形状" localSheetId="30">'[2]土地比较法-工业'!$B$110:$M$110</definedName>
    <definedName name="套工宗地形状">'土地比较法-工业'!$B$110:$M$110</definedName>
    <definedName name="套综道路等级" localSheetId="30">'[2]土地比较法-住宅、综合'!$B$106:$M$106</definedName>
    <definedName name="套综道路等级">'土地比较法-住宅、综合'!$B$105:$M$105</definedName>
    <definedName name="套综工程地质条件" localSheetId="30">'[2]土地比较法-住宅、综合'!$B$125:$M$125</definedName>
    <definedName name="套综工程地质条件">'土地比较法-住宅、综合'!$B$124:$M$124</definedName>
    <definedName name="套综交易情况" localSheetId="30">'[2]土地比较法-住宅、综合'!$A$73:$M$73</definedName>
    <definedName name="套综交易情况">'土地比较法-住宅、综合'!$A$72:$M$72</definedName>
    <definedName name="套综临街宽度及深度" localSheetId="30">'[2]土地比较法-住宅、综合'!$B$121:$M$121</definedName>
    <definedName name="套综临街宽度及深度">'土地比较法-住宅、综合'!$B$120:$M$120</definedName>
    <definedName name="套综土地级别" localSheetId="30">'[2]土地比较法-住宅、综合'!$B$108:$M$108</definedName>
    <definedName name="套综土地级别">'土地比较法-住宅、综合'!$B$107:$M$107</definedName>
    <definedName name="套综用途" localSheetId="30">'[2]土地比较法-住宅、综合'!$B$75:$M$75</definedName>
    <definedName name="套综用途">'土地比较法-住宅、综合'!$B$74:$M$74</definedName>
    <definedName name="套综宗地内开发程度" localSheetId="30">'[2]土地比较法-住宅、综合'!$B$123:$M$123</definedName>
    <definedName name="套综宗地内开发程度">'土地比较法-住宅、综合'!$B$122:$M$122</definedName>
    <definedName name="套综宗地形状" localSheetId="30">'[2]土地比较法-住宅、综合'!$B$119:$M$119</definedName>
    <definedName name="套综宗地形状">'土地比较法-住宅、综合'!$B$118:$M$118</definedName>
    <definedName name="土地估价师" localSheetId="30">[1]估价师及机构信息!$D$3:$D$24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[1]定义!$P$1:$P$6</definedName>
    <definedName name="土地利用方向">定义!$P$1:$P$6</definedName>
    <definedName name="土地年限区间" localSheetId="30">[2]定义!$I$1:$I$8</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[1]区片价!$M$1:$M$41</definedName>
    <definedName name="五级">区片价!$M$1:$M$41</definedName>
    <definedName name="项目类型" localSheetId="30">'[2]数据-汇总表'!$C$17:$C$26</definedName>
    <definedName name="项目类型" localSheetId="24">'[4]数据-汇总表'!$C$17:$C$26</definedName>
    <definedName name="项目类型">'数据-汇总表'!$C$17:$C$26</definedName>
    <definedName name="写字楼等级" localSheetId="30">'[2]比较法-办公'!$B$113:$M$113</definedName>
    <definedName name="写字楼等级">'比较法-办公'!$B$113:$M$113</definedName>
    <definedName name="一级" localSheetId="30">[1]区片价!$I$1:$I$6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月份">#REF!</definedName>
    <definedName name="主用途" localSheetId="30">[2]定义!$F$1:$F$10</definedName>
    <definedName name="主用途">定义!$F$1:$F$12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[2]估价师及机构信息!$A$3:$A$24</definedName>
    <definedName name="注册房地产估价师">估价师及机构信息!$A$3:$A$16</definedName>
  </definedNames>
  <calcPr calcId="181029" iterate="1"/>
</workbook>
</file>

<file path=xl/calcChain.xml><?xml version="1.0" encoding="utf-8"?>
<calcChain xmlns="http://schemas.openxmlformats.org/spreadsheetml/2006/main">
  <c r="I36" i="82" l="1"/>
  <c r="G36" i="82"/>
  <c r="E36" i="82"/>
  <c r="C37" i="81"/>
  <c r="C14" i="74"/>
  <c r="B14" i="74"/>
  <c r="I36" i="83"/>
  <c r="G36" i="83"/>
  <c r="E36" i="83"/>
  <c r="N21" i="1"/>
  <c r="G47" i="83"/>
  <c r="T47" i="83" s="1"/>
  <c r="B130" i="83"/>
  <c r="B128" i="83"/>
  <c r="B126" i="83"/>
  <c r="G125" i="83"/>
  <c r="D125" i="83"/>
  <c r="E125" i="83" s="1"/>
  <c r="F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G113" i="83"/>
  <c r="H113" i="83" s="1"/>
  <c r="I113" i="83" s="1"/>
  <c r="J113" i="83" s="1"/>
  <c r="K113" i="83" s="1"/>
  <c r="L113" i="83" s="1"/>
  <c r="M113" i="83" s="1"/>
  <c r="D113" i="83"/>
  <c r="E113" i="83" s="1"/>
  <c r="F113" i="83" s="1"/>
  <c r="D111" i="83"/>
  <c r="E111" i="83" s="1"/>
  <c r="F111" i="83" s="1"/>
  <c r="G111" i="83" s="1"/>
  <c r="H111" i="83" s="1"/>
  <c r="I111" i="83" s="1"/>
  <c r="J111" i="83" s="1"/>
  <c r="K111" i="83" s="1"/>
  <c r="L111" i="83" s="1"/>
  <c r="M111" i="83" s="1"/>
  <c r="G109" i="83"/>
  <c r="F109" i="83"/>
  <c r="E109" i="83"/>
  <c r="D109" i="83"/>
  <c r="C109" i="83"/>
  <c r="D108" i="83"/>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H29" i="83" s="1"/>
  <c r="AB29" i="83" s="1"/>
  <c r="B92" i="83"/>
  <c r="I91" i="83"/>
  <c r="J91" i="83" s="1"/>
  <c r="K91" i="83" s="1"/>
  <c r="L91" i="83" s="1"/>
  <c r="M91" i="83" s="1"/>
  <c r="E91" i="83"/>
  <c r="F91" i="83" s="1"/>
  <c r="G91" i="83" s="1"/>
  <c r="H91" i="83" s="1"/>
  <c r="D91" i="83"/>
  <c r="B90" i="83"/>
  <c r="B88" i="83"/>
  <c r="E87" i="83"/>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F9" i="83" s="1"/>
  <c r="AA9" i="83" s="1"/>
  <c r="I54" i="83"/>
  <c r="J54" i="83" s="1"/>
  <c r="F54" i="83"/>
  <c r="E54" i="83"/>
  <c r="P49" i="83"/>
  <c r="P48" i="83"/>
  <c r="K48" i="83"/>
  <c r="V47" i="83"/>
  <c r="R47" i="83"/>
  <c r="P47" i="83"/>
  <c r="Q46" i="83"/>
  <c r="Z46" i="83" s="1"/>
  <c r="J46" i="83"/>
  <c r="AC46" i="83" s="1"/>
  <c r="H46" i="83"/>
  <c r="AB46" i="83" s="1"/>
  <c r="F46" i="83"/>
  <c r="AA46" i="83" s="1"/>
  <c r="Q45" i="83"/>
  <c r="Z45" i="83" s="1"/>
  <c r="J45" i="83"/>
  <c r="AC45" i="83" s="1"/>
  <c r="H45" i="83"/>
  <c r="AB45" i="83" s="1"/>
  <c r="F45" i="83"/>
  <c r="AA45" i="83" s="1"/>
  <c r="AC44" i="83"/>
  <c r="Q44" i="83"/>
  <c r="Z44" i="83" s="1"/>
  <c r="J44" i="83"/>
  <c r="W44" i="83" s="1"/>
  <c r="H44" i="83"/>
  <c r="AB44" i="83" s="1"/>
  <c r="F44" i="83"/>
  <c r="AA44" i="83" s="1"/>
  <c r="Q43" i="83"/>
  <c r="Z43" i="83" s="1"/>
  <c r="J43" i="83"/>
  <c r="AC43" i="83" s="1"/>
  <c r="H43" i="83"/>
  <c r="AB43" i="83" s="1"/>
  <c r="F43" i="83"/>
  <c r="AA43" i="83" s="1"/>
  <c r="AA42" i="83"/>
  <c r="Q42" i="83"/>
  <c r="Z42" i="83" s="1"/>
  <c r="J42" i="83"/>
  <c r="AC42" i="83" s="1"/>
  <c r="H42" i="83"/>
  <c r="AB42" i="83" s="1"/>
  <c r="F42" i="83"/>
  <c r="S42" i="83" s="1"/>
  <c r="Z41" i="83"/>
  <c r="Q41" i="83"/>
  <c r="J41" i="83"/>
  <c r="AC41" i="83" s="1"/>
  <c r="H41" i="83"/>
  <c r="AB41" i="83" s="1"/>
  <c r="F41" i="83"/>
  <c r="AA41" i="83" s="1"/>
  <c r="W40"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Z37" i="83"/>
  <c r="Q37" i="83"/>
  <c r="J37" i="83"/>
  <c r="AC37" i="83" s="1"/>
  <c r="H37" i="83"/>
  <c r="AB37" i="83" s="1"/>
  <c r="F37" i="83"/>
  <c r="AA37" i="83" s="1"/>
  <c r="Q36" i="83"/>
  <c r="Z36" i="83" s="1"/>
  <c r="C36" i="83"/>
  <c r="W35" i="83"/>
  <c r="Q35" i="83"/>
  <c r="Z35" i="83" s="1"/>
  <c r="J35" i="83"/>
  <c r="AC35" i="83" s="1"/>
  <c r="Q34" i="83"/>
  <c r="Z34" i="83" s="1"/>
  <c r="J34" i="83"/>
  <c r="AC34" i="83" s="1"/>
  <c r="H34" i="83"/>
  <c r="AB34" i="83" s="1"/>
  <c r="F34" i="83"/>
  <c r="AA34" i="83" s="1"/>
  <c r="Q33" i="83"/>
  <c r="Z33" i="83" s="1"/>
  <c r="H33" i="83"/>
  <c r="AB33" i="83" s="1"/>
  <c r="F33" i="83"/>
  <c r="AA33" i="83" s="1"/>
  <c r="C33" i="83"/>
  <c r="J33" i="83" s="1"/>
  <c r="Q32" i="83"/>
  <c r="Z32" i="83" s="1"/>
  <c r="J32" i="83"/>
  <c r="AC32" i="83" s="1"/>
  <c r="H32" i="83"/>
  <c r="AB32" i="83" s="1"/>
  <c r="F32" i="83"/>
  <c r="AA32" i="83" s="1"/>
  <c r="Q31" i="83"/>
  <c r="Z31" i="83" s="1"/>
  <c r="W30" i="83"/>
  <c r="Q30" i="83"/>
  <c r="Z30" i="83" s="1"/>
  <c r="J30" i="83"/>
  <c r="AC30" i="83" s="1"/>
  <c r="H30" i="83"/>
  <c r="AB30" i="83" s="1"/>
  <c r="F30" i="83"/>
  <c r="AA30" i="83" s="1"/>
  <c r="Q29" i="83"/>
  <c r="Z29" i="83" s="1"/>
  <c r="J29" i="83"/>
  <c r="AC29" i="83" s="1"/>
  <c r="F29" i="83"/>
  <c r="AA29" i="83" s="1"/>
  <c r="Q28" i="83"/>
  <c r="Z28" i="83" s="1"/>
  <c r="J28" i="83"/>
  <c r="AC28" i="83" s="1"/>
  <c r="H28" i="83"/>
  <c r="AB28" i="83" s="1"/>
  <c r="F28" i="83"/>
  <c r="AA28" i="83" s="1"/>
  <c r="Q27" i="83"/>
  <c r="Z27" i="83" s="1"/>
  <c r="J27" i="83"/>
  <c r="AC27" i="83" s="1"/>
  <c r="H27" i="83"/>
  <c r="AB27" i="83" s="1"/>
  <c r="F27" i="83"/>
  <c r="S27" i="83" s="1"/>
  <c r="Z26" i="83"/>
  <c r="Q26" i="83"/>
  <c r="J26" i="83"/>
  <c r="W26" i="83" s="1"/>
  <c r="H26" i="83"/>
  <c r="AB26" i="83" s="1"/>
  <c r="F26" i="83"/>
  <c r="AA26" i="83" s="1"/>
  <c r="AB25" i="83"/>
  <c r="Q25" i="83"/>
  <c r="Z25" i="83" s="1"/>
  <c r="J25" i="83"/>
  <c r="W25" i="83" s="1"/>
  <c r="H25" i="83"/>
  <c r="U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H9" i="83"/>
  <c r="AB9" i="83" s="1"/>
  <c r="J8" i="83"/>
  <c r="W8" i="83" s="1"/>
  <c r="H8" i="83"/>
  <c r="AB8" i="83" s="1"/>
  <c r="F8" i="83"/>
  <c r="S8" i="83" s="1"/>
  <c r="E7" i="83"/>
  <c r="G7" i="83" s="1"/>
  <c r="C7" i="83"/>
  <c r="C58" i="83" s="1"/>
  <c r="D58" i="83" s="1"/>
  <c r="E58" i="83" s="1"/>
  <c r="F58" i="83" s="1"/>
  <c r="G58" i="83" s="1"/>
  <c r="H58" i="83" s="1"/>
  <c r="I58" i="83" s="1"/>
  <c r="J58" i="83" s="1"/>
  <c r="K58" i="83" s="1"/>
  <c r="L58" i="83" s="1"/>
  <c r="M58" i="83" s="1"/>
  <c r="N58" i="83" s="1"/>
  <c r="O58" i="83" s="1"/>
  <c r="D3" i="83"/>
  <c r="C33" i="82"/>
  <c r="C36" i="82"/>
  <c r="I7" i="82"/>
  <c r="G7" i="82"/>
  <c r="E7" i="82"/>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D83" i="82"/>
  <c r="E83" i="82" s="1"/>
  <c r="F83" i="82" s="1"/>
  <c r="G83" i="82" s="1"/>
  <c r="D81" i="82"/>
  <c r="H19" i="82" s="1"/>
  <c r="AB19" i="82" s="1"/>
  <c r="D79" i="82"/>
  <c r="E79" i="82" s="1"/>
  <c r="D77" i="82"/>
  <c r="E77" i="82" s="1"/>
  <c r="F77" i="82" s="1"/>
  <c r="G77" i="82" s="1"/>
  <c r="B74" i="82"/>
  <c r="B72" i="82"/>
  <c r="B70" i="82"/>
  <c r="J12" i="82" s="1"/>
  <c r="AC12" i="82" s="1"/>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W40" i="82" s="1"/>
  <c r="H40" i="82"/>
  <c r="AB40" i="82" s="1"/>
  <c r="F40" i="82"/>
  <c r="AA40" i="82" s="1"/>
  <c r="Q39" i="82"/>
  <c r="Z39" i="82" s="1"/>
  <c r="J39" i="82"/>
  <c r="AC39" i="82" s="1"/>
  <c r="H39" i="82"/>
  <c r="AB39" i="82" s="1"/>
  <c r="F39" i="82"/>
  <c r="AA39" i="82" s="1"/>
  <c r="Q38" i="82"/>
  <c r="Z38" i="82" s="1"/>
  <c r="J38" i="82"/>
  <c r="AC38" i="82" s="1"/>
  <c r="H38" i="82"/>
  <c r="AB38" i="82" s="1"/>
  <c r="F38" i="82"/>
  <c r="S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S34" i="82" s="1"/>
  <c r="Q33" i="82"/>
  <c r="Z33" i="82" s="1"/>
  <c r="J33" i="82"/>
  <c r="AC33" i="82" s="1"/>
  <c r="H33" i="82"/>
  <c r="AB33" i="82" s="1"/>
  <c r="F33" i="82"/>
  <c r="AA33" i="82" s="1"/>
  <c r="Q32" i="82"/>
  <c r="Z32" i="82" s="1"/>
  <c r="J32" i="82"/>
  <c r="AC32" i="82" s="1"/>
  <c r="H32" i="82"/>
  <c r="AB32" i="82" s="1"/>
  <c r="F32" i="82"/>
  <c r="AA32" i="82" s="1"/>
  <c r="Q31" i="82"/>
  <c r="Z31" i="82" s="1"/>
  <c r="Q30" i="82"/>
  <c r="Z30" i="82" s="1"/>
  <c r="J30" i="82"/>
  <c r="AC30" i="82" s="1"/>
  <c r="H30" i="82"/>
  <c r="AB30" i="82" s="1"/>
  <c r="F30" i="82"/>
  <c r="S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Z25" i="82"/>
  <c r="Q25" i="82"/>
  <c r="J25" i="82"/>
  <c r="AC25" i="82" s="1"/>
  <c r="H25" i="82"/>
  <c r="AB25" i="82" s="1"/>
  <c r="F25" i="82"/>
  <c r="AA25" i="82" s="1"/>
  <c r="Q23" i="82"/>
  <c r="Z23" i="82" s="1"/>
  <c r="C23" i="82"/>
  <c r="Q21" i="82"/>
  <c r="Z21" i="82" s="1"/>
  <c r="J21" i="82"/>
  <c r="AC21" i="82" s="1"/>
  <c r="H21" i="82"/>
  <c r="U21" i="82" s="1"/>
  <c r="F21" i="82"/>
  <c r="S21" i="82" s="1"/>
  <c r="C21" i="82"/>
  <c r="Q19" i="82"/>
  <c r="Z19" i="82" s="1"/>
  <c r="J19" i="82"/>
  <c r="W19" i="82" s="1"/>
  <c r="C19" i="82"/>
  <c r="Q17" i="82"/>
  <c r="Z17" i="82" s="1"/>
  <c r="C17" i="82"/>
  <c r="Q15" i="82"/>
  <c r="Z15" i="82" s="1"/>
  <c r="J15" i="82"/>
  <c r="W15" i="82" s="1"/>
  <c r="H15" i="82"/>
  <c r="U15" i="82" s="1"/>
  <c r="F15" i="82"/>
  <c r="S15" i="82" s="1"/>
  <c r="C15" i="82"/>
  <c r="Q14" i="82"/>
  <c r="Z14" i="82" s="1"/>
  <c r="J14" i="82"/>
  <c r="AC14" i="82" s="1"/>
  <c r="H14" i="82"/>
  <c r="U14" i="82" s="1"/>
  <c r="F14" i="82"/>
  <c r="S14" i="82" s="1"/>
  <c r="Q13" i="82"/>
  <c r="Z13" i="82" s="1"/>
  <c r="J13" i="82"/>
  <c r="H13" i="82"/>
  <c r="U13" i="82" s="1"/>
  <c r="F13" i="82"/>
  <c r="S13" i="82" s="1"/>
  <c r="Q12" i="82"/>
  <c r="Z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S8" i="82" s="1"/>
  <c r="C7" i="82"/>
  <c r="C58" i="82" s="1"/>
  <c r="D58" i="82" s="1"/>
  <c r="E58" i="82" s="1"/>
  <c r="D3" i="82"/>
  <c r="D2" i="83"/>
  <c r="D2" i="82"/>
  <c r="AC8" i="83" l="1"/>
  <c r="U34" i="83"/>
  <c r="S33" i="83"/>
  <c r="G54" i="83"/>
  <c r="H54" i="83" s="1"/>
  <c r="AA27" i="83"/>
  <c r="J9" i="83"/>
  <c r="AC9" i="83" s="1"/>
  <c r="U8" i="83"/>
  <c r="H7" i="83"/>
  <c r="I7" i="83"/>
  <c r="J7" i="83" s="1"/>
  <c r="S10" i="83"/>
  <c r="U11" i="83"/>
  <c r="W12" i="83"/>
  <c r="S14" i="83"/>
  <c r="S15" i="83"/>
  <c r="S17" i="83"/>
  <c r="S19" i="83"/>
  <c r="S21" i="83"/>
  <c r="S23" i="83"/>
  <c r="AC26" i="83"/>
  <c r="S28" i="83"/>
  <c r="S32" i="83"/>
  <c r="S38" i="83"/>
  <c r="F7" i="83"/>
  <c r="S9" i="83"/>
  <c r="U10" i="83"/>
  <c r="W11" i="83"/>
  <c r="S13" i="83"/>
  <c r="U14" i="83"/>
  <c r="U15" i="83"/>
  <c r="U17" i="83"/>
  <c r="U19" i="83"/>
  <c r="U21" i="83"/>
  <c r="U23" i="83"/>
  <c r="AC25" i="83"/>
  <c r="U43" i="83"/>
  <c r="F25" i="83"/>
  <c r="F87" i="83"/>
  <c r="G87" i="83" s="1"/>
  <c r="H87" i="83" s="1"/>
  <c r="I87" i="83" s="1"/>
  <c r="J87" i="83" s="1"/>
  <c r="K87" i="83" s="1"/>
  <c r="L87" i="83" s="1"/>
  <c r="M87" i="83" s="1"/>
  <c r="J31" i="83"/>
  <c r="H31" i="83"/>
  <c r="F31" i="83"/>
  <c r="AA8" i="83"/>
  <c r="U9" i="83"/>
  <c r="W10" i="83"/>
  <c r="S12" i="83"/>
  <c r="U13" i="83"/>
  <c r="W14" i="83"/>
  <c r="W15" i="83"/>
  <c r="W17" i="83"/>
  <c r="W19" i="83"/>
  <c r="W21" i="83"/>
  <c r="W23" i="83"/>
  <c r="U29" i="83"/>
  <c r="AC33" i="83"/>
  <c r="W33" i="83"/>
  <c r="H36" i="83"/>
  <c r="U39" i="83"/>
  <c r="S46" i="83"/>
  <c r="S11" i="83"/>
  <c r="U12" i="83"/>
  <c r="W13" i="83"/>
  <c r="J36" i="83"/>
  <c r="H35" i="83"/>
  <c r="F35" i="83"/>
  <c r="E108" i="83"/>
  <c r="F108" i="83" s="1"/>
  <c r="G108" i="83" s="1"/>
  <c r="H108" i="83" s="1"/>
  <c r="I108" i="83" s="1"/>
  <c r="J108" i="83" s="1"/>
  <c r="K108" i="83" s="1"/>
  <c r="L108" i="83" s="1"/>
  <c r="M108" i="83" s="1"/>
  <c r="U28" i="83"/>
  <c r="W29" i="83"/>
  <c r="U32" i="83"/>
  <c r="U33" i="83"/>
  <c r="W34" i="83"/>
  <c r="S37" i="83"/>
  <c r="U38" i="83"/>
  <c r="W39" i="83"/>
  <c r="S41" i="83"/>
  <c r="U42" i="83"/>
  <c r="W43" i="83"/>
  <c r="S45" i="83"/>
  <c r="U46" i="83"/>
  <c r="S26" i="83"/>
  <c r="U27" i="83"/>
  <c r="W28" i="83"/>
  <c r="S30" i="83"/>
  <c r="W32" i="83"/>
  <c r="F36" i="83"/>
  <c r="U37" i="83"/>
  <c r="W38" i="83"/>
  <c r="S40" i="83"/>
  <c r="U41" i="83"/>
  <c r="W42" i="83"/>
  <c r="S44" i="83"/>
  <c r="U45" i="83"/>
  <c r="W46" i="83"/>
  <c r="U26" i="83"/>
  <c r="W27" i="83"/>
  <c r="S29" i="83"/>
  <c r="U30" i="83"/>
  <c r="S34" i="83"/>
  <c r="W37" i="83"/>
  <c r="S39" i="83"/>
  <c r="U40" i="83"/>
  <c r="W41" i="83"/>
  <c r="S43" i="83"/>
  <c r="U44" i="83"/>
  <c r="W45" i="83"/>
  <c r="G111" i="82"/>
  <c r="H111" i="82" s="1"/>
  <c r="I111" i="82" s="1"/>
  <c r="J111" i="82" s="1"/>
  <c r="K111" i="82" s="1"/>
  <c r="L111" i="82" s="1"/>
  <c r="M111" i="82" s="1"/>
  <c r="J36" i="82"/>
  <c r="AC36" i="82" s="1"/>
  <c r="H36" i="82"/>
  <c r="AB36" i="82" s="1"/>
  <c r="F36" i="82"/>
  <c r="AA36" i="82" s="1"/>
  <c r="U35" i="82"/>
  <c r="F85" i="82"/>
  <c r="G85" i="82" s="1"/>
  <c r="H23" i="82"/>
  <c r="AB23" i="82" s="1"/>
  <c r="F23" i="82"/>
  <c r="AA23" i="82" s="1"/>
  <c r="J23" i="82"/>
  <c r="AC23" i="82" s="1"/>
  <c r="E81" i="82"/>
  <c r="F81" i="82" s="1"/>
  <c r="G81" i="82" s="1"/>
  <c r="F19" i="82"/>
  <c r="S19" i="82" s="1"/>
  <c r="F79" i="82"/>
  <c r="G79" i="82" s="1"/>
  <c r="J17" i="82"/>
  <c r="W17" i="82" s="1"/>
  <c r="H17" i="82"/>
  <c r="U17" i="82" s="1"/>
  <c r="F17" i="82"/>
  <c r="AA17" i="82" s="1"/>
  <c r="H12" i="82"/>
  <c r="AB12" i="82" s="1"/>
  <c r="W8" i="82"/>
  <c r="W32" i="82"/>
  <c r="AC40" i="82"/>
  <c r="AC19" i="82"/>
  <c r="W28" i="82"/>
  <c r="AB8" i="82"/>
  <c r="U43" i="82"/>
  <c r="AB13" i="82"/>
  <c r="U39" i="82"/>
  <c r="AA13" i="82"/>
  <c r="AA38" i="82"/>
  <c r="AA14" i="82"/>
  <c r="AA30" i="82"/>
  <c r="AA15" i="82"/>
  <c r="K58" i="82"/>
  <c r="L58" i="82" s="1"/>
  <c r="M58" i="82" s="1"/>
  <c r="N58" i="82" s="1"/>
  <c r="O58" i="82" s="1"/>
  <c r="H7" i="82"/>
  <c r="S17" i="82"/>
  <c r="S26" i="82"/>
  <c r="F31" i="82"/>
  <c r="J31" i="82"/>
  <c r="J7" i="82"/>
  <c r="S9" i="82"/>
  <c r="U10" i="82"/>
  <c r="W11" i="82"/>
  <c r="AB15" i="82"/>
  <c r="AC17" i="82"/>
  <c r="AA21" i="82"/>
  <c r="W23" i="82"/>
  <c r="H31" i="82"/>
  <c r="AA34" i="82"/>
  <c r="S46" i="82"/>
  <c r="S10" i="82"/>
  <c r="U11" i="82"/>
  <c r="W12" i="82"/>
  <c r="W14" i="82"/>
  <c r="W21" i="82"/>
  <c r="AA8" i="82"/>
  <c r="U9" i="82"/>
  <c r="W10" i="82"/>
  <c r="S12" i="82"/>
  <c r="AB14" i="82"/>
  <c r="AC15" i="82"/>
  <c r="AA19" i="82"/>
  <c r="AB21" i="82"/>
  <c r="U27" i="82"/>
  <c r="S42" i="82"/>
  <c r="W44" i="82"/>
  <c r="U19" i="82"/>
  <c r="F7" i="82"/>
  <c r="W9" i="82"/>
  <c r="S11" i="82"/>
  <c r="AC13" i="82"/>
  <c r="W13" i="82"/>
  <c r="S25" i="82"/>
  <c r="U26" i="82"/>
  <c r="W27" i="82"/>
  <c r="S29" i="82"/>
  <c r="U30" i="82"/>
  <c r="S33" i="82"/>
  <c r="U34" i="82"/>
  <c r="W35" i="82"/>
  <c r="S37" i="82"/>
  <c r="U38" i="82"/>
  <c r="W39" i="82"/>
  <c r="S41" i="82"/>
  <c r="U42" i="82"/>
  <c r="W43" i="82"/>
  <c r="S45" i="82"/>
  <c r="U46" i="82"/>
  <c r="U25" i="82"/>
  <c r="W26" i="82"/>
  <c r="S28" i="82"/>
  <c r="U29" i="82"/>
  <c r="W30" i="82"/>
  <c r="S32" i="82"/>
  <c r="U33" i="82"/>
  <c r="W34" i="82"/>
  <c r="U37" i="82"/>
  <c r="W38" i="82"/>
  <c r="S40" i="82"/>
  <c r="U41" i="82"/>
  <c r="W42" i="82"/>
  <c r="S44" i="82"/>
  <c r="U45" i="82"/>
  <c r="W46" i="82"/>
  <c r="U23" i="82"/>
  <c r="W25" i="82"/>
  <c r="S27" i="82"/>
  <c r="U28" i="82"/>
  <c r="W29" i="82"/>
  <c r="U32" i="82"/>
  <c r="W33" i="82"/>
  <c r="S35" i="82"/>
  <c r="W37" i="82"/>
  <c r="S39" i="82"/>
  <c r="U40" i="82"/>
  <c r="W41" i="82"/>
  <c r="S43" i="82"/>
  <c r="U44" i="82"/>
  <c r="W45" i="82"/>
  <c r="W9" i="83" l="1"/>
  <c r="U36" i="82"/>
  <c r="S36" i="82"/>
  <c r="AC36" i="83"/>
  <c r="W36" i="83"/>
  <c r="AC31" i="83"/>
  <c r="W31" i="83"/>
  <c r="S7" i="83"/>
  <c r="AA7" i="83"/>
  <c r="AA36" i="83"/>
  <c r="S36" i="83"/>
  <c r="AA35" i="83"/>
  <c r="S35" i="83"/>
  <c r="AB35" i="83"/>
  <c r="U35" i="83"/>
  <c r="AA31" i="83"/>
  <c r="S31" i="83"/>
  <c r="AA25" i="83"/>
  <c r="S25" i="83"/>
  <c r="AC7" i="83"/>
  <c r="V48" i="83" s="1"/>
  <c r="I48" i="83" s="1"/>
  <c r="W7" i="83"/>
  <c r="AB36" i="83"/>
  <c r="U36" i="83"/>
  <c r="AB31" i="83"/>
  <c r="U31" i="83"/>
  <c r="U7" i="83"/>
  <c r="AB7" i="83"/>
  <c r="W36" i="82"/>
  <c r="S23" i="82"/>
  <c r="AB17" i="82"/>
  <c r="U12" i="82"/>
  <c r="U31" i="82"/>
  <c r="AB31" i="82"/>
  <c r="AC7" i="82"/>
  <c r="V48" i="82" s="1"/>
  <c r="I48" i="82" s="1"/>
  <c r="W7" i="82"/>
  <c r="AC31" i="82"/>
  <c r="W31" i="82"/>
  <c r="U7" i="82"/>
  <c r="AB7" i="82"/>
  <c r="T48" i="82" s="1"/>
  <c r="G48" i="82" s="1"/>
  <c r="S7" i="82"/>
  <c r="AA7" i="82"/>
  <c r="R48" i="82" s="1"/>
  <c r="AA31" i="82"/>
  <c r="S31" i="82"/>
  <c r="R48" i="83" l="1"/>
  <c r="E48" i="83" s="1"/>
  <c r="I53" i="83" s="1"/>
  <c r="J53" i="83" s="1"/>
  <c r="T48" i="83"/>
  <c r="G48" i="83" s="1"/>
  <c r="I52" i="83"/>
  <c r="J52" i="83" s="1"/>
  <c r="G53" i="82"/>
  <c r="H53" i="82" s="1"/>
  <c r="G52" i="82"/>
  <c r="H52" i="82" s="1"/>
  <c r="I52" i="82"/>
  <c r="J52" i="82" s="1"/>
  <c r="R49" i="82"/>
  <c r="E48" i="82"/>
  <c r="I53" i="82" s="1"/>
  <c r="J53" i="82" s="1"/>
  <c r="E52" i="83" l="1"/>
  <c r="F52" i="83" s="1"/>
  <c r="E53" i="83"/>
  <c r="F53" i="83" s="1"/>
  <c r="R49" i="83"/>
  <c r="G53" i="83"/>
  <c r="H53" i="83" s="1"/>
  <c r="G52" i="83"/>
  <c r="H52" i="83" s="1"/>
  <c r="E52" i="82"/>
  <c r="F52" i="82" s="1"/>
  <c r="E53" i="82"/>
  <c r="F53" i="82" s="1"/>
  <c r="C48" i="82"/>
  <c r="D36" i="81" s="1"/>
  <c r="C49" i="82"/>
  <c r="C48" i="83" l="1"/>
  <c r="U21" i="81" s="1"/>
  <c r="U20" i="81" s="1"/>
  <c r="C49" i="83"/>
  <c r="B2" i="82"/>
  <c r="B3" i="82"/>
  <c r="B2" i="83" l="1"/>
  <c r="B3" i="83"/>
  <c r="H29" i="81" l="1"/>
  <c r="E29" i="81" s="1"/>
  <c r="H28" i="81"/>
  <c r="H27" i="81"/>
  <c r="H26" i="81"/>
  <c r="E26" i="81" s="1"/>
  <c r="H22" i="81"/>
  <c r="C22" i="81" s="1"/>
  <c r="I20" i="81"/>
  <c r="I17" i="81"/>
  <c r="H15" i="81"/>
  <c r="H14" i="81"/>
  <c r="H12" i="81"/>
  <c r="I11" i="81"/>
  <c r="H9" i="81"/>
  <c r="I8" i="81"/>
  <c r="I7" i="81"/>
  <c r="I5" i="81"/>
  <c r="I3" i="81"/>
  <c r="T22" i="81"/>
  <c r="S21" i="81"/>
  <c r="F19" i="81"/>
  <c r="F16" i="81"/>
  <c r="E15" i="81"/>
  <c r="M10" i="81"/>
  <c r="P9" i="81"/>
  <c r="O10" i="81" s="1"/>
  <c r="M4" i="81"/>
  <c r="N11" i="81" s="1"/>
  <c r="H25" i="81" l="1"/>
  <c r="E25" i="81" s="1"/>
  <c r="C8" i="81"/>
  <c r="C10" i="81" s="1"/>
  <c r="C11" i="81"/>
  <c r="C21" i="81"/>
  <c r="E19" i="81" s="1"/>
  <c r="E24" i="81"/>
  <c r="C15" i="81"/>
  <c r="C9" i="81" l="1"/>
  <c r="C12" i="81"/>
  <c r="C13" i="81" l="1"/>
  <c r="C14" i="81" s="1"/>
  <c r="C20" i="81" l="1"/>
  <c r="C19" i="81" s="1"/>
  <c r="D33" i="43" l="1"/>
  <c r="I14" i="3"/>
  <c r="F19" i="6"/>
  <c r="C19" i="6"/>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7" i="79"/>
  <c r="AD36" i="79"/>
  <c r="AD35" i="79"/>
  <c r="S20" i="79"/>
  <c r="AG20" i="79" s="1"/>
  <c r="Z3" i="79"/>
  <c r="T22" i="79"/>
  <c r="S33" i="79"/>
  <c r="AG33" i="79" s="1"/>
  <c r="S34" i="79"/>
  <c r="AG34" i="79" s="1"/>
  <c r="S35" i="79"/>
  <c r="AG35" i="79" s="1"/>
  <c r="W40" i="79"/>
  <c r="AK40" i="79" s="1"/>
  <c r="AH40"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22" i="79"/>
  <c r="AK22" i="79" s="1"/>
  <c r="AH22" i="79"/>
  <c r="W23" i="79"/>
  <c r="AK23" i="79" s="1"/>
  <c r="AH23" i="79"/>
  <c r="W12" i="79"/>
  <c r="AK12" i="79" s="1"/>
  <c r="AH12" i="79"/>
  <c r="W21" i="79"/>
  <c r="AK21" i="79" s="1"/>
  <c r="AH21" i="79"/>
  <c r="W47" i="79"/>
  <c r="AK47" i="79" s="1"/>
  <c r="AH47" i="79"/>
  <c r="W45" i="79"/>
  <c r="AK45" i="79" s="1"/>
  <c r="AH45" i="79"/>
  <c r="W16" i="79"/>
  <c r="AK16" i="79" s="1"/>
  <c r="AH16" i="79"/>
  <c r="W51" i="79"/>
  <c r="AK51" i="79" s="1"/>
  <c r="AH51" i="79"/>
  <c r="W44" i="79"/>
  <c r="AK44" i="79" s="1"/>
  <c r="AH44" i="79"/>
  <c r="W46" i="79"/>
  <c r="AK46" i="79" s="1"/>
  <c r="AH46" i="79"/>
  <c r="W34" i="79"/>
  <c r="AK34" i="79" s="1"/>
  <c r="AH34"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5" i="71" s="1"/>
  <c r="Z25" i="71" s="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D58" i="71"/>
  <c r="D62" i="71"/>
  <c r="B66" i="71"/>
  <c r="N65" i="71" s="1"/>
  <c r="Q68" i="71"/>
  <c r="E71" i="71"/>
  <c r="E70" i="71" s="1"/>
  <c r="D72" i="71"/>
  <c r="E75" i="71"/>
  <c r="E74" i="71" s="1"/>
  <c r="E79" i="71"/>
  <c r="E78" i="71" s="1"/>
  <c r="D80" i="71"/>
  <c r="C87" i="71"/>
  <c r="F28" i="71"/>
  <c r="F27" i="71" s="1"/>
  <c r="F26" i="71" s="1"/>
  <c r="AB27" i="71"/>
  <c r="AA28" i="71"/>
  <c r="N66" i="7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E83" i="21"/>
  <c r="F83" i="21" s="1"/>
  <c r="H1" i="69"/>
  <c r="U25" i="40"/>
  <c r="U29" i="39"/>
  <c r="W29" i="39"/>
  <c r="W18" i="36"/>
  <c r="S21" i="37"/>
  <c r="U21" i="34"/>
  <c r="AC18" i="35"/>
  <c r="J21" i="37"/>
  <c r="W21" i="37" s="1"/>
  <c r="G84" i="34"/>
  <c r="J21" i="34"/>
  <c r="W21" i="34" s="1"/>
  <c r="H21" i="21"/>
  <c r="U21" i="21" s="1"/>
  <c r="F38" i="69"/>
  <c r="E37" i="69"/>
  <c r="F36" i="69"/>
  <c r="F35" i="69"/>
  <c r="F21" i="69"/>
  <c r="F20" i="69"/>
  <c r="F39" i="69" s="1"/>
  <c r="E10" i="69"/>
  <c r="E9" i="69"/>
  <c r="AC21" i="37"/>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BN571" i="3"/>
  <c r="BO571" i="3"/>
  <c r="BP571" i="3"/>
  <c r="BR571" i="3"/>
  <c r="BS571" i="3"/>
  <c r="BT571" i="3"/>
  <c r="H572" i="3"/>
  <c r="AC572" i="3"/>
  <c r="G572" i="3" s="1"/>
  <c r="BB572" i="3"/>
  <c r="BC572" i="3"/>
  <c r="BD572" i="3"/>
  <c r="BE572" i="3"/>
  <c r="BA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A580" i="3" s="1"/>
  <c r="AZ580" i="3" s="1"/>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L581" i="3" s="1"/>
  <c r="BO581" i="3"/>
  <c r="BP581" i="3"/>
  <c r="BR581" i="3"/>
  <c r="BS581" i="3"/>
  <c r="BT581" i="3"/>
  <c r="H582" i="3"/>
  <c r="AC582" i="3"/>
  <c r="G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G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J8" i="34"/>
  <c r="AC8" i="34" s="1"/>
  <c r="H8" i="34"/>
  <c r="U8" i="34" s="1"/>
  <c r="F8" i="34"/>
  <c r="C15" i="2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c r="J45" i="39"/>
  <c r="W45"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S27" i="35"/>
  <c r="F11" i="40"/>
  <c r="AA11" i="40" s="1"/>
  <c r="H11" i="40"/>
  <c r="AB11" i="40"/>
  <c r="W8" i="40"/>
  <c r="AB39" i="40"/>
  <c r="U9" i="40"/>
  <c r="S34" i="40"/>
  <c r="U38"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11" i="21"/>
  <c r="U11" i="21" s="1"/>
  <c r="J11" i="21"/>
  <c r="W11" i="21" s="1"/>
  <c r="H37" i="40"/>
  <c r="U37" i="40"/>
  <c r="H36" i="40"/>
  <c r="AB36" i="40" s="1"/>
  <c r="F35" i="40"/>
  <c r="AA35" i="40"/>
  <c r="H23" i="40"/>
  <c r="AB23" i="40" s="1"/>
  <c r="H17" i="40"/>
  <c r="U17" i="40" s="1"/>
  <c r="J15" i="40"/>
  <c r="W15" i="40" s="1"/>
  <c r="J11" i="40"/>
  <c r="W11" i="40"/>
  <c r="AB12" i="35"/>
  <c r="AB12" i="36"/>
  <c r="W32" i="40"/>
  <c r="S44" i="39"/>
  <c r="F37" i="39"/>
  <c r="AA37"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AA24" i="36"/>
  <c r="F14" i="35"/>
  <c r="AA14" i="35" s="1"/>
  <c r="F23" i="35"/>
  <c r="AA23" i="35" s="1"/>
  <c r="J32" i="35"/>
  <c r="AC32" i="35" s="1"/>
  <c r="J16" i="35"/>
  <c r="AC16" i="35" s="1"/>
  <c r="H16" i="35"/>
  <c r="U16" i="35"/>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37" i="40"/>
  <c r="AA37" i="40" s="1"/>
  <c r="F36" i="40"/>
  <c r="AA36" i="40" s="1"/>
  <c r="H28" i="40"/>
  <c r="U28" i="40" s="1"/>
  <c r="F23" i="40"/>
  <c r="AA23" i="40"/>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F28" i="40"/>
  <c r="AA28" i="40"/>
  <c r="AA29" i="35"/>
  <c r="AA42" i="34"/>
  <c r="S42" i="34"/>
  <c r="AC38" i="34"/>
  <c r="AA38" i="34"/>
  <c r="J37" i="34"/>
  <c r="AC37" i="34" s="1"/>
  <c r="S28" i="34"/>
  <c r="J42" i="21"/>
  <c r="AC42" i="21"/>
  <c r="H42" i="21"/>
  <c r="U42" i="21"/>
  <c r="J44" i="34"/>
  <c r="F44" i="34"/>
  <c r="AA44" i="34"/>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H29" i="21"/>
  <c r="U29" i="21"/>
  <c r="J31" i="21"/>
  <c r="AC31" i="21" s="1"/>
  <c r="F31" i="21"/>
  <c r="S31" i="21"/>
  <c r="F45" i="21"/>
  <c r="AA45" i="21" s="1"/>
  <c r="J14" i="34"/>
  <c r="W14" i="34" s="1"/>
  <c r="F14" i="34"/>
  <c r="S14" i="34" s="1"/>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J37" i="37"/>
  <c r="AC37" i="37" s="1"/>
  <c r="H37" i="37"/>
  <c r="U37" i="37" s="1"/>
  <c r="H40" i="37"/>
  <c r="U40" i="37" s="1"/>
  <c r="J40" i="37"/>
  <c r="AC40" i="37" s="1"/>
  <c r="F40" i="37"/>
  <c r="AA40" i="37" s="1"/>
  <c r="AC12" i="40"/>
  <c r="W12" i="40"/>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U43" i="39" s="1"/>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27" i="37"/>
  <c r="AA27" i="37"/>
  <c r="F13" i="39"/>
  <c r="J13" i="39"/>
  <c r="W13" i="39" s="1"/>
  <c r="H13" i="39"/>
  <c r="H14" i="40"/>
  <c r="AB14" i="40" s="1"/>
  <c r="J27" i="37"/>
  <c r="AC27" i="37"/>
  <c r="J36" i="37"/>
  <c r="AC36" i="37"/>
  <c r="J10" i="36"/>
  <c r="AC10" i="36" s="1"/>
  <c r="AB30" i="21"/>
  <c r="W31" i="34"/>
  <c r="S11" i="36"/>
  <c r="AB46" i="34"/>
  <c r="AA14" i="34"/>
  <c r="AC28" i="21"/>
  <c r="S44" i="34"/>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68" i="3"/>
  <c r="G564" i="3"/>
  <c r="G560" i="3"/>
  <c r="G554" i="3"/>
  <c r="G550" i="3"/>
  <c r="BL584" i="3"/>
  <c r="BL580" i="3"/>
  <c r="BL568" i="3"/>
  <c r="BL564" i="3"/>
  <c r="BL560" i="3"/>
  <c r="BL554" i="3"/>
  <c r="BL546" i="3"/>
  <c r="BL542" i="3"/>
  <c r="BL538" i="3"/>
  <c r="BL534" i="3"/>
  <c r="BL530" i="3"/>
  <c r="BL526" i="3"/>
  <c r="BL522" i="3"/>
  <c r="BL516" i="3"/>
  <c r="BL512" i="3"/>
  <c r="BL506" i="3"/>
  <c r="AZ506" i="3" s="1"/>
  <c r="BL502" i="3"/>
  <c r="BL498" i="3"/>
  <c r="BL494" i="3"/>
  <c r="BL582" i="3"/>
  <c r="BL570" i="3"/>
  <c r="BL566" i="3"/>
  <c r="BL562" i="3"/>
  <c r="BL556" i="3"/>
  <c r="BL552" i="3"/>
  <c r="BL544" i="3"/>
  <c r="BL540" i="3"/>
  <c r="BL536" i="3"/>
  <c r="G533" i="3"/>
  <c r="BL532" i="3"/>
  <c r="AZ532" i="3" s="1"/>
  <c r="G529" i="3"/>
  <c r="BL528" i="3"/>
  <c r="G525" i="3"/>
  <c r="BL524" i="3"/>
  <c r="BL518" i="3"/>
  <c r="BL514" i="3"/>
  <c r="BL510" i="3"/>
  <c r="BL504" i="3"/>
  <c r="BL500" i="3"/>
  <c r="BL496" i="3"/>
  <c r="G493" i="3"/>
  <c r="BA584" i="3"/>
  <c r="AZ584" i="3" s="1"/>
  <c r="BA578" i="3"/>
  <c r="BA576" i="3"/>
  <c r="BA570" i="3"/>
  <c r="AZ570" i="3" s="1"/>
  <c r="BA568" i="3"/>
  <c r="AZ568" i="3" s="1"/>
  <c r="BA566" i="3"/>
  <c r="BA564" i="3"/>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79" i="3"/>
  <c r="BA577"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77" i="3"/>
  <c r="G575" i="3"/>
  <c r="G569" i="3"/>
  <c r="G567" i="3"/>
  <c r="G565" i="3"/>
  <c r="G563" i="3"/>
  <c r="G561" i="3"/>
  <c r="BL558" i="3"/>
  <c r="BA557" i="3"/>
  <c r="AC557" i="3"/>
  <c r="G557" i="3" s="1"/>
  <c r="BQ557" i="3"/>
  <c r="BL557" i="3" s="1"/>
  <c r="BQ583" i="3"/>
  <c r="BL583" i="3" s="1"/>
  <c r="BQ581" i="3"/>
  <c r="BQ579" i="3"/>
  <c r="BL579" i="3"/>
  <c r="BQ577" i="3"/>
  <c r="BQ575" i="3"/>
  <c r="BL575" i="3"/>
  <c r="BQ573" i="3"/>
  <c r="BL573" i="3" s="1"/>
  <c r="BQ571" i="3"/>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17" i="37"/>
  <c r="U17" i="37" s="1"/>
  <c r="AB27" i="37"/>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s="1"/>
  <c r="J32" i="37"/>
  <c r="AC32" i="37"/>
  <c r="F36" i="37"/>
  <c r="AA36" i="37" s="1"/>
  <c r="F37" i="37"/>
  <c r="AA37" i="37"/>
  <c r="F31" i="40"/>
  <c r="AA31" i="40" s="1"/>
  <c r="H31" i="40"/>
  <c r="U31" i="40"/>
  <c r="F32" i="40"/>
  <c r="S32" i="40" s="1"/>
  <c r="H32" i="40"/>
  <c r="AB32" i="40"/>
  <c r="J36" i="40"/>
  <c r="W36" i="40" s="1"/>
  <c r="H19" i="37"/>
  <c r="AB19" i="37" s="1"/>
  <c r="S28" i="31"/>
  <c r="S27" i="31"/>
  <c r="S26" i="31"/>
  <c r="W23" i="35"/>
  <c r="W47" i="34"/>
  <c r="AC36" i="34"/>
  <c r="U19" i="21"/>
  <c r="W44" i="21"/>
  <c r="AB38" i="21"/>
  <c r="W15" i="34"/>
  <c r="AC15" i="34"/>
  <c r="W16" i="35"/>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c r="J15" i="37"/>
  <c r="AT6" i="3"/>
  <c r="H5" i="3"/>
  <c r="AA25" i="21"/>
  <c r="H19" i="40"/>
  <c r="U19" i="40" s="1"/>
  <c r="F88" i="40"/>
  <c r="G88" i="40" s="1"/>
  <c r="F19" i="40"/>
  <c r="S19" i="40" s="1"/>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AZ203" i="3" s="1"/>
  <c r="BL204" i="3"/>
  <c r="AZ204" i="3" s="1"/>
  <c r="AZ47" i="3"/>
  <c r="AZ67" i="3"/>
  <c r="AZ79" i="3"/>
  <c r="AZ176"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66"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41" i="3"/>
  <c r="AZ245" i="3"/>
  <c r="AZ257" i="3"/>
  <c r="AZ265" i="3"/>
  <c r="AZ269" i="3"/>
  <c r="BA379" i="3"/>
  <c r="BL380" i="3"/>
  <c r="G381" i="3"/>
  <c r="BA383" i="3"/>
  <c r="AZ383" i="3" s="1"/>
  <c r="BL384" i="3"/>
  <c r="G385" i="3"/>
  <c r="BA387" i="3"/>
  <c r="BL388" i="3"/>
  <c r="G389" i="3"/>
  <c r="BA391" i="3"/>
  <c r="AZ391" i="3" s="1"/>
  <c r="BL392" i="3"/>
  <c r="G393" i="3"/>
  <c r="BO5" i="3"/>
  <c r="BM5" i="3"/>
  <c r="BJ5" i="3"/>
  <c r="BF5" i="3"/>
  <c r="BD5" i="3"/>
  <c r="AZ341" i="3"/>
  <c r="AC5" i="3"/>
  <c r="AZ496" i="3"/>
  <c r="G548" i="3"/>
  <c r="G538" i="3"/>
  <c r="G520" i="3"/>
  <c r="G502" i="3"/>
  <c r="BS5" i="3"/>
  <c r="BP5" i="3"/>
  <c r="BN5" i="3"/>
  <c r="BK5" i="3"/>
  <c r="BI5" i="3"/>
  <c r="BG5" i="3"/>
  <c r="BE5" i="3"/>
  <c r="BC5" i="3"/>
  <c r="G17" i="3"/>
  <c r="BA17" i="3"/>
  <c r="AZ17" i="3" s="1"/>
  <c r="BA15" i="3"/>
  <c r="AZ15" i="3" s="1"/>
  <c r="BR5" i="3"/>
  <c r="AZ380" i="3"/>
  <c r="AZ392" i="3"/>
  <c r="G509" i="3"/>
  <c r="BL493" i="3"/>
  <c r="AZ493" i="3"/>
  <c r="U36" i="40"/>
  <c r="F83" i="43"/>
  <c r="H85" i="43" s="1"/>
  <c r="F50" i="43"/>
  <c r="H54" i="43" s="1"/>
  <c r="F72" i="43"/>
  <c r="H75" i="43" s="1"/>
  <c r="U17" i="39"/>
  <c r="S14" i="35"/>
  <c r="U43" i="21"/>
  <c r="U35" i="21"/>
  <c r="AC35" i="21"/>
  <c r="W37" i="37"/>
  <c r="W44" i="34"/>
  <c r="AC44" i="34"/>
  <c r="U13" i="37"/>
  <c r="U12" i="40"/>
  <c r="AA12" i="40"/>
  <c r="AC17" i="34"/>
  <c r="F33" i="34"/>
  <c r="S33" i="34" s="1"/>
  <c r="W12" i="36"/>
  <c r="AC12" i="36"/>
  <c r="H20" i="36"/>
  <c r="U20" i="36" s="1"/>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J27" i="40"/>
  <c r="AC27" i="40"/>
  <c r="F27" i="40"/>
  <c r="J30" i="40"/>
  <c r="AC30" i="40"/>
  <c r="F30" i="40"/>
  <c r="AC21" i="40"/>
  <c r="S31" i="39"/>
  <c r="S11" i="40"/>
  <c r="E98" i="40"/>
  <c r="F98" i="40" s="1"/>
  <c r="G98" i="40" s="1"/>
  <c r="H98" i="40" s="1"/>
  <c r="I98" i="40" s="1"/>
  <c r="J98" i="40" s="1"/>
  <c r="K98" i="40" s="1"/>
  <c r="L98" i="40" s="1"/>
  <c r="M98" i="40" s="1"/>
  <c r="F39" i="34"/>
  <c r="AA39" i="34" s="1"/>
  <c r="J39" i="34"/>
  <c r="W39" i="34" s="1"/>
  <c r="F40" i="34"/>
  <c r="F43" i="34"/>
  <c r="AA43" i="34" s="1"/>
  <c r="H44" i="34"/>
  <c r="U44" i="34" s="1"/>
  <c r="AC38" i="39"/>
  <c r="F39" i="39"/>
  <c r="J39" i="39"/>
  <c r="AC39" i="39" s="1"/>
  <c r="E96" i="39"/>
  <c r="F96" i="39" s="1"/>
  <c r="G96" i="39" s="1"/>
  <c r="C40" i="11"/>
  <c r="AZ133" i="3"/>
  <c r="AZ72" i="3"/>
  <c r="AZ77" i="3"/>
  <c r="AZ86" i="3"/>
  <c r="AZ110" i="3"/>
  <c r="F23" i="39"/>
  <c r="AA23" i="39" s="1"/>
  <c r="H27" i="36"/>
  <c r="U27" i="36" s="1"/>
  <c r="F27" i="36"/>
  <c r="AA27" i="36" s="1"/>
  <c r="H33" i="34"/>
  <c r="U33" i="34" s="1"/>
  <c r="F32" i="37"/>
  <c r="S32" i="37" s="1"/>
  <c r="AA32" i="37"/>
  <c r="F20" i="36"/>
  <c r="AA20" i="36" s="1"/>
  <c r="J33" i="34"/>
  <c r="H23" i="39"/>
  <c r="U23" i="39" s="1"/>
  <c r="D48" i="9"/>
  <c r="M52" i="9" s="1"/>
  <c r="K9" i="1"/>
  <c r="M9" i="1" s="1"/>
  <c r="D93" i="9"/>
  <c r="W27" i="34"/>
  <c r="AC27" i="34"/>
  <c r="U34" i="36"/>
  <c r="AB33" i="36"/>
  <c r="U33" i="36"/>
  <c r="AC12" i="39"/>
  <c r="W12" i="39"/>
  <c r="AC39" i="40"/>
  <c r="W39" i="40"/>
  <c r="AZ465" i="3"/>
  <c r="AA32" i="36"/>
  <c r="S32" i="36"/>
  <c r="AZ473" i="3"/>
  <c r="BL14" i="3"/>
  <c r="AC13" i="34"/>
  <c r="AA47" i="34"/>
  <c r="W28" i="37"/>
  <c r="S19" i="39"/>
  <c r="H12" i="39"/>
  <c r="F39" i="40"/>
  <c r="AZ286" i="3"/>
  <c r="AZ157"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C26" i="36"/>
  <c r="AA22" i="36"/>
  <c r="W14" i="36"/>
  <c r="AB14" i="36"/>
  <c r="U22" i="36"/>
  <c r="S16" i="36"/>
  <c r="AA25" i="36"/>
  <c r="S24" i="36"/>
  <c r="U24" i="36"/>
  <c r="U23" i="36"/>
  <c r="AB20" i="36"/>
  <c r="U16" i="36"/>
  <c r="AA25" i="35"/>
  <c r="S23"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F19" i="37"/>
  <c r="F79" i="37"/>
  <c r="F23" i="37"/>
  <c r="S23" i="37" s="1"/>
  <c r="U23" i="37"/>
  <c r="U15" i="37"/>
  <c r="AC13" i="37"/>
  <c r="AA13" i="37"/>
  <c r="H10" i="37"/>
  <c r="AB10" i="37" s="1"/>
  <c r="F63" i="37"/>
  <c r="G63" i="37" s="1"/>
  <c r="H63" i="37" s="1"/>
  <c r="I63" i="37" s="1"/>
  <c r="F11" i="37"/>
  <c r="S11" i="37" s="1"/>
  <c r="W25" i="34"/>
  <c r="AB8" i="34"/>
  <c r="AA33" i="34"/>
  <c r="U43"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L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21"/>
  <c r="C7" i="40"/>
  <c r="C63" i="40" s="1"/>
  <c r="M47" i="9"/>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S13" i="40"/>
  <c r="S33" i="40"/>
  <c r="AA15" i="40"/>
  <c r="U11" i="40"/>
  <c r="S31" i="40"/>
  <c r="AB13" i="40"/>
  <c r="U15" i="40"/>
  <c r="AB17" i="40"/>
  <c r="U8" i="40"/>
  <c r="S8" i="40"/>
  <c r="AC41" i="39"/>
  <c r="U42" i="39"/>
  <c r="U41" i="39"/>
  <c r="W25" i="39"/>
  <c r="AC25" i="39"/>
  <c r="U13" i="39"/>
  <c r="AB13" i="39"/>
  <c r="AA13" i="39"/>
  <c r="S13" i="39"/>
  <c r="S14" i="39"/>
  <c r="AA14"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9" i="21"/>
  <c r="W39" i="21"/>
  <c r="AC14" i="21"/>
  <c r="W30" i="21"/>
  <c r="S46" i="21"/>
  <c r="H45" i="21"/>
  <c r="U45" i="21" s="1"/>
  <c r="F29" i="21"/>
  <c r="AA29" i="21" s="1"/>
  <c r="F13" i="21"/>
  <c r="AA13" i="21" s="1"/>
  <c r="AC38" i="21"/>
  <c r="H32" i="21"/>
  <c r="H9" i="21"/>
  <c r="J9" i="21"/>
  <c r="J32" i="21"/>
  <c r="W32" i="21" s="1"/>
  <c r="F32" i="21"/>
  <c r="S32" i="21" s="1"/>
  <c r="AA31"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J32" i="39"/>
  <c r="H32" i="39"/>
  <c r="AB32" i="39" s="1"/>
  <c r="AA32" i="39"/>
  <c r="S32" i="39"/>
  <c r="AB21" i="39"/>
  <c r="U21" i="39"/>
  <c r="AA21" i="39"/>
  <c r="S21" i="39"/>
  <c r="AC17" i="37"/>
  <c r="S17" i="37"/>
  <c r="J19" i="37"/>
  <c r="W19" i="37" s="1"/>
  <c r="G75" i="37"/>
  <c r="AA23" i="37"/>
  <c r="J23" i="37"/>
  <c r="G79" i="37"/>
  <c r="J10" i="37"/>
  <c r="W10" i="37" s="1"/>
  <c r="H11" i="37"/>
  <c r="AB11" i="37" s="1"/>
  <c r="H11" i="34"/>
  <c r="U11" i="34" s="1"/>
  <c r="J10" i="34"/>
  <c r="AC10" i="34" s="1"/>
  <c r="S37" i="21"/>
  <c r="AA23" i="21"/>
  <c r="AB15" i="21"/>
  <c r="J23" i="21"/>
  <c r="AC23" i="21" s="1"/>
  <c r="F85" i="21"/>
  <c r="G85" i="21" s="1"/>
  <c r="H23" i="21"/>
  <c r="S13" i="21"/>
  <c r="AP7" i="1"/>
  <c r="AB45" i="21"/>
  <c r="AA32" i="21"/>
  <c r="W9" i="21"/>
  <c r="AC9" i="21"/>
  <c r="AB32" i="21"/>
  <c r="U32" i="21"/>
  <c r="U32" i="39"/>
  <c r="AC32" i="39"/>
  <c r="W32" i="39"/>
  <c r="J63" i="37"/>
  <c r="K63" i="37" s="1"/>
  <c r="L63" i="37" s="1"/>
  <c r="M63" i="37" s="1"/>
  <c r="J11" i="37"/>
  <c r="AC11" i="37" s="1"/>
  <c r="J11" i="34"/>
  <c r="W11" i="34" s="1"/>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B7" i="76"/>
  <c r="F5" i="73"/>
  <c r="B13" i="76"/>
  <c r="F4" i="73"/>
  <c r="F20" i="31"/>
  <c r="E10" i="76"/>
  <c r="E11" i="76"/>
  <c r="D20" i="9"/>
  <c r="C20" i="9"/>
  <c r="AO13" i="1"/>
  <c r="E12" i="76"/>
  <c r="B10" i="76"/>
  <c r="B12" i="76"/>
  <c r="E8" i="76"/>
  <c r="C19" i="9"/>
  <c r="D35" i="9"/>
  <c r="B9" i="76"/>
  <c r="B8" i="76"/>
  <c r="E13" i="76"/>
  <c r="E7" i="76"/>
  <c r="B11" i="76"/>
  <c r="D19" i="9"/>
  <c r="E2" i="69"/>
  <c r="D6" i="73"/>
  <c r="F7" i="73"/>
  <c r="F3" i="73"/>
  <c r="E9" i="76"/>
  <c r="F6" i="73"/>
  <c r="D34" i="9"/>
  <c r="B79" i="43" l="1"/>
  <c r="B68" i="43"/>
  <c r="B57" i="43"/>
  <c r="B77" i="43"/>
  <c r="F28" i="15"/>
  <c r="F52" i="9"/>
  <c r="D68" i="9"/>
  <c r="F32" i="67"/>
  <c r="F60" i="67" s="1"/>
  <c r="F32" i="15"/>
  <c r="F60" i="15" s="1"/>
  <c r="F31" i="12"/>
  <c r="F54" i="9"/>
  <c r="F30" i="69"/>
  <c r="F48" i="69" s="1"/>
  <c r="F28" i="67"/>
  <c r="M18" i="15"/>
  <c r="M18" i="67"/>
  <c r="F30" i="11"/>
  <c r="C48" i="11" s="1"/>
  <c r="F30" i="68"/>
  <c r="F48" i="68" s="1"/>
  <c r="C21" i="68"/>
  <c r="D22" i="15"/>
  <c r="D23" i="15"/>
  <c r="BA14" i="3"/>
  <c r="AZ14" i="3" s="1"/>
  <c r="BH5" i="3"/>
  <c r="G1" i="67"/>
  <c r="G1" i="69"/>
  <c r="G1" i="15"/>
  <c r="B6" i="1"/>
  <c r="E6" i="1" s="1"/>
  <c r="K1" i="12"/>
  <c r="K6" i="1"/>
  <c r="AP6" i="1" s="1"/>
  <c r="C36" i="69" s="1"/>
  <c r="G29" i="6"/>
  <c r="AC17" i="21"/>
  <c r="W17" i="21"/>
  <c r="AA30" i="40"/>
  <c r="S30" i="40"/>
  <c r="W20" i="36"/>
  <c r="AC20" i="36"/>
  <c r="W15" i="37"/>
  <c r="AC15" i="37"/>
  <c r="AZ574" i="3"/>
  <c r="AZ572" i="3"/>
  <c r="AC33" i="34"/>
  <c r="W33" i="34"/>
  <c r="S39" i="39"/>
  <c r="AA39" i="39"/>
  <c r="S40" i="34"/>
  <c r="AA40" i="34"/>
  <c r="AZ191" i="3"/>
  <c r="W11" i="39"/>
  <c r="AC11" i="39"/>
  <c r="D8" i="53"/>
  <c r="D120" i="9"/>
  <c r="AA15" i="37"/>
  <c r="S15" i="37"/>
  <c r="W12" i="37"/>
  <c r="AC12" i="37"/>
  <c r="S36" i="35"/>
  <c r="AA36" i="35"/>
  <c r="W14" i="40"/>
  <c r="AC14" i="40"/>
  <c r="W23" i="37"/>
  <c r="AC23" i="37"/>
  <c r="U27" i="40"/>
  <c r="AB27" i="40"/>
  <c r="AZ379" i="3"/>
  <c r="AZ365" i="3"/>
  <c r="S12" i="39"/>
  <c r="AA12" i="39"/>
  <c r="AB9" i="21"/>
  <c r="U9" i="21"/>
  <c r="AB12" i="39"/>
  <c r="U12" i="39"/>
  <c r="S19" i="37"/>
  <c r="AA19" i="37"/>
  <c r="S27" i="40"/>
  <c r="AA27" i="40"/>
  <c r="AZ342" i="3"/>
  <c r="AZ160" i="3"/>
  <c r="AZ573" i="3"/>
  <c r="AZ583" i="3"/>
  <c r="AZ576" i="3"/>
  <c r="J27" i="21"/>
  <c r="F27" i="21"/>
  <c r="F9" i="34"/>
  <c r="AA9" i="34" s="1"/>
  <c r="J9" i="34"/>
  <c r="J39" i="37"/>
  <c r="F39" i="37"/>
  <c r="S39" i="37" s="1"/>
  <c r="AZ345" i="3"/>
  <c r="AZ372" i="3"/>
  <c r="AZ337" i="3"/>
  <c r="AZ123" i="3"/>
  <c r="AZ376" i="3"/>
  <c r="AZ309" i="3"/>
  <c r="AZ549" i="3"/>
  <c r="U14" i="40"/>
  <c r="AZ515" i="3"/>
  <c r="AZ533" i="3"/>
  <c r="AZ561" i="3"/>
  <c r="AZ569" i="3"/>
  <c r="AZ571" i="3"/>
  <c r="AZ579" i="3"/>
  <c r="AZ524" i="3"/>
  <c r="F14" i="40"/>
  <c r="H36" i="39"/>
  <c r="BL585" i="3"/>
  <c r="AZ585" i="3" s="1"/>
  <c r="B72" i="43"/>
  <c r="C15" i="39"/>
  <c r="J12" i="34"/>
  <c r="H12" i="34"/>
  <c r="H25" i="37"/>
  <c r="F25" i="37"/>
  <c r="U8" i="39"/>
  <c r="AB8" i="39"/>
  <c r="AZ400" i="3"/>
  <c r="AC39" i="34"/>
  <c r="AZ387" i="3"/>
  <c r="AZ374" i="3"/>
  <c r="AZ362" i="3"/>
  <c r="AZ338" i="3"/>
  <c r="AZ390" i="3"/>
  <c r="AZ371" i="3"/>
  <c r="AZ351" i="3"/>
  <c r="AZ336" i="3"/>
  <c r="AZ305" i="3"/>
  <c r="AZ155" i="3"/>
  <c r="AZ360" i="3"/>
  <c r="W40" i="37"/>
  <c r="U26" i="37"/>
  <c r="AZ539" i="3"/>
  <c r="AZ529" i="3"/>
  <c r="AZ537" i="3"/>
  <c r="AZ518" i="3"/>
  <c r="AZ526" i="3"/>
  <c r="AZ546" i="3"/>
  <c r="AZ564" i="3"/>
  <c r="AB17" i="34"/>
  <c r="F34" i="36"/>
  <c r="J34" i="36"/>
  <c r="W34" i="36" s="1"/>
  <c r="H39" i="37"/>
  <c r="F36" i="39"/>
  <c r="H9" i="34"/>
  <c r="AB31" i="36"/>
  <c r="U31" i="36"/>
  <c r="S9" i="40"/>
  <c r="AA9" i="40"/>
  <c r="U17" i="21"/>
  <c r="AB35" i="34"/>
  <c r="S14" i="36"/>
  <c r="F29" i="6"/>
  <c r="E29" i="6" s="1"/>
  <c r="K15" i="1" s="1"/>
  <c r="AZ349" i="3"/>
  <c r="AZ318" i="3"/>
  <c r="AZ304" i="3"/>
  <c r="AZ306" i="3"/>
  <c r="F24" i="35"/>
  <c r="AZ535" i="3"/>
  <c r="BL577" i="3"/>
  <c r="AZ577" i="3" s="1"/>
  <c r="AZ557" i="3"/>
  <c r="AZ513" i="3"/>
  <c r="AZ566" i="3"/>
  <c r="AZ540" i="3"/>
  <c r="AZ502" i="3"/>
  <c r="J14" i="37"/>
  <c r="F14" i="37"/>
  <c r="U34" i="40"/>
  <c r="BL398" i="3"/>
  <c r="G402" i="3"/>
  <c r="BL403" i="3"/>
  <c r="G405" i="3"/>
  <c r="G406" i="3"/>
  <c r="BA408" i="3"/>
  <c r="AZ408" i="3" s="1"/>
  <c r="BA409" i="3"/>
  <c r="AZ409" i="3" s="1"/>
  <c r="BA411" i="3"/>
  <c r="BL414" i="3"/>
  <c r="BL415" i="3"/>
  <c r="BA417" i="3"/>
  <c r="AZ417" i="3" s="1"/>
  <c r="BL421" i="3"/>
  <c r="BL422" i="3"/>
  <c r="BL425" i="3"/>
  <c r="BL430" i="3"/>
  <c r="BA433" i="3"/>
  <c r="AZ433" i="3" s="1"/>
  <c r="BA435" i="3"/>
  <c r="AZ435" i="3" s="1"/>
  <c r="BL437" i="3"/>
  <c r="AZ437" i="3" s="1"/>
  <c r="BA441" i="3"/>
  <c r="AZ441" i="3" s="1"/>
  <c r="BA449" i="3"/>
  <c r="BL451" i="3"/>
  <c r="G452" i="3"/>
  <c r="BL452" i="3"/>
  <c r="BA464" i="3"/>
  <c r="BL471" i="3"/>
  <c r="G478" i="3"/>
  <c r="G489" i="3"/>
  <c r="BL550" i="3"/>
  <c r="BA398" i="3"/>
  <c r="AZ398" i="3" s="1"/>
  <c r="BA399" i="3"/>
  <c r="AZ399" i="3" s="1"/>
  <c r="BL401" i="3"/>
  <c r="AZ401" i="3" s="1"/>
  <c r="BL404" i="3"/>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L431" i="3"/>
  <c r="AZ431" i="3" s="1"/>
  <c r="G433" i="3"/>
  <c r="BL434" i="3"/>
  <c r="G436" i="3"/>
  <c r="BL438" i="3"/>
  <c r="BL439" i="3"/>
  <c r="AZ439" i="3" s="1"/>
  <c r="G444" i="3"/>
  <c r="G445" i="3"/>
  <c r="BL445" i="3"/>
  <c r="AZ445" i="3" s="1"/>
  <c r="BL446" i="3"/>
  <c r="BL453" i="3"/>
  <c r="BL454" i="3"/>
  <c r="BA463" i="3"/>
  <c r="BA469" i="3"/>
  <c r="AZ469" i="3" s="1"/>
  <c r="G477" i="3"/>
  <c r="G323" i="3"/>
  <c r="G585" i="3"/>
  <c r="BL587" i="3"/>
  <c r="AZ587" i="3" s="1"/>
  <c r="BL586" i="3"/>
  <c r="AZ586" i="3" s="1"/>
  <c r="G574" i="3"/>
  <c r="BL16" i="3"/>
  <c r="AZ16" i="3" s="1"/>
  <c r="AZ403" i="3"/>
  <c r="AZ404" i="3"/>
  <c r="AZ419" i="3"/>
  <c r="AZ422" i="3"/>
  <c r="AZ443" i="3"/>
  <c r="AZ451" i="3"/>
  <c r="AZ228" i="3"/>
  <c r="W31" i="40"/>
  <c r="S31" i="35"/>
  <c r="J44" i="39"/>
  <c r="G587" i="3"/>
  <c r="J12" i="35"/>
  <c r="BA551" i="3"/>
  <c r="AZ551" i="3" s="1"/>
  <c r="BA550" i="3"/>
  <c r="AZ550" i="3" s="1"/>
  <c r="BL548" i="3"/>
  <c r="AZ548" i="3" s="1"/>
  <c r="G399" i="3"/>
  <c r="BL400" i="3"/>
  <c r="BL408" i="3"/>
  <c r="BL411" i="3"/>
  <c r="BL413" i="3"/>
  <c r="AZ413" i="3" s="1"/>
  <c r="G416" i="3"/>
  <c r="BL417" i="3"/>
  <c r="BL418" i="3"/>
  <c r="BL420" i="3"/>
  <c r="AZ420" i="3" s="1"/>
  <c r="G423" i="3"/>
  <c r="BL424" i="3"/>
  <c r="G427" i="3"/>
  <c r="BL428" i="3"/>
  <c r="BL429" i="3"/>
  <c r="G458" i="3"/>
  <c r="BL459" i="3"/>
  <c r="G462" i="3"/>
  <c r="BA467" i="3"/>
  <c r="BA468" i="3"/>
  <c r="AZ468" i="3" s="1"/>
  <c r="BL475" i="3"/>
  <c r="BL441" i="3"/>
  <c r="BL442" i="3"/>
  <c r="BL444" i="3"/>
  <c r="AZ444" i="3" s="1"/>
  <c r="G446" i="3"/>
  <c r="BL448" i="3"/>
  <c r="AZ448" i="3" s="1"/>
  <c r="G450" i="3"/>
  <c r="BA454" i="3"/>
  <c r="AZ454" i="3" s="1"/>
  <c r="BA457" i="3"/>
  <c r="BA459" i="3"/>
  <c r="BA460" i="3"/>
  <c r="AZ460" i="3" s="1"/>
  <c r="BA461" i="3"/>
  <c r="AZ461" i="3" s="1"/>
  <c r="BL464" i="3"/>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A253" i="3"/>
  <c r="BA260" i="3"/>
  <c r="AZ260" i="3" s="1"/>
  <c r="BL261" i="3"/>
  <c r="BA263" i="3"/>
  <c r="AZ263" i="3" s="1"/>
  <c r="BA267" i="3"/>
  <c r="AZ267" i="3" s="1"/>
  <c r="AZ301" i="3"/>
  <c r="G364" i="3"/>
  <c r="BA367" i="3"/>
  <c r="AZ367" i="3" s="1"/>
  <c r="BA370" i="3"/>
  <c r="AZ370" i="3" s="1"/>
  <c r="BA386" i="3"/>
  <c r="AZ386" i="3" s="1"/>
  <c r="G397" i="3"/>
  <c r="G210" i="3"/>
  <c r="BA216" i="3"/>
  <c r="AZ216" i="3" s="1"/>
  <c r="BA218" i="3"/>
  <c r="AZ218" i="3" s="1"/>
  <c r="BL218" i="3"/>
  <c r="BL220" i="3"/>
  <c r="AZ220" i="3" s="1"/>
  <c r="BL221" i="3"/>
  <c r="G222" i="3"/>
  <c r="BL223" i="3"/>
  <c r="G224" i="3"/>
  <c r="BA227" i="3"/>
  <c r="AZ227" i="3" s="1"/>
  <c r="BA229" i="3"/>
  <c r="AZ229" i="3" s="1"/>
  <c r="BL229" i="3"/>
  <c r="BL231" i="3"/>
  <c r="AZ231" i="3" s="1"/>
  <c r="G233" i="3"/>
  <c r="BL233" i="3"/>
  <c r="AZ233" i="3" s="1"/>
  <c r="G235" i="3"/>
  <c r="BL235" i="3"/>
  <c r="AZ235" i="3" s="1"/>
  <c r="BL236" i="3"/>
  <c r="AZ236" i="3" s="1"/>
  <c r="G237" i="3"/>
  <c r="BL238" i="3"/>
  <c r="G239" i="3"/>
  <c r="BL243" i="3"/>
  <c r="BA247" i="3"/>
  <c r="AZ247" i="3" s="1"/>
  <c r="BL247" i="3"/>
  <c r="BA249" i="3"/>
  <c r="BL249" i="3"/>
  <c r="BA251" i="3"/>
  <c r="AZ251" i="3" s="1"/>
  <c r="BL251" i="3"/>
  <c r="BL254" i="3"/>
  <c r="BA259" i="3"/>
  <c r="AZ259" i="3" s="1"/>
  <c r="BL270" i="3"/>
  <c r="BA278" i="3"/>
  <c r="AZ278" i="3" s="1"/>
  <c r="BA280" i="3"/>
  <c r="AZ280" i="3" s="1"/>
  <c r="BL283" i="3"/>
  <c r="AZ283" i="3" s="1"/>
  <c r="BL284" i="3"/>
  <c r="G288" i="3"/>
  <c r="BL295" i="3"/>
  <c r="BA481" i="3"/>
  <c r="BA488" i="3"/>
  <c r="AZ488" i="3" s="1"/>
  <c r="BA491" i="3"/>
  <c r="BL324" i="3"/>
  <c r="AZ324" i="3" s="1"/>
  <c r="BL328" i="3"/>
  <c r="AZ328" i="3" s="1"/>
  <c r="BA335" i="3"/>
  <c r="AZ335" i="3" s="1"/>
  <c r="BA339" i="3"/>
  <c r="AZ339" i="3" s="1"/>
  <c r="BA348" i="3"/>
  <c r="BA350" i="3"/>
  <c r="AZ350" i="3" s="1"/>
  <c r="BA273" i="3"/>
  <c r="BL275" i="3"/>
  <c r="AZ275" i="3" s="1"/>
  <c r="BA294" i="3"/>
  <c r="AZ125" i="3"/>
  <c r="BL426" i="3"/>
  <c r="BA428" i="3"/>
  <c r="BA429" i="3"/>
  <c r="AZ429" i="3" s="1"/>
  <c r="BA430" i="3"/>
  <c r="BA432" i="3"/>
  <c r="AZ432" i="3" s="1"/>
  <c r="BA434" i="3"/>
  <c r="AZ434" i="3" s="1"/>
  <c r="BA436" i="3"/>
  <c r="AZ436" i="3" s="1"/>
  <c r="BA438" i="3"/>
  <c r="G442" i="3"/>
  <c r="G443" i="3"/>
  <c r="BA446" i="3"/>
  <c r="BA450" i="3"/>
  <c r="BA453" i="3"/>
  <c r="AZ453" i="3" s="1"/>
  <c r="BA455" i="3"/>
  <c r="AZ455" i="3" s="1"/>
  <c r="BL457" i="3"/>
  <c r="BL460" i="3"/>
  <c r="BL461" i="3"/>
  <c r="BL463" i="3"/>
  <c r="G465" i="3"/>
  <c r="BA471" i="3"/>
  <c r="G486" i="3"/>
  <c r="G488" i="3"/>
  <c r="BL317" i="3"/>
  <c r="G318" i="3"/>
  <c r="BA349" i="3"/>
  <c r="BA353" i="3"/>
  <c r="BL353" i="3"/>
  <c r="BA358" i="3"/>
  <c r="AZ358" i="3" s="1"/>
  <c r="BL365" i="3"/>
  <c r="BA368" i="3"/>
  <c r="BL368" i="3"/>
  <c r="BA374" i="3"/>
  <c r="BA388" i="3"/>
  <c r="AZ388" i="3" s="1"/>
  <c r="BA396" i="3"/>
  <c r="BA209" i="3"/>
  <c r="BL217" i="3"/>
  <c r="AZ217" i="3" s="1"/>
  <c r="BA219" i="3"/>
  <c r="AZ219" i="3" s="1"/>
  <c r="BA221" i="3"/>
  <c r="AZ221" i="3" s="1"/>
  <c r="BA223" i="3"/>
  <c r="AZ223" i="3" s="1"/>
  <c r="BL228" i="3"/>
  <c r="BA230" i="3"/>
  <c r="AZ230" i="3" s="1"/>
  <c r="BL232" i="3"/>
  <c r="BL234" i="3"/>
  <c r="BA236" i="3"/>
  <c r="BA238" i="3"/>
  <c r="AZ238" i="3" s="1"/>
  <c r="BA243" i="3"/>
  <c r="BL248" i="3"/>
  <c r="AZ248" i="3" s="1"/>
  <c r="G250" i="3"/>
  <c r="BL250" i="3"/>
  <c r="AZ250" i="3" s="1"/>
  <c r="G252" i="3"/>
  <c r="BA270" i="3"/>
  <c r="AZ270" i="3" s="1"/>
  <c r="BA271" i="3"/>
  <c r="BL271" i="3"/>
  <c r="BL289" i="3"/>
  <c r="G290" i="3"/>
  <c r="BL292" i="3"/>
  <c r="BL177" i="3"/>
  <c r="AZ177" i="3" s="1"/>
  <c r="BL183" i="3"/>
  <c r="AZ183" i="3" s="1"/>
  <c r="BA186" i="3"/>
  <c r="AZ186" i="3" s="1"/>
  <c r="BA190" i="3"/>
  <c r="AZ190" i="3" s="1"/>
  <c r="BA197" i="3"/>
  <c r="AZ197" i="3" s="1"/>
  <c r="BL201" i="3"/>
  <c r="AZ201" i="3" s="1"/>
  <c r="BA37" i="3"/>
  <c r="G39" i="3"/>
  <c r="BL39" i="3"/>
  <c r="AZ39" i="3" s="1"/>
  <c r="BA45" i="3"/>
  <c r="AZ45" i="3" s="1"/>
  <c r="BA46" i="3"/>
  <c r="BL49" i="3"/>
  <c r="BL50" i="3"/>
  <c r="AZ50" i="3" s="1"/>
  <c r="BL51" i="3"/>
  <c r="G53" i="3"/>
  <c r="BL53" i="3"/>
  <c r="AZ53" i="3" s="1"/>
  <c r="BA56" i="3"/>
  <c r="AZ56" i="3" s="1"/>
  <c r="BA57" i="3"/>
  <c r="AZ57" i="3" s="1"/>
  <c r="BL58" i="3"/>
  <c r="BA60" i="3"/>
  <c r="BA63" i="3"/>
  <c r="AZ63" i="3" s="1"/>
  <c r="BA66" i="3"/>
  <c r="AZ66" i="3" s="1"/>
  <c r="BA71" i="3"/>
  <c r="AZ71" i="3" s="1"/>
  <c r="C52" i="71"/>
  <c r="D51" i="71"/>
  <c r="F66" i="71"/>
  <c r="Q66" i="71" s="1"/>
  <c r="Q67" i="71"/>
  <c r="X25" i="71"/>
  <c r="V24" i="71"/>
  <c r="E23" i="71"/>
  <c r="E22" i="71" s="1"/>
  <c r="E21" i="71" s="1"/>
  <c r="E20" i="71" s="1"/>
  <c r="E19" i="71" s="1"/>
  <c r="E18" i="71" s="1"/>
  <c r="E17" i="71" s="1"/>
  <c r="E16" i="71" s="1"/>
  <c r="AA3" i="71"/>
  <c r="BA298" i="3"/>
  <c r="AZ298" i="3" s="1"/>
  <c r="BL301" i="3"/>
  <c r="BL302" i="3"/>
  <c r="BA114" i="3"/>
  <c r="BL123" i="3"/>
  <c r="BA128" i="3"/>
  <c r="AZ128" i="3" s="1"/>
  <c r="BL134" i="3"/>
  <c r="BL137" i="3"/>
  <c r="BA146" i="3"/>
  <c r="AZ146" i="3" s="1"/>
  <c r="BA150" i="3"/>
  <c r="AZ150" i="3" s="1"/>
  <c r="G159" i="3"/>
  <c r="BL167" i="3"/>
  <c r="AZ167" i="3" s="1"/>
  <c r="G175" i="3"/>
  <c r="G176" i="3"/>
  <c r="BL178" i="3"/>
  <c r="AZ178" i="3" s="1"/>
  <c r="BA180" i="3"/>
  <c r="AZ180" i="3" s="1"/>
  <c r="BL182" i="3"/>
  <c r="G183" i="3"/>
  <c r="BA185" i="3"/>
  <c r="AZ185" i="3" s="1"/>
  <c r="BL191" i="3"/>
  <c r="G192" i="3"/>
  <c r="BA193" i="3"/>
  <c r="BA196" i="3"/>
  <c r="AZ196" i="3" s="1"/>
  <c r="G203" i="3"/>
  <c r="BA205" i="3"/>
  <c r="AZ205" i="3" s="1"/>
  <c r="BL20" i="3"/>
  <c r="BA21" i="3"/>
  <c r="AZ21" i="3" s="1"/>
  <c r="BA25" i="3"/>
  <c r="BL28" i="3"/>
  <c r="BA29" i="3"/>
  <c r="AZ29" i="3" s="1"/>
  <c r="AZ38" i="3"/>
  <c r="AZ52" i="3"/>
  <c r="BL75" i="3"/>
  <c r="AZ108" i="3"/>
  <c r="F40" i="69"/>
  <c r="C40" i="69"/>
  <c r="P65" i="71"/>
  <c r="P66" i="71"/>
  <c r="C47" i="71"/>
  <c r="D47" i="71" s="1"/>
  <c r="D46" i="71"/>
  <c r="C67" i="71"/>
  <c r="T68" i="71"/>
  <c r="O68" i="71"/>
  <c r="T76" i="71"/>
  <c r="D76" i="71"/>
  <c r="C75" i="71"/>
  <c r="Y27" i="71"/>
  <c r="Z27" i="71" s="1"/>
  <c r="Y26" i="71"/>
  <c r="Z26" i="71" s="1"/>
  <c r="BL285" i="3"/>
  <c r="BL287" i="3"/>
  <c r="BA290" i="3"/>
  <c r="AZ290" i="3" s="1"/>
  <c r="BL299" i="3"/>
  <c r="BL113" i="3"/>
  <c r="BL115" i="3"/>
  <c r="AZ115" i="3" s="1"/>
  <c r="BA118" i="3"/>
  <c r="AZ118" i="3" s="1"/>
  <c r="BL118" i="3"/>
  <c r="BA122" i="3"/>
  <c r="AZ122" i="3" s="1"/>
  <c r="BL125" i="3"/>
  <c r="BL126" i="3"/>
  <c r="AZ126" i="3" s="1"/>
  <c r="BA144" i="3"/>
  <c r="AZ144" i="3" s="1"/>
  <c r="BA153" i="3"/>
  <c r="BL155" i="3"/>
  <c r="BA202" i="3"/>
  <c r="BL207" i="3"/>
  <c r="BL18" i="3"/>
  <c r="BL19" i="3"/>
  <c r="BA20" i="3"/>
  <c r="AZ20" i="3" s="1"/>
  <c r="BL25" i="3"/>
  <c r="BL27" i="3"/>
  <c r="BA28" i="3"/>
  <c r="AZ28" i="3" s="1"/>
  <c r="BA31" i="3"/>
  <c r="AZ31" i="3" s="1"/>
  <c r="BA32" i="3"/>
  <c r="G38" i="3"/>
  <c r="BA38" i="3"/>
  <c r="BA41" i="3"/>
  <c r="AZ41" i="3" s="1"/>
  <c r="BA42" i="3"/>
  <c r="G47" i="3"/>
  <c r="BL48" i="3"/>
  <c r="AZ48" i="3" s="1"/>
  <c r="BL54" i="3"/>
  <c r="AZ54" i="3" s="1"/>
  <c r="BL55" i="3"/>
  <c r="AZ55" i="3" s="1"/>
  <c r="G58" i="3"/>
  <c r="BA59" i="3"/>
  <c r="AZ59" i="3" s="1"/>
  <c r="BL61" i="3"/>
  <c r="G64" i="3"/>
  <c r="BA64" i="3"/>
  <c r="AZ64" i="3" s="1"/>
  <c r="G67" i="3"/>
  <c r="BL68" i="3"/>
  <c r="BA69" i="3"/>
  <c r="AZ69" i="3" s="1"/>
  <c r="G72" i="3"/>
  <c r="BL73" i="3"/>
  <c r="BA74" i="3"/>
  <c r="AZ74" i="3" s="1"/>
  <c r="BA75" i="3"/>
  <c r="AZ75" i="3" s="1"/>
  <c r="BA80" i="3"/>
  <c r="BL84" i="3"/>
  <c r="BA97" i="3"/>
  <c r="AZ97" i="3" s="1"/>
  <c r="AB21" i="37"/>
  <c r="U21" i="37"/>
  <c r="D68"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A244" i="3"/>
  <c r="BL244" i="3"/>
  <c r="BA246" i="3"/>
  <c r="BA252" i="3"/>
  <c r="AZ252" i="3" s="1"/>
  <c r="BA254" i="3"/>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BA68" i="3"/>
  <c r="AZ68" i="3" s="1"/>
  <c r="BA73" i="3"/>
  <c r="BA84" i="3"/>
  <c r="W21" i="21"/>
  <c r="AC25" i="40"/>
  <c r="C32" i="71"/>
  <c r="C86" i="71"/>
  <c r="D86" i="71" s="1"/>
  <c r="D87" i="71"/>
  <c r="C36" i="71"/>
  <c r="D35" i="71"/>
  <c r="AB32" i="71"/>
  <c r="Y35" i="71"/>
  <c r="Z35" i="71" s="1"/>
  <c r="S80" i="71"/>
  <c r="B79" i="71"/>
  <c r="B78" i="71" s="1"/>
  <c r="BA89" i="3"/>
  <c r="G99" i="3"/>
  <c r="G103" i="3"/>
  <c r="BA103" i="3"/>
  <c r="AZ103" i="3" s="1"/>
  <c r="BA104" i="3"/>
  <c r="BA106" i="3"/>
  <c r="BL108" i="3"/>
  <c r="G110" i="3"/>
  <c r="BL111" i="3"/>
  <c r="AA27" i="71"/>
  <c r="S28" i="71"/>
  <c r="C83" i="71"/>
  <c r="C79" i="71"/>
  <c r="C71" i="71"/>
  <c r="C39" i="71"/>
  <c r="Y28" i="71"/>
  <c r="Z28" i="71" s="1"/>
  <c r="Y30" i="71"/>
  <c r="Z30" i="71" s="1"/>
  <c r="X28" i="71"/>
  <c r="X32" i="71"/>
  <c r="AB38" i="71"/>
  <c r="F75" i="71"/>
  <c r="F74" i="71" s="1"/>
  <c r="BL88" i="3"/>
  <c r="AZ88" i="3" s="1"/>
  <c r="BL90" i="3"/>
  <c r="BL92" i="3"/>
  <c r="BA101" i="3"/>
  <c r="AZ101" i="3" s="1"/>
  <c r="BL112" i="3"/>
  <c r="S21" i="34"/>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V20" i="71"/>
  <c r="S29" i="21"/>
  <c r="AB44" i="34"/>
  <c r="S39" i="34"/>
  <c r="AZ382" i="3"/>
  <c r="AZ321" i="3"/>
  <c r="AZ343" i="3"/>
  <c r="AZ517" i="3"/>
  <c r="AZ562" i="3"/>
  <c r="AZ578" i="3"/>
  <c r="AC13" i="36"/>
  <c r="W13" i="36"/>
  <c r="S15" i="34"/>
  <c r="AB33" i="35"/>
  <c r="U33" i="35"/>
  <c r="AZ545" i="3"/>
  <c r="AZ555" i="3"/>
  <c r="AZ581" i="3"/>
  <c r="AB33" i="37"/>
  <c r="U33" i="37"/>
  <c r="AC19" i="37"/>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9" i="3"/>
  <c r="AZ452" i="3"/>
  <c r="AZ456" i="3"/>
  <c r="AZ467" i="3"/>
  <c r="AZ470" i="3"/>
  <c r="W35" i="39"/>
  <c r="F27" i="34"/>
  <c r="C21" i="39"/>
  <c r="U9" i="36"/>
  <c r="U14" i="37"/>
  <c r="H12" i="21"/>
  <c r="G526" i="3"/>
  <c r="AZ424" i="3"/>
  <c r="AZ438" i="3"/>
  <c r="AZ446" i="3"/>
  <c r="AZ450" i="3"/>
  <c r="G28" i="6"/>
  <c r="E28" i="6" s="1"/>
  <c r="K14" i="1" s="1"/>
  <c r="U26" i="21"/>
  <c r="W36" i="39"/>
  <c r="U23" i="40"/>
  <c r="AA39" i="37"/>
  <c r="AC16" i="36"/>
  <c r="C27" i="39"/>
  <c r="U40" i="40"/>
  <c r="AC9" i="40"/>
  <c r="W36" i="35"/>
  <c r="J12" i="21"/>
  <c r="B73" i="43"/>
  <c r="B76" i="43"/>
  <c r="F9" i="36"/>
  <c r="J40" i="40"/>
  <c r="G562" i="3"/>
  <c r="AZ426" i="3"/>
  <c r="AZ463" i="3"/>
  <c r="AZ489" i="3"/>
  <c r="AZ385" i="3"/>
  <c r="AZ212" i="3"/>
  <c r="AZ255" i="3"/>
  <c r="AZ276"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5"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AZ279" i="3" s="1"/>
  <c r="BL281" i="3"/>
  <c r="AZ281" i="3" s="1"/>
  <c r="BA285" i="3"/>
  <c r="AZ285" i="3" s="1"/>
  <c r="BA287" i="3"/>
  <c r="AZ134" i="3"/>
  <c r="AZ207" i="3"/>
  <c r="BA289" i="3"/>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BL36" i="3"/>
  <c r="AZ36" i="3" s="1"/>
  <c r="AZ40"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D36" i="71"/>
  <c r="T36" i="71"/>
  <c r="G77" i="3"/>
  <c r="BA81" i="3"/>
  <c r="AZ81" i="3" s="1"/>
  <c r="BA85" i="3"/>
  <c r="AZ85" i="3" s="1"/>
  <c r="BL89" i="3"/>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W8" i="21"/>
  <c r="S8" i="21"/>
  <c r="AA11" i="21"/>
  <c r="AC11" i="21"/>
  <c r="AB11" i="21"/>
  <c r="C30" i="69"/>
  <c r="F53" i="9"/>
  <c r="C5" i="11"/>
  <c r="C4" i="12"/>
  <c r="E14" i="6"/>
  <c r="E63" i="39" s="1"/>
  <c r="I4" i="6"/>
  <c r="G3" i="43" s="1"/>
  <c r="J26" i="43" s="1"/>
  <c r="L19" i="6"/>
  <c r="L27" i="6" s="1"/>
  <c r="T13" i="1"/>
  <c r="C58" i="21"/>
  <c r="D58" i="21"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D103" i="9"/>
  <c r="G20" i="9"/>
  <c r="C103" i="9"/>
  <c r="B13" i="70"/>
  <c r="C36" i="68"/>
  <c r="D9" i="69"/>
  <c r="D9" i="68"/>
  <c r="F7" i="67"/>
  <c r="L48" i="15"/>
  <c r="D7" i="73"/>
  <c r="F43" i="67"/>
  <c r="D4" i="73"/>
  <c r="F6" i="67"/>
  <c r="M6" i="15"/>
  <c r="F36" i="67"/>
  <c r="M6" i="67"/>
  <c r="F40" i="15"/>
  <c r="M24" i="15"/>
  <c r="M29" i="67"/>
  <c r="J15" i="67"/>
  <c r="F9" i="15"/>
  <c r="M26" i="15"/>
  <c r="F42" i="15"/>
  <c r="F26" i="67"/>
  <c r="M22" i="15"/>
  <c r="F13" i="67"/>
  <c r="F37" i="15"/>
  <c r="M28" i="15"/>
  <c r="M9" i="67"/>
  <c r="F6" i="15"/>
  <c r="M23" i="67"/>
  <c r="C76" i="15"/>
  <c r="F37" i="67"/>
  <c r="M22" i="67"/>
  <c r="M9" i="15"/>
  <c r="D3" i="73"/>
  <c r="C76" i="67"/>
  <c r="M23" i="15"/>
  <c r="F38" i="15"/>
  <c r="L47" i="67"/>
  <c r="M26" i="67"/>
  <c r="F43" i="15"/>
  <c r="F26" i="15"/>
  <c r="M28" i="67"/>
  <c r="F7" i="15"/>
  <c r="F8" i="67"/>
  <c r="F13" i="15"/>
  <c r="F38" i="67"/>
  <c r="F42" i="67"/>
  <c r="D5" i="73"/>
  <c r="L47" i="15"/>
  <c r="M8" i="15"/>
  <c r="F36" i="15"/>
  <c r="M8" i="67"/>
  <c r="F16" i="67"/>
  <c r="F8" i="15"/>
  <c r="M29" i="15"/>
  <c r="M24" i="67"/>
  <c r="F40" i="67"/>
  <c r="F9" i="67"/>
  <c r="L48" i="67"/>
  <c r="F16" i="15"/>
  <c r="J15" i="15"/>
  <c r="E26" i="43" l="1"/>
  <c r="C30" i="11"/>
  <c r="C48" i="69"/>
  <c r="M6" i="1"/>
  <c r="O6" i="1" s="1"/>
  <c r="F26" i="43"/>
  <c r="F30" i="6"/>
  <c r="N94" i="46"/>
  <c r="H26" i="43"/>
  <c r="N370" i="46"/>
  <c r="J53" i="15"/>
  <c r="L56" i="15" s="1"/>
  <c r="J57" i="15"/>
  <c r="J55" i="15" s="1"/>
  <c r="J58" i="15" s="1"/>
  <c r="Q50" i="15" s="1"/>
  <c r="I54" i="15"/>
  <c r="Q71" i="15"/>
  <c r="F65" i="15"/>
  <c r="F64" i="15"/>
  <c r="F51" i="67"/>
  <c r="M7" i="67"/>
  <c r="J6" i="67" s="1"/>
  <c r="J18" i="67" s="1"/>
  <c r="F50" i="67"/>
  <c r="Q71" i="67"/>
  <c r="J57" i="67"/>
  <c r="J55" i="67" s="1"/>
  <c r="J58" i="67" s="1"/>
  <c r="Q50" i="67" s="1"/>
  <c r="L56" i="67"/>
  <c r="J53" i="67"/>
  <c r="Q52" i="67" s="1"/>
  <c r="I54" i="67"/>
  <c r="C6" i="67"/>
  <c r="C32" i="67" s="1"/>
  <c r="F71" i="67"/>
  <c r="F66" i="67"/>
  <c r="C27" i="67"/>
  <c r="F64" i="67"/>
  <c r="N59" i="67"/>
  <c r="L59" i="67"/>
  <c r="Q61" i="67" s="1"/>
  <c r="M59" i="67"/>
  <c r="L58" i="67"/>
  <c r="Q60" i="67" s="1"/>
  <c r="F68" i="67"/>
  <c r="F65" i="67"/>
  <c r="H16" i="1"/>
  <c r="E59" i="40"/>
  <c r="G26" i="43"/>
  <c r="K16" i="1"/>
  <c r="G30" i="6"/>
  <c r="G31" i="6" s="1"/>
  <c r="Q16" i="1"/>
  <c r="F27" i="69" s="1"/>
  <c r="F45" i="69" s="1"/>
  <c r="L58" i="15"/>
  <c r="Q60" i="15" s="1"/>
  <c r="M59" i="15"/>
  <c r="L59" i="15"/>
  <c r="Q61" i="15" s="1"/>
  <c r="N59" i="15"/>
  <c r="C27" i="15"/>
  <c r="F31" i="15"/>
  <c r="M7" i="15"/>
  <c r="J6" i="15" s="1"/>
  <c r="J18" i="15" s="1"/>
  <c r="F50" i="15"/>
  <c r="F66" i="15"/>
  <c r="C6" i="15"/>
  <c r="C32" i="15" s="1"/>
  <c r="F51" i="15"/>
  <c r="F68" i="15"/>
  <c r="F71" i="15"/>
  <c r="AA25" i="37"/>
  <c r="S25" i="37"/>
  <c r="AA14" i="40"/>
  <c r="S14" i="40"/>
  <c r="AC39" i="37"/>
  <c r="W39" i="37"/>
  <c r="W27" i="21"/>
  <c r="AC27" i="21"/>
  <c r="D121" i="9"/>
  <c r="D7" i="52" s="1"/>
  <c r="D6" i="52"/>
  <c r="G5" i="3"/>
  <c r="B3" i="3" s="1"/>
  <c r="AZ215" i="3"/>
  <c r="AZ317" i="3"/>
  <c r="D83" i="71"/>
  <c r="C82" i="71"/>
  <c r="D82" i="71" s="1"/>
  <c r="T32" i="71"/>
  <c r="D32" i="71"/>
  <c r="AZ61" i="3"/>
  <c r="AZ302" i="3"/>
  <c r="AZ277" i="3"/>
  <c r="AZ256" i="3"/>
  <c r="C56" i="71"/>
  <c r="D55" i="71"/>
  <c r="D75" i="71"/>
  <c r="C74" i="71"/>
  <c r="D74" i="71" s="1"/>
  <c r="AZ243" i="3"/>
  <c r="AZ368" i="3"/>
  <c r="AZ353" i="3"/>
  <c r="AZ428" i="3"/>
  <c r="AZ294" i="3"/>
  <c r="AZ249" i="3"/>
  <c r="S14" i="37"/>
  <c r="AA14" i="37"/>
  <c r="S34" i="36"/>
  <c r="AA34" i="36"/>
  <c r="U25" i="37"/>
  <c r="AB25" i="37"/>
  <c r="AC9" i="34"/>
  <c r="W9" i="34"/>
  <c r="D79" i="71"/>
  <c r="C78" i="71"/>
  <c r="D78" i="71" s="1"/>
  <c r="D23" i="71"/>
  <c r="C22" i="71"/>
  <c r="W12" i="35"/>
  <c r="AC12" i="35"/>
  <c r="AA24" i="35"/>
  <c r="S24" i="35"/>
  <c r="K120" i="9"/>
  <c r="A18" i="62" s="1"/>
  <c r="B64" i="72" s="1"/>
  <c r="J7" i="36"/>
  <c r="P6" i="1"/>
  <c r="C13" i="12" s="1"/>
  <c r="AC34" i="36"/>
  <c r="AZ107" i="3"/>
  <c r="AZ89" i="3"/>
  <c r="AZ165" i="3"/>
  <c r="AZ289" i="3"/>
  <c r="AZ266" i="3"/>
  <c r="AZ246" i="3"/>
  <c r="AZ481" i="3"/>
  <c r="AZ268" i="3"/>
  <c r="AZ213" i="3"/>
  <c r="C40" i="71"/>
  <c r="D39" i="71"/>
  <c r="AZ84" i="3"/>
  <c r="AZ130" i="3"/>
  <c r="AZ254" i="3"/>
  <c r="AZ244" i="3"/>
  <c r="C26" i="71"/>
  <c r="D26" i="71" s="1"/>
  <c r="D27" i="71"/>
  <c r="AZ27" i="3"/>
  <c r="D67" i="71"/>
  <c r="C66" i="71"/>
  <c r="O67" i="71"/>
  <c r="T52" i="71"/>
  <c r="D52" i="71"/>
  <c r="AZ491" i="3"/>
  <c r="AZ459" i="3"/>
  <c r="AC44" i="39"/>
  <c r="W44" i="39"/>
  <c r="AZ464" i="3"/>
  <c r="S36" i="39"/>
  <c r="AA36" i="39"/>
  <c r="U12" i="34"/>
  <c r="AB12" i="34"/>
  <c r="AZ202" i="3"/>
  <c r="AZ287" i="3"/>
  <c r="AZ209" i="3"/>
  <c r="AZ475" i="3"/>
  <c r="AZ234" i="3"/>
  <c r="C70" i="71"/>
  <c r="D70" i="71" s="1"/>
  <c r="D71" i="71"/>
  <c r="AZ19" i="3"/>
  <c r="B19" i="71"/>
  <c r="B18" i="71" s="1"/>
  <c r="B17" i="71" s="1"/>
  <c r="B16" i="71" s="1"/>
  <c r="S20" i="71"/>
  <c r="AZ25" i="3"/>
  <c r="AZ271" i="3"/>
  <c r="AZ471" i="3"/>
  <c r="AZ430" i="3"/>
  <c r="AZ273" i="3"/>
  <c r="AZ457" i="3"/>
  <c r="AZ418" i="3"/>
  <c r="AZ411" i="3"/>
  <c r="U9" i="34"/>
  <c r="AB9" i="34"/>
  <c r="AB39" i="37"/>
  <c r="U39" i="37"/>
  <c r="W12" i="34"/>
  <c r="AC12" i="34"/>
  <c r="AB36" i="39"/>
  <c r="U36" i="39"/>
  <c r="AA27" i="21"/>
  <c r="S27" i="21"/>
  <c r="G16" i="1"/>
  <c r="F10" i="39" s="1"/>
  <c r="S10" i="39" s="1"/>
  <c r="J7" i="37"/>
  <c r="K1" i="73"/>
  <c r="E144" i="3"/>
  <c r="E482" i="3"/>
  <c r="E197" i="3"/>
  <c r="E243" i="3"/>
  <c r="E116" i="3"/>
  <c r="E25" i="3"/>
  <c r="E339" i="3"/>
  <c r="E165" i="3"/>
  <c r="E416" i="3"/>
  <c r="E373" i="3"/>
  <c r="E307" i="3"/>
  <c r="E54" i="3"/>
  <c r="E272" i="3"/>
  <c r="E338" i="3"/>
  <c r="E159" i="3"/>
  <c r="E262" i="3"/>
  <c r="E496" i="3"/>
  <c r="E236" i="3"/>
  <c r="E404" i="3"/>
  <c r="E553" i="3"/>
  <c r="E559" i="3"/>
  <c r="E260" i="3"/>
  <c r="E583" i="3"/>
  <c r="E573" i="3"/>
  <c r="E279" i="3"/>
  <c r="E478" i="3"/>
  <c r="E210" i="3"/>
  <c r="E555" i="3"/>
  <c r="E231" i="3"/>
  <c r="E134" i="3"/>
  <c r="E545" i="3"/>
  <c r="E587" i="3"/>
  <c r="E315" i="3"/>
  <c r="Z6" i="3"/>
  <c r="E28" i="3"/>
  <c r="E217" i="3"/>
  <c r="E247" i="3"/>
  <c r="E335" i="3"/>
  <c r="E445" i="3"/>
  <c r="E535" i="3"/>
  <c r="E385" i="3"/>
  <c r="E246" i="3"/>
  <c r="E296" i="3"/>
  <c r="E27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D65" i="40"/>
  <c r="E63" i="40"/>
  <c r="F48" i="35"/>
  <c r="S7" i="36"/>
  <c r="AC7" i="37"/>
  <c r="W7" i="37"/>
  <c r="AB7" i="36"/>
  <c r="T36" i="36" s="1"/>
  <c r="G36" i="36" s="1"/>
  <c r="U7" i="36"/>
  <c r="E58" i="21"/>
  <c r="AC7" i="36"/>
  <c r="V36" i="36" s="1"/>
  <c r="I36" i="36" s="1"/>
  <c r="W7" i="36"/>
  <c r="F7" i="37"/>
  <c r="M17" i="67"/>
  <c r="M17" i="15"/>
  <c r="P28" i="43"/>
  <c r="B66" i="40" s="1"/>
  <c r="P25" i="43"/>
  <c r="P29" i="43"/>
  <c r="P27" i="43"/>
  <c r="B70" i="39" s="1"/>
  <c r="C32" i="9"/>
  <c r="M11" i="67"/>
  <c r="J10" i="67" s="1"/>
  <c r="F11" i="15"/>
  <c r="M11" i="15"/>
  <c r="J10" i="15" s="1"/>
  <c r="F11" i="67"/>
  <c r="AE11" i="1"/>
  <c r="AE9" i="1"/>
  <c r="AE7" i="1"/>
  <c r="AE8" i="1"/>
  <c r="AE12" i="1"/>
  <c r="AE10" i="1"/>
  <c r="G1" i="73"/>
  <c r="C16" i="67"/>
  <c r="C16" i="15"/>
  <c r="F41" i="67"/>
  <c r="C49" i="67" l="1"/>
  <c r="D26" i="43"/>
  <c r="C25" i="43" s="1"/>
  <c r="Q73" i="67"/>
  <c r="Q74" i="67"/>
  <c r="F1" i="67"/>
  <c r="Q52" i="15"/>
  <c r="C29" i="69"/>
  <c r="D27" i="69" s="1"/>
  <c r="C47" i="69"/>
  <c r="D45" i="69" s="1"/>
  <c r="J10" i="40"/>
  <c r="AC10" i="40" s="1"/>
  <c r="F1" i="15"/>
  <c r="E510" i="3"/>
  <c r="E449" i="3"/>
  <c r="E467" i="3"/>
  <c r="E23" i="3"/>
  <c r="E381"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255" i="3"/>
  <c r="E249" i="3"/>
  <c r="E184" i="3"/>
  <c r="E494" i="3"/>
  <c r="E129" i="3"/>
  <c r="AF6" i="3"/>
  <c r="T6" i="3"/>
  <c r="E452" i="3"/>
  <c r="E356" i="3"/>
  <c r="E80" i="3"/>
  <c r="E493" i="3"/>
  <c r="E376" i="3"/>
  <c r="E226" i="3"/>
  <c r="E455" i="3"/>
  <c r="E325" i="3"/>
  <c r="E20" i="3"/>
  <c r="E398" i="3"/>
  <c r="E386" i="3"/>
  <c r="E110" i="3"/>
  <c r="E582" i="3"/>
  <c r="E542" i="3"/>
  <c r="E195" i="3"/>
  <c r="E122" i="3"/>
  <c r="E529" i="3"/>
  <c r="E357" i="3"/>
  <c r="E432" i="3"/>
  <c r="E291" i="3"/>
  <c r="E359" i="3"/>
  <c r="E169" i="3"/>
  <c r="E17" i="3"/>
  <c r="E402" i="3"/>
  <c r="E156" i="3"/>
  <c r="E120" i="3"/>
  <c r="E424" i="3"/>
  <c r="E55" i="3"/>
  <c r="E394" i="3"/>
  <c r="E164" i="3"/>
  <c r="E443" i="3"/>
  <c r="E88" i="3"/>
  <c r="E30" i="3"/>
  <c r="E282" i="3"/>
  <c r="E396" i="3"/>
  <c r="V6" i="3"/>
  <c r="E130" i="3"/>
  <c r="E550" i="3"/>
  <c r="E578" i="3"/>
  <c r="E253" i="3"/>
  <c r="E99" i="3"/>
  <c r="E527" i="3"/>
  <c r="E433" i="3"/>
  <c r="E351" i="3"/>
  <c r="E271" i="3"/>
  <c r="E414" i="3"/>
  <c r="E447" i="3"/>
  <c r="E384" i="3"/>
  <c r="E343" i="3"/>
  <c r="E410" i="3"/>
  <c r="E561" i="3"/>
  <c r="E216" i="3"/>
  <c r="E361" i="3"/>
  <c r="E350" i="3"/>
  <c r="E347" i="3"/>
  <c r="AK6" i="3"/>
  <c r="E472" i="3"/>
  <c r="E577" i="3"/>
  <c r="E146" i="3"/>
  <c r="E362" i="3"/>
  <c r="E89" i="3"/>
  <c r="AO6" i="3"/>
  <c r="E557" i="3"/>
  <c r="E70" i="3"/>
  <c r="E377" i="3"/>
  <c r="E526" i="3"/>
  <c r="E509" i="3"/>
  <c r="E201" i="3"/>
  <c r="M6" i="3"/>
  <c r="E215" i="3"/>
  <c r="E563" i="3"/>
  <c r="E161" i="3"/>
  <c r="E423" i="3"/>
  <c r="X6" i="3"/>
  <c r="E119" i="3"/>
  <c r="E242" i="3"/>
  <c r="E219" i="3"/>
  <c r="E94" i="3"/>
  <c r="E369" i="3"/>
  <c r="E139" i="3"/>
  <c r="E241" i="3"/>
  <c r="E371" i="3"/>
  <c r="E68" i="3"/>
  <c r="E332" i="3"/>
  <c r="E174" i="3"/>
  <c r="E308" i="3"/>
  <c r="E469" i="3"/>
  <c r="E470" i="3"/>
  <c r="E190" i="3"/>
  <c r="E83" i="3"/>
  <c r="E564" i="3"/>
  <c r="E419" i="3"/>
  <c r="E333" i="3"/>
  <c r="E79" i="3"/>
  <c r="E36" i="3"/>
  <c r="E218" i="3"/>
  <c r="E566" i="3"/>
  <c r="E222" i="3"/>
  <c r="E209" i="3"/>
  <c r="E436" i="3"/>
  <c r="E462" i="3"/>
  <c r="E167" i="3"/>
  <c r="E461" i="3"/>
  <c r="W6" i="3"/>
  <c r="E397" i="3"/>
  <c r="E367" i="3"/>
  <c r="E53" i="3"/>
  <c r="E390" i="3"/>
  <c r="E237" i="3"/>
  <c r="E221"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77" i="3"/>
  <c r="E406" i="3"/>
  <c r="E468" i="3"/>
  <c r="E171" i="3"/>
  <c r="E74" i="3"/>
  <c r="E204" i="3"/>
  <c r="E485" i="3"/>
  <c r="E531" i="3"/>
  <c r="E182" i="3"/>
  <c r="E572" i="3"/>
  <c r="E268" i="3"/>
  <c r="E579" i="3"/>
  <c r="E311" i="3"/>
  <c r="AB6" i="3"/>
  <c r="E189" i="3"/>
  <c r="E172" i="3"/>
  <c r="E135" i="3"/>
  <c r="AI6" i="3"/>
  <c r="E100" i="3"/>
  <c r="E132" i="3"/>
  <c r="E483" i="3"/>
  <c r="E131" i="3"/>
  <c r="E387" i="3"/>
  <c r="E109" i="3"/>
  <c r="E327" i="3"/>
  <c r="E465" i="3"/>
  <c r="E91" i="3"/>
  <c r="E388" i="3"/>
  <c r="E585" i="3"/>
  <c r="E519" i="3"/>
  <c r="E395" i="3"/>
  <c r="E125" i="3"/>
  <c r="I6" i="3"/>
  <c r="E128" i="3"/>
  <c r="S6" i="3"/>
  <c r="E475" i="3"/>
  <c r="E266" i="3"/>
  <c r="E265" i="3"/>
  <c r="E40" i="3"/>
  <c r="E41" i="3"/>
  <c r="E391" i="3"/>
  <c r="J5" i="15"/>
  <c r="J24" i="15" s="1"/>
  <c r="E142" i="3"/>
  <c r="E487" i="3"/>
  <c r="E148" i="3"/>
  <c r="E263" i="3"/>
  <c r="E278" i="3"/>
  <c r="E570" i="3"/>
  <c r="AJ6" i="3"/>
  <c r="E273" i="3"/>
  <c r="E345" i="3"/>
  <c r="E368" i="3"/>
  <c r="E106" i="3"/>
  <c r="K6" i="3"/>
  <c r="E399" i="3"/>
  <c r="E183" i="3"/>
  <c r="E533" i="3"/>
  <c r="E530" i="3"/>
  <c r="E476" i="3"/>
  <c r="E549" i="3"/>
  <c r="E450" i="3"/>
  <c r="E511" i="3"/>
  <c r="E245" i="3"/>
  <c r="E230" i="3"/>
  <c r="E569" i="3"/>
  <c r="E316" i="3"/>
  <c r="P6" i="3"/>
  <c r="E274" i="3"/>
  <c r="E437" i="3"/>
  <c r="AA6" i="3"/>
  <c r="E213" i="3"/>
  <c r="E426" i="3"/>
  <c r="U6" i="3"/>
  <c r="E532" i="3"/>
  <c r="E179" i="3"/>
  <c r="E323" i="3"/>
  <c r="E65" i="3"/>
  <c r="E289" i="3"/>
  <c r="E540" i="3"/>
  <c r="E490" i="3"/>
  <c r="E35" i="3"/>
  <c r="E556" i="3"/>
  <c r="E251" i="3"/>
  <c r="E283" i="3"/>
  <c r="E64" i="3"/>
  <c r="Q74" i="15"/>
  <c r="E431" i="3"/>
  <c r="E489" i="3"/>
  <c r="E214" i="3"/>
  <c r="E181" i="3"/>
  <c r="E439" i="3"/>
  <c r="E186" i="3"/>
  <c r="E150" i="3"/>
  <c r="E293" i="3"/>
  <c r="E358" i="3"/>
  <c r="E444" i="3"/>
  <c r="AE6" i="3"/>
  <c r="E254" i="3"/>
  <c r="E71" i="3"/>
  <c r="E413" i="3"/>
  <c r="E421" i="3"/>
  <c r="E194" i="3"/>
  <c r="E329" i="3"/>
  <c r="E140" i="3"/>
  <c r="E84" i="3"/>
  <c r="E240" i="3"/>
  <c r="E200" i="3"/>
  <c r="E191" i="3"/>
  <c r="E69" i="3"/>
  <c r="E514" i="3"/>
  <c r="E322" i="3"/>
  <c r="E211" i="3"/>
  <c r="E400" i="3"/>
  <c r="E227" i="3"/>
  <c r="E454" i="3"/>
  <c r="E133" i="3"/>
  <c r="E495" i="3"/>
  <c r="E528" i="3"/>
  <c r="E270" i="3"/>
  <c r="E441" i="3"/>
  <c r="AS6" i="3"/>
  <c r="E567" i="3"/>
  <c r="E562" i="3"/>
  <c r="E314" i="3"/>
  <c r="E61" i="3"/>
  <c r="E320" i="3"/>
  <c r="E516" i="3"/>
  <c r="E295" i="3"/>
  <c r="AG6" i="3"/>
  <c r="E256" i="3"/>
  <c r="Q6" i="3"/>
  <c r="E353" i="3"/>
  <c r="E565" i="3"/>
  <c r="E153" i="3"/>
  <c r="E196" i="3"/>
  <c r="E157" i="3"/>
  <c r="Y6" i="3"/>
  <c r="E354" i="3"/>
  <c r="E348" i="3"/>
  <c r="E147" i="3"/>
  <c r="E372" i="3"/>
  <c r="E507" i="3"/>
  <c r="E342" i="3"/>
  <c r="E512" i="3"/>
  <c r="E86" i="3"/>
  <c r="E264" i="3"/>
  <c r="E292" i="3"/>
  <c r="AY6" i="3"/>
  <c r="AY363" i="3" s="1"/>
  <c r="Q73" i="15"/>
  <c r="H10" i="40"/>
  <c r="AB10" i="40" s="1"/>
  <c r="J10" i="39"/>
  <c r="W10" i="39" s="1"/>
  <c r="AA10" i="39"/>
  <c r="F10" i="40"/>
  <c r="S10" i="40" s="1"/>
  <c r="J5" i="67"/>
  <c r="J24" i="67" s="1"/>
  <c r="H10" i="39"/>
  <c r="U10" i="39" s="1"/>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67" i="3"/>
  <c r="E59" i="3"/>
  <c r="E479" i="3"/>
  <c r="E499"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160" i="3"/>
  <c r="E544" i="3"/>
  <c r="E417" i="3"/>
  <c r="E575" i="3"/>
  <c r="F27" i="68"/>
  <c r="C29" i="68" s="1"/>
  <c r="D27" i="68" s="1"/>
  <c r="F28" i="12"/>
  <c r="C29" i="12" s="1"/>
  <c r="D28" i="12" s="1"/>
  <c r="F27" i="11"/>
  <c r="C29" i="11" s="1"/>
  <c r="D27" i="11" s="1"/>
  <c r="E484" i="3"/>
  <c r="E389" i="3"/>
  <c r="E152" i="3"/>
  <c r="E517" i="3"/>
  <c r="E466" i="3"/>
  <c r="E212" i="3"/>
  <c r="E46" i="3"/>
  <c r="E409" i="3"/>
  <c r="E349" i="3"/>
  <c r="E95" i="3"/>
  <c r="E554" i="3"/>
  <c r="E442" i="3"/>
  <c r="E536" i="3"/>
  <c r="F59" i="15"/>
  <c r="C49" i="15"/>
  <c r="T40" i="71"/>
  <c r="D40" i="71"/>
  <c r="E3" i="6"/>
  <c r="D14" i="12" s="1"/>
  <c r="E258" i="3"/>
  <c r="E37" i="3"/>
  <c r="E491" i="3"/>
  <c r="AP6" i="3"/>
  <c r="E430" i="3"/>
  <c r="E502" i="3"/>
  <c r="E286" i="3"/>
  <c r="E539" i="3"/>
  <c r="D56" i="71"/>
  <c r="T56" i="71"/>
  <c r="R36" i="36"/>
  <c r="E300" i="3"/>
  <c r="E103" i="3"/>
  <c r="E425" i="3"/>
  <c r="E76" i="3"/>
  <c r="E363" i="3"/>
  <c r="E192" i="3"/>
  <c r="E56" i="3"/>
  <c r="E435" i="3"/>
  <c r="I3" i="6"/>
  <c r="E541" i="3"/>
  <c r="R6" i="3"/>
  <c r="E199" i="3"/>
  <c r="O65" i="71"/>
  <c r="D66" i="71"/>
  <c r="O66" i="71"/>
  <c r="C21" i="71"/>
  <c r="D2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228" i="3"/>
  <c r="AY554" i="3"/>
  <c r="AY334" i="3"/>
  <c r="AY527" i="3"/>
  <c r="AY181" i="3"/>
  <c r="AY80" i="3"/>
  <c r="AY369" i="3"/>
  <c r="AY410" i="3"/>
  <c r="AY531" i="3"/>
  <c r="AY280" i="3"/>
  <c r="AY405" i="3"/>
  <c r="AY159" i="3"/>
  <c r="AY459" i="3"/>
  <c r="AY235" i="3"/>
  <c r="AY537" i="3"/>
  <c r="AY482" i="3"/>
  <c r="AY339" i="3"/>
  <c r="AY361" i="3"/>
  <c r="BP6" i="3"/>
  <c r="AY500" i="3"/>
  <c r="AY443" i="3"/>
  <c r="E6" i="6"/>
  <c r="D37" i="11"/>
  <c r="D3" i="34"/>
  <c r="D19" i="11"/>
  <c r="C19" i="11" s="1"/>
  <c r="D3" i="37"/>
  <c r="C39" i="43"/>
  <c r="C42" i="43"/>
  <c r="E42" i="43" s="1"/>
  <c r="C38" i="43"/>
  <c r="AB10" i="39"/>
  <c r="U10" i="40"/>
  <c r="W10" i="40"/>
  <c r="AC10" i="39"/>
  <c r="U7" i="37"/>
  <c r="G67" i="39"/>
  <c r="F69" i="39"/>
  <c r="I53" i="34"/>
  <c r="J53" i="34" s="1"/>
  <c r="F58" i="21"/>
  <c r="R37" i="36"/>
  <c r="E36" i="36"/>
  <c r="F63" i="40"/>
  <c r="E65" i="40"/>
  <c r="AA7" i="37"/>
  <c r="R42" i="37" s="1"/>
  <c r="S7" i="37"/>
  <c r="I40" i="36"/>
  <c r="J40" i="36" s="1"/>
  <c r="G53" i="34"/>
  <c r="H53" i="34" s="1"/>
  <c r="G54" i="34"/>
  <c r="H54" i="34" s="1"/>
  <c r="G40" i="36"/>
  <c r="H40" i="36" s="1"/>
  <c r="G41" i="36"/>
  <c r="H41" i="36" s="1"/>
  <c r="G46" i="37"/>
  <c r="H46" i="37" s="1"/>
  <c r="G47" i="37"/>
  <c r="H47" i="37" s="1"/>
  <c r="I46" i="37"/>
  <c r="J46" i="37" s="1"/>
  <c r="G48" i="35"/>
  <c r="C53" i="67"/>
  <c r="C48" i="67" s="1"/>
  <c r="C10" i="67"/>
  <c r="C5" i="67" s="1"/>
  <c r="C38" i="67" s="1"/>
  <c r="C53" i="15"/>
  <c r="C10" i="15"/>
  <c r="C5" i="15" s="1"/>
  <c r="C38" i="15" s="1"/>
  <c r="C35" i="9"/>
  <c r="M27" i="15"/>
  <c r="M27" i="67"/>
  <c r="F41" i="15"/>
  <c r="AE6" i="1"/>
  <c r="L36" i="43" l="1"/>
  <c r="L37" i="43" s="1"/>
  <c r="P37" i="43" s="1"/>
  <c r="I18" i="81"/>
  <c r="AY386" i="3"/>
  <c r="AY315" i="3"/>
  <c r="AY522" i="3"/>
  <c r="AY113" i="3"/>
  <c r="AY288" i="3"/>
  <c r="AY216" i="3"/>
  <c r="AY399" i="3"/>
  <c r="AY205" i="3"/>
  <c r="AY323" i="3"/>
  <c r="AY27" i="3"/>
  <c r="AY466" i="3"/>
  <c r="AY167" i="3"/>
  <c r="AY509" i="3"/>
  <c r="AY453" i="3"/>
  <c r="AY266" i="3"/>
  <c r="AY519" i="3"/>
  <c r="AY141" i="3"/>
  <c r="AY243" i="3"/>
  <c r="BF6" i="3"/>
  <c r="AY294"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34" i="3"/>
  <c r="AY111" i="3"/>
  <c r="AY196" i="3"/>
  <c r="AY470" i="3"/>
  <c r="AY358" i="3"/>
  <c r="AY541" i="3"/>
  <c r="AY201" i="3"/>
  <c r="AY231" i="3"/>
  <c r="AY104" i="3"/>
  <c r="AY210" i="3"/>
  <c r="AY446" i="3"/>
  <c r="AY510" i="3"/>
  <c r="AY526" i="3"/>
  <c r="AY85" i="3"/>
  <c r="AY211" i="3"/>
  <c r="AY325" i="3"/>
  <c r="AY532" i="3"/>
  <c r="AY489" i="3"/>
  <c r="AY540" i="3"/>
  <c r="AY255" i="3"/>
  <c r="AY258"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44" i="3"/>
  <c r="AY253" i="3"/>
  <c r="AY74" i="3"/>
  <c r="AY409" i="3"/>
  <c r="AY465" i="3"/>
  <c r="AY108" i="3"/>
  <c r="AY138" i="3"/>
  <c r="AY214" i="3"/>
  <c r="AY24" i="3"/>
  <c r="AY349" i="3"/>
  <c r="AY427" i="3"/>
  <c r="AY98" i="3"/>
  <c r="AY390" i="3"/>
  <c r="AY25" i="3"/>
  <c r="BI6" i="3"/>
  <c r="AY464" i="3"/>
  <c r="AY523" i="3"/>
  <c r="AY43" i="3"/>
  <c r="AY69" i="3"/>
  <c r="AY384" i="3"/>
  <c r="AY309"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95" i="3"/>
  <c r="AY382" i="3"/>
  <c r="AY204" i="3"/>
  <c r="AY180" i="3"/>
  <c r="AY433" i="3"/>
  <c r="AY45" i="3"/>
  <c r="AY118" i="3"/>
  <c r="AY381" i="3"/>
  <c r="AY177" i="3"/>
  <c r="AY332" i="3"/>
  <c r="BM6" i="3"/>
  <c r="AY163" i="3"/>
  <c r="AY447" i="3"/>
  <c r="AY157" i="3"/>
  <c r="AY186" i="3"/>
  <c r="AY403" i="3"/>
  <c r="AY82" i="3"/>
  <c r="AY379" i="3"/>
  <c r="AY198" i="3"/>
  <c r="BB6" i="3"/>
  <c r="AY449"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3" i="3"/>
  <c r="AY265" i="3"/>
  <c r="AY402" i="3"/>
  <c r="AY64" i="3"/>
  <c r="AY22" i="3"/>
  <c r="AY140" i="3"/>
  <c r="AY461" i="3"/>
  <c r="AY504" i="3"/>
  <c r="AY213" i="3"/>
  <c r="AY86" i="3"/>
  <c r="AY331" i="3"/>
  <c r="AY35" i="3"/>
  <c r="D3" i="6"/>
  <c r="AY487" i="3"/>
  <c r="AY129" i="3"/>
  <c r="AY584" i="3"/>
  <c r="AY436" i="3"/>
  <c r="AY271" i="3"/>
  <c r="AY488" i="3"/>
  <c r="AY28" i="3"/>
  <c r="AY303" i="3"/>
  <c r="BT6" i="3"/>
  <c r="AY71" i="3"/>
  <c r="AY19" i="3"/>
  <c r="AY479" i="3"/>
  <c r="AY413" i="3"/>
  <c r="AY528" i="3"/>
  <c r="AY110" i="3"/>
  <c r="AY321" i="3"/>
  <c r="AY550" i="3"/>
  <c r="AY273" i="3"/>
  <c r="AY512" i="3"/>
  <c r="AY221" i="3"/>
  <c r="AY94" i="3"/>
  <c r="AY579" i="3"/>
  <c r="AY313" i="3"/>
  <c r="AY189" i="3"/>
  <c r="AY503" i="3"/>
  <c r="AY292" i="3"/>
  <c r="AY574" i="3"/>
  <c r="AY290" i="3"/>
  <c r="BK6" i="3"/>
  <c r="AY152" i="3"/>
  <c r="F25" i="12"/>
  <c r="C26" i="12" s="1"/>
  <c r="D25" i="12" s="1"/>
  <c r="H6" i="3"/>
  <c r="C48" i="15"/>
  <c r="C66" i="15" s="1"/>
  <c r="AA10" i="40"/>
  <c r="C47" i="68"/>
  <c r="D45" i="68" s="1"/>
  <c r="F45" i="68"/>
  <c r="C47" i="11"/>
  <c r="D45" i="11" s="1"/>
  <c r="AC6" i="3"/>
  <c r="C17" i="4"/>
  <c r="B4" i="52" s="1"/>
  <c r="B43" i="72" s="1"/>
  <c r="M18" i="9"/>
  <c r="B118" i="9" s="1"/>
  <c r="B1" i="74" s="1"/>
  <c r="D3" i="21"/>
  <c r="D116" i="43"/>
  <c r="D21" i="71"/>
  <c r="C20" i="71"/>
  <c r="L18" i="9"/>
  <c r="F22" i="68"/>
  <c r="C44" i="68" s="1"/>
  <c r="D41" i="68" s="1"/>
  <c r="F22" i="11"/>
  <c r="C23" i="11" s="1"/>
  <c r="F24" i="67"/>
  <c r="C24" i="67" s="1"/>
  <c r="F24" i="15"/>
  <c r="C24" i="15" s="1"/>
  <c r="F22" i="69"/>
  <c r="F41" i="69" s="1"/>
  <c r="E49" i="34"/>
  <c r="O36" i="43"/>
  <c r="N36" i="43"/>
  <c r="M37" i="43"/>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34" i="9"/>
  <c r="C66" i="67"/>
  <c r="C60" i="67"/>
  <c r="D10" i="69"/>
  <c r="C34" i="69"/>
  <c r="D10" i="68"/>
  <c r="C17" i="15"/>
  <c r="C17" i="67"/>
  <c r="C14" i="67"/>
  <c r="P36" i="43" l="1"/>
  <c r="O37" i="43"/>
  <c r="M36" i="43"/>
  <c r="N37" i="43"/>
  <c r="Q36" i="43"/>
  <c r="C18" i="81"/>
  <c r="E16" i="81" s="1"/>
  <c r="C17" i="81"/>
  <c r="C60" i="15"/>
  <c r="E6" i="3"/>
  <c r="C26" i="11"/>
  <c r="D22" i="11" s="1"/>
  <c r="C44" i="11"/>
  <c r="D41" i="11" s="1"/>
  <c r="C26" i="68"/>
  <c r="D22" i="68" s="1"/>
  <c r="F41" i="68"/>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J8" i="81"/>
  <c r="H58" i="21"/>
  <c r="E47" i="37"/>
  <c r="F47" i="37" s="1"/>
  <c r="E46" i="37"/>
  <c r="F46" i="37" s="1"/>
  <c r="I47" i="37"/>
  <c r="J47" i="37" s="1"/>
  <c r="C33" i="15"/>
  <c r="C33" i="67"/>
  <c r="J19" i="67"/>
  <c r="C34" i="68"/>
  <c r="C14" i="15"/>
  <c r="B6" i="76"/>
  <c r="E6" i="76"/>
  <c r="C16" i="81" l="1"/>
  <c r="C23" i="81"/>
  <c r="C8" i="69"/>
  <c r="C5" i="69" s="1"/>
  <c r="C23" i="69" s="1"/>
  <c r="B29" i="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27" i="81" l="1"/>
  <c r="C7" i="81"/>
  <c r="C28" i="81" s="1"/>
  <c r="C8" i="68"/>
  <c r="C5" i="68" s="1"/>
  <c r="C23" i="68" s="1"/>
  <c r="C18" i="12"/>
  <c r="C21"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4" i="81" l="1"/>
  <c r="C20" i="68"/>
  <c r="C28" i="68" s="1"/>
  <c r="C27" i="68" s="1"/>
  <c r="C22" i="12"/>
  <c r="C30" i="12" s="1"/>
  <c r="C28" i="12" s="1"/>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15"/>
  <c r="F35" i="67"/>
  <c r="C25" i="68" l="1"/>
  <c r="C22" i="68" s="1"/>
  <c r="C31" i="68" s="1"/>
  <c r="C27" i="12"/>
  <c r="C25" i="12" s="1"/>
  <c r="C32" i="12" s="1"/>
  <c r="B2" i="12" s="1"/>
  <c r="B3" i="12" s="1"/>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K65" i="40"/>
  <c r="L63" i="40"/>
  <c r="I42" i="35"/>
  <c r="J42" i="35" s="1"/>
  <c r="B3" i="69" l="1"/>
  <c r="D37" i="81" s="1"/>
  <c r="D38" i="81" s="1"/>
  <c r="C3" i="81"/>
  <c r="J3" i="81" s="1"/>
  <c r="J4" i="8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38" i="81" l="1"/>
  <c r="J9" i="81"/>
  <c r="G37" i="81"/>
  <c r="C4" i="81"/>
  <c r="C30" i="81" s="1"/>
  <c r="C31" i="81" s="1"/>
  <c r="C13" i="7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39" i="81" l="1"/>
  <c r="C40" i="81" s="1"/>
  <c r="E10" i="74"/>
  <c r="B10" i="74" s="1"/>
  <c r="D14" i="74" s="1"/>
  <c r="G14" i="74" s="1"/>
  <c r="J10" i="81"/>
  <c r="E39" i="81"/>
  <c r="E40" i="81" s="1"/>
  <c r="K24" i="81"/>
  <c r="C12" i="71"/>
  <c r="D13" i="71"/>
  <c r="L57" i="67"/>
  <c r="L60" i="67" s="1"/>
  <c r="L46" i="67" s="1"/>
  <c r="D2" i="67" s="1"/>
  <c r="B2" i="67" s="1"/>
  <c r="Q67" i="67"/>
  <c r="Q65" i="67"/>
  <c r="C83" i="67"/>
  <c r="C82" i="67" s="1"/>
  <c r="Q47" i="67"/>
  <c r="Q53" i="67" s="1"/>
  <c r="C46" i="67"/>
  <c r="Q56" i="67"/>
  <c r="C43" i="67"/>
  <c r="C80" i="15"/>
  <c r="C79" i="15" s="1"/>
  <c r="C40" i="15"/>
  <c r="C46" i="15" s="1"/>
  <c r="H7" i="39"/>
  <c r="J7" i="39"/>
  <c r="S7" i="39"/>
  <c r="AA7" i="39"/>
  <c r="R47" i="39" s="1"/>
  <c r="O63" i="40"/>
  <c r="O65" i="40" s="1"/>
  <c r="N65" i="40"/>
  <c r="D2" i="35"/>
  <c r="D2" i="34"/>
  <c r="L51" i="15"/>
  <c r="D2" i="36"/>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6" i="1"/>
  <c r="AO12" i="1"/>
  <c r="AO11"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31268D81-12E8-4CB3-9404-F9419C98D63D}">
      <text>
        <r>
          <rPr>
            <b/>
            <sz val="9"/>
            <color indexed="81"/>
            <rFont val="宋体"/>
            <family val="3"/>
            <charset val="134"/>
          </rPr>
          <t>权重验证</t>
        </r>
        <r>
          <rPr>
            <sz val="9"/>
            <color indexed="81"/>
            <rFont val="宋体"/>
            <family val="3"/>
            <charset val="134"/>
          </rPr>
          <t xml:space="preserve">
</t>
        </r>
      </text>
    </comment>
    <comment ref="C58" authorId="1" shapeId="0" xr:uid="{48FA6F1D-3662-4393-97BF-5A45664B4EB1}">
      <text>
        <r>
          <rPr>
            <b/>
            <sz val="12"/>
            <color indexed="81"/>
            <rFont val="宋体"/>
            <family val="3"/>
            <charset val="134"/>
          </rPr>
          <t>价值时点所在月度</t>
        </r>
        <r>
          <rPr>
            <sz val="12"/>
            <color indexed="81"/>
            <rFont val="宋体"/>
            <family val="3"/>
            <charset val="134"/>
          </rPr>
          <t xml:space="preserve">
</t>
        </r>
      </text>
    </comment>
    <comment ref="B102" authorId="1" shapeId="0" xr:uid="{4DD68E73-50C0-4242-967F-B14B61F42A93}">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E51495A-1588-4911-A9C0-6CB22EC6CF86}">
      <text>
        <r>
          <rPr>
            <b/>
            <sz val="9"/>
            <color indexed="81"/>
            <rFont val="宋体"/>
            <family val="3"/>
            <charset val="134"/>
          </rPr>
          <t>权重验证</t>
        </r>
        <r>
          <rPr>
            <sz val="9"/>
            <color indexed="81"/>
            <rFont val="宋体"/>
            <family val="3"/>
            <charset val="134"/>
          </rPr>
          <t xml:space="preserve">
</t>
        </r>
      </text>
    </comment>
    <comment ref="C58" authorId="1" shapeId="0" xr:uid="{48E6C223-ACE3-43ED-B56E-D8B30FC809D2}">
      <text>
        <r>
          <rPr>
            <b/>
            <sz val="12"/>
            <color indexed="81"/>
            <rFont val="宋体"/>
            <family val="3"/>
            <charset val="134"/>
          </rPr>
          <t>价值时点所在月度</t>
        </r>
        <r>
          <rPr>
            <sz val="12"/>
            <color indexed="81"/>
            <rFont val="宋体"/>
            <family val="3"/>
            <charset val="134"/>
          </rPr>
          <t xml:space="preserve">
</t>
        </r>
      </text>
    </comment>
    <comment ref="B102" authorId="1" shapeId="0" xr:uid="{D66ABB68-E779-4915-9472-FDCFDE28BF9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<sst xmlns="http://schemas.openxmlformats.org/spreadsheetml/2006/main" count="8484" uniqueCount="3596">
  <si>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</si>
  <si>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</si>
  <si>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</si>
  <si>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</si>
  <si>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</si>
  <si>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</si>
  <si>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</si>
  <si>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</si>
  <si>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</si>
  <si>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</si>
  <si>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</si>
  <si>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</si>
  <si>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</si>
  <si>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</si>
  <si>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</si>
  <si>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</si>
  <si>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</si>
  <si>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</si>
  <si>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</si>
  <si>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</si>
  <si>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</si>
  <si>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</si>
  <si>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</si>
  <si>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</si>
  <si>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</si>
  <si>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</si>
  <si>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</si>
  <si>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</si>
  <si>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</si>
  <si>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</si>
  <si>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</si>
  <si>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</si>
  <si>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</si>
  <si>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</si>
  <si>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</si>
  <si>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</si>
  <si>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</si>
  <si>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</si>
  <si>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</si>
  <si>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</si>
  <si>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</si>
  <si>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</si>
  <si>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</si>
  <si>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</si>
  <si>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</si>
  <si>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</si>
  <si>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</si>
  <si>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</si>
  <si>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</si>
  <si>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</si>
  <si>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</si>
  <si>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</si>
  <si>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</si>
  <si>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</si>
  <si>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</si>
  <si>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</si>
  <si>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</si>
  <si>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</si>
  <si>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</si>
  <si>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</si>
  <si>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</si>
  <si>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</si>
  <si>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</si>
  <si>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</si>
  <si>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</si>
  <si>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</si>
  <si>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</si>
  <si>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</si>
  <si>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</si>
  <si>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</si>
  <si>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</si>
  <si>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</si>
  <si>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</si>
  <si>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</si>
  <si>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</si>
  <si>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</si>
  <si>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</si>
  <si>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</si>
  <si>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</si>
  <si>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</si>
  <si>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</si>
  <si>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</si>
  <si>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</si>
  <si>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</si>
  <si>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</si>
  <si>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</si>
  <si>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</si>
  <si>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</si>
  <si>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</si>
  <si>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</si>
  <si>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</si>
  <si>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</si>
  <si>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</si>
  <si>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</si>
  <si>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</si>
  <si>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</si>
  <si>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</si>
  <si>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</si>
  <si>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</si>
  <si>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</si>
  <si>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</si>
  <si>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</si>
  <si>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</si>
  <si>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</si>
  <si>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</si>
  <si>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</si>
  <si>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</si>
  <si>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</si>
  <si>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</si>
  <si>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</si>
  <si>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</si>
  <si>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</si>
  <si>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</si>
  <si>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</si>
  <si>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</si>
  <si>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</si>
  <si>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</si>
  <si>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</si>
  <si>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</si>
  <si>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</si>
  <si>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</si>
  <si>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</si>
  <si>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</si>
  <si>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</si>
  <si>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</si>
  <si>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</si>
  <si>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</si>
  <si>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</si>
  <si>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</si>
  <si>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</si>
  <si>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</si>
  <si>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</si>
  <si>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</si>
  <si>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</si>
  <si>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</si>
  <si>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</si>
  <si>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</si>
  <si>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</si>
  <si>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</si>
  <si>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</si>
  <si>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</si>
  <si>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</si>
  <si>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</si>
  <si>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</si>
  <si>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</si>
  <si>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</si>
  <si>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</si>
  <si>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</si>
  <si>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</si>
  <si>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</si>
  <si>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</si>
  <si>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</si>
  <si>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</si>
  <si>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</si>
  <si>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</si>
  <si>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</si>
  <si>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</si>
  <si>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</si>
  <si>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</si>
  <si>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</si>
  <si>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</si>
  <si>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</si>
  <si>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</si>
  <si>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</si>
  <si>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</si>
  <si>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</si>
  <si>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</si>
  <si>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</si>
  <si>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</si>
  <si>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</si>
  <si>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</si>
  <si>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</si>
  <si>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</si>
  <si>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</si>
  <si>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</si>
  <si>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</si>
  <si>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</si>
  <si>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</si>
  <si>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</si>
  <si>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</si>
  <si>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</si>
  <si>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</si>
  <si>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</si>
  <si>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</si>
  <si>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</si>
  <si>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</si>
  <si>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</si>
  <si>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</si>
  <si>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</si>
  <si>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</si>
  <si>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</si>
  <si>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</si>
  <si>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</si>
  <si>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</si>
  <si>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</si>
  <si>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</si>
  <si>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</si>
  <si>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</si>
  <si>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</si>
  <si>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</si>
  <si>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</si>
  <si>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</si>
  <si>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</si>
  <si>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</si>
  <si>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</si>
  <si>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</si>
  <si>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</si>
  <si>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</si>
  <si>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</si>
  <si>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</si>
  <si>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</si>
  <si>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</si>
  <si>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</si>
  <si>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</si>
  <si>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</si>
  <si>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</si>
  <si>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</si>
  <si>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</si>
  <si>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</si>
  <si>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</si>
  <si>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</si>
  <si>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</si>
  <si>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</si>
  <si>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</si>
  <si>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</si>
  <si>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</si>
  <si>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</si>
  <si>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</si>
  <si>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</si>
  <si>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</si>
  <si>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</si>
  <si>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</si>
  <si>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</si>
  <si>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</si>
  <si>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</si>
  <si>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</si>
  <si>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</si>
  <si>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</si>
  <si>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</si>
  <si>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</si>
  <si>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</si>
  <si>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</si>
  <si>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</si>
  <si>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</si>
  <si>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</si>
  <si>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</si>
  <si>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</si>
  <si>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</si>
  <si>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</si>
  <si>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</si>
  <si>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</si>
  <si>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</si>
  <si>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</si>
  <si>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</si>
  <si>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</si>
  <si>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</si>
  <si>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</si>
  <si>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</si>
  <si>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</si>
  <si>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</si>
  <si>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</si>
  <si>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</si>
  <si>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</si>
  <si>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</si>
  <si>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</si>
  <si>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</si>
  <si>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</si>
  <si>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</si>
  <si>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</si>
  <si>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</si>
  <si>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</si>
  <si>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</si>
  <si>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</si>
  <si>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</si>
  <si>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</si>
  <si>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</si>
  <si>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</si>
  <si>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</si>
  <si>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</si>
  <si>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</si>
  <si>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</si>
  <si>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</si>
  <si>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</si>
  <si>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</si>
  <si>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</si>
  <si>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</si>
  <si>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</si>
  <si>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</si>
  <si>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</si>
  <si>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</si>
  <si>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</si>
  <si>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</si>
  <si>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</si>
  <si>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</si>
  <si>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</si>
  <si>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</si>
  <si>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</si>
  <si>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</si>
  <si>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</si>
  <si>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</si>
  <si>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</si>
  <si>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</si>
  <si>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</si>
  <si>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</si>
  <si>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</si>
  <si>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</si>
  <si>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</si>
  <si>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</si>
  <si>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</si>
  <si>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</si>
  <si>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</si>
  <si>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</si>
  <si>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</si>
  <si>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</si>
  <si>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</si>
  <si>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</si>
  <si>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</si>
  <si>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</si>
  <si>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</si>
  <si>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</si>
  <si>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</si>
  <si>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</si>
  <si>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</si>
  <si>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</si>
  <si>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</si>
  <si>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</si>
  <si>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</si>
  <si>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</si>
  <si>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</si>
  <si>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</si>
  <si>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</si>
  <si>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</si>
  <si>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</si>
  <si>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</si>
  <si>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</si>
  <si>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</si>
  <si>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</si>
  <si>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</si>
  <si>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</si>
  <si>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</si>
  <si>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</si>
  <si>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</si>
  <si>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</si>
  <si>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</si>
  <si>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</si>
  <si>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</si>
  <si>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</si>
  <si>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</si>
  <si>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</si>
  <si>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</si>
  <si>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</si>
  <si>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</si>
  <si>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</si>
  <si>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</si>
  <si>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</si>
  <si>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</si>
  <si>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</si>
  <si>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</si>
  <si>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</si>
  <si>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</si>
  <si>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</si>
  <si>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</si>
  <si>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</si>
  <si>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</si>
  <si>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</si>
  <si>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</si>
  <si>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</si>
  <si>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</si>
  <si>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</si>
  <si>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</si>
  <si>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</si>
  <si>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</si>
  <si>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</si>
  <si>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</si>
  <si>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</si>
  <si>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</si>
  <si>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</si>
  <si>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</si>
  <si>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</si>
  <si>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</si>
  <si>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</si>
  <si>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</si>
  <si>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</si>
  <si>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</si>
  <si>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</si>
  <si>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</si>
  <si>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</si>
  <si>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</si>
  <si>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</si>
  <si>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</si>
  <si>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</si>
  <si>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</si>
  <si>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</si>
  <si>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</si>
  <si>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</si>
  <si>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</si>
  <si>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</si>
  <si>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</si>
  <si>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</si>
  <si>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</si>
  <si>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</si>
  <si>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</si>
  <si>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</si>
  <si>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</si>
  <si>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</si>
  <si>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</si>
  <si>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</si>
  <si>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</si>
  <si>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</si>
  <si>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</si>
  <si>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</si>
  <si>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</si>
  <si>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</si>
  <si>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</si>
  <si>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</si>
  <si>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</si>
  <si>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</si>
  <si>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</si>
  <si>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</si>
  <si>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</si>
  <si>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</si>
  <si>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</si>
  <si>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</si>
  <si>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</si>
  <si>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</si>
  <si>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</si>
  <si>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</si>
  <si>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</si>
  <si>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</si>
  <si>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</si>
  <si>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</si>
  <si>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</si>
  <si>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</si>
  <si>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</si>
  <si>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</si>
  <si>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</si>
  <si>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</si>
  <si>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</si>
  <si>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</si>
  <si>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</si>
  <si>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</si>
  <si>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</si>
  <si>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</si>
  <si>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</si>
  <si>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</si>
  <si>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</si>
  <si>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</si>
  <si>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</si>
  <si>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</si>
  <si>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</si>
  <si>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</si>
  <si>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</si>
  <si>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</si>
  <si>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</si>
  <si>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</si>
  <si>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</si>
  <si>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</si>
  <si>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</si>
  <si>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</si>
  <si>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</si>
  <si>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</si>
  <si>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</si>
  <si>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</si>
  <si>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</si>
  <si>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</si>
  <si>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</si>
  <si>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</si>
  <si>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</si>
  <si>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</si>
  <si>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</si>
  <si>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</si>
  <si>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</si>
  <si>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</si>
  <si>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</si>
  <si>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</si>
  <si>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</si>
  <si>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</si>
  <si>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</si>
  <si>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</si>
  <si>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</si>
  <si>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</si>
  <si>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</si>
  <si>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</si>
  <si>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</si>
  <si>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</si>
  <si>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</si>
  <si>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</si>
  <si>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</si>
  <si>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</si>
  <si>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</si>
  <si>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</si>
  <si>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</si>
  <si>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</si>
  <si>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</si>
  <si>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</si>
  <si>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</si>
  <si>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</si>
  <si>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</si>
  <si>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</si>
  <si>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</si>
  <si>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</si>
  <si>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</si>
  <si>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</si>
  <si>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</si>
  <si>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</si>
  <si>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</si>
  <si>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</si>
  <si>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</si>
  <si>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</si>
  <si>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</si>
  <si>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</si>
  <si>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</si>
  <si>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</si>
  <si>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</si>
  <si>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</si>
  <si>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</si>
  <si>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</si>
  <si>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</si>
  <si>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</si>
  <si>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</si>
  <si>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</si>
  <si>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</si>
  <si>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</si>
  <si>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</si>
  <si>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</si>
  <si>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</si>
  <si>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</si>
  <si>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</si>
  <si>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</si>
  <si>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</si>
  <si>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</si>
  <si>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</si>
  <si>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</si>
  <si>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</si>
  <si>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</si>
  <si>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</si>
  <si>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</si>
  <si>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</si>
  <si>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</si>
  <si>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</si>
  <si>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</si>
  <si>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</si>
  <si>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</si>
  <si>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</si>
  <si>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</si>
  <si>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</si>
  <si>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</si>
  <si>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</si>
  <si>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</si>
  <si>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</si>
  <si>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</si>
  <si>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</si>
  <si>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</si>
  <si>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</si>
  <si>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</si>
  <si>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</si>
  <si>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</si>
  <si>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</si>
  <si>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</si>
  <si>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</si>
  <si>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</si>
  <si>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</si>
  <si>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</si>
  <si>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</si>
  <si>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</si>
  <si>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</si>
  <si>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</si>
  <si>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</si>
  <si>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</si>
  <si>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</si>
  <si>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</si>
  <si>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</si>
  <si>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</si>
  <si>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</si>
  <si>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</si>
  <si>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</si>
  <si>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</si>
  <si>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</si>
  <si>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</si>
  <si>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</si>
  <si>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</si>
  <si>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</si>
  <si>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</si>
  <si>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</si>
  <si>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</si>
  <si>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</si>
  <si>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</si>
  <si>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</si>
  <si>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</si>
  <si>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</si>
  <si>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</si>
  <si>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</si>
  <si>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</si>
  <si>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</si>
  <si>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</si>
  <si>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</si>
  <si>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</si>
  <si>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</si>
  <si>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</si>
  <si>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</si>
  <si>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</si>
  <si>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</si>
  <si>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</si>
  <si>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</si>
  <si>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</si>
  <si>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</si>
  <si>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</si>
  <si>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</si>
  <si>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</si>
  <si>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</si>
  <si>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</si>
  <si>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</si>
  <si>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</si>
  <si>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</si>
  <si>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</si>
  <si>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</si>
  <si>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</si>
  <si>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</si>
  <si>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</si>
  <si>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</si>
  <si>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</si>
  <si>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</si>
  <si>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</si>
  <si>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</si>
  <si>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</si>
  <si>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</si>
  <si>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</si>
  <si>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</si>
  <si>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</si>
  <si>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</si>
  <si>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</si>
  <si>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</si>
  <si>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</si>
  <si>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</si>
  <si>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</si>
  <si>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</si>
  <si>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</si>
  <si>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</si>
  <si>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</si>
  <si>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</si>
  <si>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</si>
  <si>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</si>
  <si>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</si>
  <si>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</si>
  <si>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</si>
  <si>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</si>
  <si>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</si>
  <si>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</si>
  <si>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</si>
  <si>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</si>
  <si>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</si>
  <si>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</si>
  <si>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</si>
  <si>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</si>
  <si>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</si>
  <si>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</si>
  <si>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</si>
  <si>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</si>
  <si>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</si>
  <si>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</si>
  <si>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</si>
  <si>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</si>
  <si>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</si>
  <si>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</si>
  <si>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</si>
  <si>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</si>
  <si>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</si>
  <si>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</si>
  <si>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</si>
  <si>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</si>
  <si>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</si>
  <si>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</si>
  <si>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</si>
  <si>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</si>
  <si>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</si>
  <si>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</si>
  <si>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</si>
  <si>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</si>
  <si>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</si>
  <si>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</si>
  <si>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</si>
  <si>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</si>
  <si>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</si>
  <si>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</si>
  <si>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</si>
  <si>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</si>
  <si>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</si>
  <si>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</si>
  <si>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</si>
  <si>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</si>
  <si>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</si>
  <si>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</si>
  <si>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</si>
  <si>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</si>
  <si>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</si>
  <si>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</si>
  <si>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</si>
  <si>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</si>
  <si>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</si>
  <si>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</si>
  <si>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</si>
  <si>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</si>
  <si>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</si>
  <si>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</si>
  <si>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</si>
  <si>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</si>
  <si>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</si>
  <si>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</si>
  <si>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</si>
  <si>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</si>
  <si>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</si>
  <si>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</si>
  <si>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</si>
  <si>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</si>
  <si>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</si>
  <si>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</si>
  <si>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</si>
  <si>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</si>
  <si>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</si>
  <si>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</si>
  <si>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</si>
  <si>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</si>
  <si>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</si>
  <si>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</si>
  <si>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</si>
  <si>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</si>
  <si>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</si>
  <si>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</si>
  <si>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</si>
  <si>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</si>
  <si>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</si>
  <si>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</si>
  <si>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</si>
  <si>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</si>
  <si>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</si>
  <si>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</si>
  <si>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</si>
  <si>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</si>
  <si>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</si>
  <si>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</si>
  <si>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</si>
  <si>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</si>
  <si>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</si>
  <si>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</si>
  <si>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</si>
  <si>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</si>
  <si>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</si>
  <si>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</si>
  <si>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</si>
  <si>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</si>
  <si>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</si>
  <si>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</si>
  <si>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</si>
  <si>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</si>
  <si>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</si>
  <si>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</si>
  <si>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</si>
  <si>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</si>
  <si>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</si>
  <si>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</si>
  <si>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</si>
  <si>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</si>
  <si>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</si>
  <si>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</si>
  <si>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</si>
  <si>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</si>
  <si>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</si>
  <si>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</si>
  <si>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</si>
  <si>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</si>
  <si>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</si>
  <si>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</si>
  <si>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</si>
  <si>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</si>
  <si>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</si>
  <si>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</si>
  <si>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</si>
  <si>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</si>
  <si>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</si>
  <si>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</si>
  <si>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</si>
  <si>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</si>
  <si>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</si>
  <si>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</si>
  <si>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</si>
  <si>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</si>
  <si>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</si>
  <si>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</si>
  <si>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</si>
  <si>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</si>
  <si>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</si>
  <si>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</si>
  <si>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</si>
  <si>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</si>
  <si>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</si>
  <si>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</si>
  <si>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</si>
  <si>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</si>
  <si>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</si>
  <si>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</si>
  <si>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</si>
  <si>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</si>
  <si>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</si>
  <si>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</si>
  <si>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</si>
  <si>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</si>
  <si>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</si>
  <si>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</si>
  <si>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</si>
  <si>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</si>
  <si>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</si>
  <si>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</si>
  <si>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</si>
  <si>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</si>
  <si>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</si>
  <si>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</si>
  <si>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</si>
  <si>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</si>
  <si>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</si>
  <si>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</si>
  <si>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</si>
  <si>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</si>
  <si>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</si>
  <si>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</si>
  <si>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</si>
  <si>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</si>
  <si>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</si>
  <si>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</si>
  <si>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</si>
  <si>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</si>
  <si>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</si>
  <si>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</si>
  <si>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</si>
  <si>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</si>
  <si>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</si>
  <si>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</si>
  <si>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</si>
  <si>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</si>
  <si>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</si>
  <si>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</si>
  <si>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</si>
  <si>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</si>
  <si>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</si>
  <si>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</si>
  <si>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</si>
  <si>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</si>
  <si>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</si>
  <si>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</si>
  <si>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</si>
  <si>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</si>
  <si>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</si>
  <si>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</si>
  <si>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</si>
  <si>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</si>
  <si>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</si>
  <si>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</si>
  <si>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</si>
  <si>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</si>
  <si>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</si>
  <si>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</si>
  <si>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</si>
  <si>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</si>
  <si>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</si>
  <si>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</si>
  <si>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</si>
  <si>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</si>
  <si>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</si>
  <si>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</si>
  <si>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</si>
  <si>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</si>
  <si>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</si>
  <si>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</si>
  <si>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</si>
  <si>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</si>
  <si>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</si>
  <si>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</si>
  <si>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</si>
  <si>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</si>
  <si>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</si>
  <si>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</si>
  <si>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</si>
  <si>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</si>
  <si>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</si>
  <si>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</si>
  <si>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</si>
  <si>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</si>
  <si>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</si>
  <si>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</si>
  <si>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</si>
  <si>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</si>
  <si>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</si>
  <si>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</si>
  <si>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</si>
  <si>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</si>
  <si>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</si>
  <si>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</si>
  <si>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</si>
  <si>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</si>
  <si>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</si>
  <si>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</si>
  <si>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</si>
  <si>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</si>
  <si>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</si>
  <si>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</si>
  <si>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</si>
  <si>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</si>
  <si>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</si>
  <si>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</si>
  <si>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</si>
  <si>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</si>
  <si>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</si>
  <si>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</si>
  <si>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</si>
  <si>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</si>
  <si>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</si>
  <si>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</si>
  <si>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</si>
  <si>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</si>
  <si>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</si>
  <si>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</si>
  <si>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</si>
  <si>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</si>
  <si>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</si>
  <si>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</si>
  <si>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</si>
  <si>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</si>
  <si>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</si>
  <si>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</si>
  <si>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</si>
  <si>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</si>
  <si>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</si>
  <si>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</si>
  <si>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</si>
  <si>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</si>
  <si>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</si>
  <si>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</si>
  <si>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</si>
  <si>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</si>
  <si>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</si>
  <si>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</si>
  <si>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</si>
  <si>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</si>
  <si>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</si>
  <si>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</si>
  <si>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</si>
  <si>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</si>
  <si>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</si>
  <si>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</si>
  <si>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</si>
  <si>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</si>
  <si>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</si>
  <si>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</si>
  <si>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</si>
  <si>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</si>
  <si>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</si>
  <si>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</si>
  <si>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</si>
  <si>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</si>
  <si>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</si>
  <si>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</si>
  <si>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</si>
  <si>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</si>
  <si>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</si>
  <si>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</si>
  <si>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</si>
  <si>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</si>
  <si>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</si>
  <si>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</si>
  <si>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</si>
  <si>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</si>
  <si>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</si>
  <si>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</si>
  <si>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</si>
  <si>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</si>
  <si>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</si>
  <si>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</si>
  <si>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</si>
  <si>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</si>
  <si>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</si>
  <si>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</si>
  <si>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</si>
  <si>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</si>
  <si>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</si>
  <si>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</si>
  <si>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</si>
  <si>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</si>
  <si>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</si>
  <si>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</si>
  <si>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</si>
  <si>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</si>
  <si>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</si>
  <si>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</si>
  <si>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</si>
  <si>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</si>
  <si>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</si>
  <si>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</si>
  <si>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</si>
  <si>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</si>
  <si>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</si>
  <si>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</si>
  <si>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</si>
  <si>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</si>
  <si>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</si>
  <si>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</si>
  <si>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</si>
  <si>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</si>
  <si>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</si>
  <si>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</si>
  <si>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</si>
  <si>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</si>
  <si>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</si>
  <si>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</si>
  <si>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</si>
  <si>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</si>
  <si>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</si>
  <si>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</si>
  <si>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</si>
  <si>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</si>
  <si>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</si>
  <si>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</si>
  <si>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</si>
  <si>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</si>
  <si>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</si>
  <si>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</si>
  <si>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</si>
  <si>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</si>
  <si>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</si>
  <si>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</si>
  <si>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</si>
  <si>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</si>
  <si>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</si>
  <si>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</si>
  <si>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</si>
  <si>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</si>
  <si>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</si>
  <si>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</si>
  <si>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</si>
  <si>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</si>
  <si>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</si>
  <si>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</si>
  <si>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</si>
  <si>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</si>
  <si>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</si>
  <si>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</si>
  <si>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</si>
  <si>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</si>
  <si>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</si>
  <si>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</si>
  <si>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</si>
  <si>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</si>
  <si>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</si>
  <si>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</si>
  <si>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</si>
  <si>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</si>
  <si>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</si>
  <si>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</si>
  <si>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</si>
  <si>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</si>
  <si>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</si>
  <si>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</si>
  <si>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</si>
  <si>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</si>
  <si>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</si>
  <si>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</si>
  <si>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</si>
  <si>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</si>
  <si>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</si>
  <si>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</si>
  <si>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</si>
  <si>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</si>
  <si>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</si>
  <si>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</si>
  <si>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</si>
  <si>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</si>
  <si>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</si>
  <si>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</si>
  <si>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</si>
  <si>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</si>
  <si>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</si>
  <si>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</si>
  <si>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</si>
  <si>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</si>
  <si>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</si>
  <si>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</si>
  <si>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</si>
  <si>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</si>
  <si>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</si>
  <si>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</si>
  <si>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</si>
  <si>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</si>
  <si>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</si>
  <si>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</si>
  <si>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</si>
  <si>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</si>
  <si>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</si>
  <si>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</si>
  <si>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</si>
  <si>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</si>
  <si>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</si>
  <si>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</si>
  <si>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</si>
  <si>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</si>
  <si>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</si>
  <si>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</si>
  <si>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</si>
  <si>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</si>
  <si>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</si>
  <si>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</si>
  <si>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</si>
  <si>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</si>
  <si>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</si>
  <si>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</si>
  <si>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</si>
  <si>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</si>
  <si>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</si>
  <si>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</si>
  <si>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</si>
  <si>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</si>
  <si>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</si>
  <si>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</si>
  <si>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</si>
  <si>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</si>
  <si>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</si>
  <si>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</si>
  <si>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</si>
  <si>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</si>
  <si>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</si>
  <si>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</si>
  <si>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</si>
  <si>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</si>
  <si>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</si>
  <si>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</si>
  <si>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</si>
  <si>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</si>
  <si>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</si>
  <si>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</si>
  <si>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</si>
  <si>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</si>
  <si>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</si>
  <si>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</si>
  <si>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</si>
  <si>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</si>
  <si>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</si>
  <si>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</si>
  <si>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</si>
  <si>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</si>
  <si>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</si>
  <si>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</si>
  <si>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</si>
  <si>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</si>
  <si>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</si>
  <si>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</si>
  <si>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</si>
  <si>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</si>
  <si>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</si>
  <si>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</si>
  <si>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</si>
  <si>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</si>
  <si>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</si>
  <si>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</si>
  <si>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</si>
  <si>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</si>
  <si>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</si>
  <si>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</si>
  <si>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</si>
  <si>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</si>
  <si>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</si>
  <si>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</si>
  <si>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</si>
  <si>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</si>
  <si>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</si>
  <si>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</si>
  <si>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</si>
  <si>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</si>
  <si>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</si>
  <si>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</si>
  <si>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</si>
  <si>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</si>
  <si>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</si>
  <si>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</si>
  <si>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</si>
  <si>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</si>
  <si>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</si>
  <si>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</si>
  <si>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</si>
  <si>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</si>
  <si>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</si>
  <si>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</si>
  <si>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</si>
  <si>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</si>
  <si>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</si>
  <si>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</si>
  <si>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</si>
  <si>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</si>
  <si>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</si>
  <si>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</si>
  <si>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</si>
  <si>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</si>
  <si>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</si>
  <si>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</si>
  <si>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</si>
  <si>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</si>
  <si>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</si>
  <si>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</si>
  <si>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</si>
  <si>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</si>
  <si>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</si>
  <si>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</si>
  <si>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</si>
  <si>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</si>
  <si>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</si>
  <si>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</si>
  <si>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</si>
  <si>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</si>
  <si>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</si>
  <si>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</si>
  <si>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</si>
  <si>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</si>
  <si>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</si>
  <si>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</si>
  <si>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</si>
  <si>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</si>
  <si>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</si>
  <si>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</si>
  <si>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</si>
  <si>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</si>
  <si>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</si>
  <si>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</si>
  <si>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</si>
  <si>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</si>
  <si>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</si>
  <si>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</si>
  <si>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</si>
  <si>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</si>
  <si>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</si>
  <si>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</si>
  <si>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</si>
  <si>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</si>
  <si>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</si>
  <si>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</si>
  <si>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</si>
  <si>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</si>
  <si>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</si>
  <si>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</si>
  <si>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</si>
  <si>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</si>
  <si>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</si>
  <si>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</si>
  <si>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</si>
  <si>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</si>
  <si>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</si>
  <si>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</si>
  <si>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</si>
  <si>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</si>
  <si>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</si>
  <si>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</si>
  <si>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</si>
  <si>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</si>
  <si>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</si>
  <si>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</si>
  <si>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</si>
  <si>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</si>
  <si>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</si>
  <si>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</si>
  <si>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</si>
  <si>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</si>
  <si>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</si>
  <si>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</si>
  <si>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</si>
  <si>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</si>
  <si>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</si>
  <si>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</si>
  <si>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</si>
  <si>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</si>
  <si>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</si>
  <si>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</si>
  <si>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</si>
  <si>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</si>
  <si>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</si>
  <si>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</si>
  <si>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</si>
  <si>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</si>
  <si>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</si>
  <si>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</si>
  <si>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</si>
  <si>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</si>
  <si>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</si>
  <si>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</si>
  <si>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</si>
  <si>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</si>
  <si>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</si>
  <si>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</si>
  <si>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</si>
  <si>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</si>
  <si>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</si>
  <si>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</si>
  <si>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</si>
  <si>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</si>
  <si>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</si>
  <si>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</si>
  <si>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</si>
  <si>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</si>
  <si>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</si>
  <si>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</si>
  <si>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</si>
  <si>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</si>
  <si>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</si>
  <si>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</si>
  <si>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</si>
  <si>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</si>
  <si>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</si>
  <si>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</si>
  <si>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</si>
  <si>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</si>
  <si>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</si>
  <si>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</si>
  <si>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</si>
  <si>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</si>
  <si>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</si>
  <si>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</si>
  <si>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</si>
  <si>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</si>
  <si>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</si>
  <si>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</si>
  <si>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</si>
  <si>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</si>
  <si>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</si>
  <si>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</si>
  <si>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</si>
  <si>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</si>
  <si>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</si>
  <si>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</si>
  <si>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</si>
  <si>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</si>
  <si>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</si>
  <si>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</si>
  <si>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</si>
  <si>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</si>
  <si>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</si>
  <si>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</si>
  <si>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</si>
  <si>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</si>
  <si>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</si>
  <si>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</si>
  <si>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</si>
  <si>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</si>
  <si>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</si>
  <si>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</si>
  <si>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</si>
  <si>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</si>
  <si>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</si>
  <si>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</si>
  <si>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</si>
  <si>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</si>
  <si>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</si>
  <si>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</si>
  <si>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</si>
  <si>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</si>
  <si>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</si>
  <si>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</si>
  <si>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</si>
  <si>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</si>
  <si>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</si>
  <si>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</si>
  <si>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</si>
  <si>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</si>
  <si>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</si>
  <si>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</si>
  <si>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</si>
  <si>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</si>
  <si>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</si>
  <si>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</si>
  <si>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</si>
  <si>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</si>
  <si>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</si>
  <si>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</si>
  <si>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</si>
  <si>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</si>
  <si>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</si>
  <si>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</si>
  <si>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</si>
  <si>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</si>
  <si>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</si>
  <si>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</si>
  <si>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</si>
  <si>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</si>
  <si>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</si>
  <si>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</si>
  <si>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</si>
  <si>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</si>
  <si>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</si>
  <si>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</si>
  <si>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</si>
  <si>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</si>
  <si>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</si>
  <si>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</si>
  <si>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</si>
  <si>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</si>
  <si>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</si>
  <si>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</si>
  <si>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</si>
  <si>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</si>
  <si>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</si>
  <si>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</si>
  <si>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</si>
  <si>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</si>
  <si>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</si>
  <si>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</si>
  <si>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</si>
  <si>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</si>
  <si>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</si>
  <si>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</si>
  <si>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</si>
  <si>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</si>
  <si>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</si>
  <si>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</si>
  <si>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</si>
  <si>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</si>
  <si>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</si>
  <si>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</si>
  <si>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</si>
  <si>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</si>
  <si>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</si>
  <si>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</si>
  <si>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</si>
  <si>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</si>
  <si>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</si>
  <si>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</si>
  <si>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</si>
  <si>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</si>
  <si>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</si>
  <si>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</si>
  <si>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</si>
  <si>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</si>
  <si>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</si>
  <si>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</si>
  <si>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</si>
  <si>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</si>
  <si>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</si>
  <si>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</si>
  <si>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</si>
  <si>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</si>
  <si>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</si>
  <si>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</si>
  <si>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</si>
  <si>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</si>
  <si>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</si>
  <si>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</si>
  <si>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</si>
  <si>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</si>
  <si>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</si>
  <si>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</si>
  <si>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</si>
  <si>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</si>
  <si>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</si>
  <si>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</si>
  <si>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</si>
  <si>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</si>
  <si>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</si>
  <si>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</si>
  <si>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</si>
  <si>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</si>
  <si>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</si>
  <si>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</si>
  <si>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</si>
  <si>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</si>
  <si>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</si>
  <si>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</si>
  <si>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</si>
  <si>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</si>
  <si>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</si>
  <si>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</si>
  <si>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</si>
  <si>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</si>
  <si>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</si>
  <si>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</si>
  <si>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</si>
  <si>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</si>
  <si>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</si>
  <si>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</si>
  <si>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</si>
  <si>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</si>
  <si>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</si>
  <si>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</si>
  <si>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</si>
  <si>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</si>
  <si>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</si>
  <si>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</si>
  <si>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</si>
  <si>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</si>
  <si>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</si>
  <si>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</si>
  <si>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</si>
  <si>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</si>
  <si>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</si>
  <si>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</si>
  <si>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</si>
  <si>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</si>
  <si>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</si>
  <si>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</si>
  <si>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</si>
  <si>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</si>
  <si>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</si>
  <si>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</si>
  <si>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</si>
  <si>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</si>
  <si>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</si>
  <si>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</si>
  <si>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</si>
  <si>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</si>
  <si>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</si>
  <si>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</si>
  <si>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</si>
  <si>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</si>
  <si>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</si>
  <si>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</si>
  <si>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</si>
  <si>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</si>
  <si>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</si>
  <si>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</si>
  <si>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</si>
  <si>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</si>
  <si>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</si>
  <si>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</si>
  <si>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</si>
  <si>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</si>
  <si>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</si>
  <si>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</si>
  <si>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</si>
  <si>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</si>
  <si>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</si>
  <si>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</si>
  <si>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</si>
  <si>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</si>
  <si>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</si>
  <si>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</si>
  <si>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</si>
  <si>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</si>
  <si>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</si>
  <si>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</si>
  <si>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</si>
  <si>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</si>
  <si>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</si>
  <si>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</si>
  <si>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</si>
  <si>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</si>
  <si>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</si>
  <si>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</si>
  <si>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</si>
  <si>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</si>
  <si>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</si>
  <si>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</si>
  <si>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</si>
  <si>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</si>
  <si>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</si>
  <si>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</si>
  <si>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</si>
  <si>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</si>
  <si>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</si>
  <si>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</si>
  <si>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</si>
  <si>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</si>
  <si>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</si>
  <si>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</si>
  <si>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</si>
  <si>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</si>
  <si>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</si>
  <si>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</si>
  <si>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</si>
  <si>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</si>
  <si>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</si>
  <si>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</si>
  <si>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</si>
  <si>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</si>
  <si>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</si>
  <si>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</si>
  <si>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</si>
  <si>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</si>
  <si>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</si>
  <si>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</si>
  <si>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</si>
  <si>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</si>
  <si>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</si>
  <si>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</si>
  <si>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</si>
  <si>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</si>
  <si>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</si>
  <si>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</si>
  <si>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</si>
  <si>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</si>
  <si>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</si>
  <si>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</si>
  <si>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</si>
  <si>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</si>
  <si>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</si>
  <si>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</si>
  <si>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</si>
  <si>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</si>
  <si>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</si>
  <si>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</si>
  <si>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</si>
  <si>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</si>
  <si>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</si>
  <si>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</si>
  <si>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</si>
  <si>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</si>
  <si>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</si>
  <si>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</si>
  <si>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</si>
  <si>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</si>
  <si>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</si>
  <si>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</si>
  <si>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</si>
  <si>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</si>
  <si>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</si>
  <si>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</si>
  <si>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</si>
  <si>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</si>
  <si>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</si>
  <si>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</si>
  <si>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</si>
  <si>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</si>
  <si>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</si>
  <si>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</si>
  <si>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</si>
  <si>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</si>
  <si>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</si>
  <si>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</si>
  <si>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</si>
  <si>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</si>
  <si>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</si>
  <si>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</si>
  <si>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</si>
  <si>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</si>
  <si>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</si>
  <si>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</si>
  <si>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</si>
  <si>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</si>
  <si>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</si>
  <si>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</si>
  <si>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</si>
  <si>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</si>
  <si>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</si>
  <si>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</si>
  <si>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</si>
  <si>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</si>
  <si>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</si>
  <si>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</si>
  <si>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</si>
  <si>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</si>
  <si>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</si>
  <si>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</si>
  <si>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</si>
  <si>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</si>
  <si>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</si>
  <si>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</si>
  <si>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</si>
  <si>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</si>
  <si>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</si>
  <si>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</si>
  <si>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</si>
  <si>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</si>
  <si>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</si>
  <si>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</si>
  <si>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</si>
  <si>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</si>
  <si>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</si>
  <si>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</si>
  <si>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</si>
  <si>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</si>
  <si>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</si>
  <si>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</si>
  <si>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</si>
  <si>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</si>
  <si>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</si>
  <si>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</si>
  <si>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</si>
  <si>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</si>
  <si>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</si>
  <si>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</si>
  <si>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</si>
  <si>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</si>
  <si>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</si>
  <si>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</si>
  <si>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</si>
  <si>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</si>
  <si>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</si>
  <si>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</si>
  <si>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</si>
  <si>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</si>
  <si>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</si>
  <si>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</si>
  <si>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</si>
  <si>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</si>
  <si>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</si>
  <si>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</si>
  <si>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</si>
  <si>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</si>
  <si>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</si>
  <si>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</si>
  <si>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</si>
  <si>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</si>
  <si>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</si>
  <si>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</si>
  <si>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</si>
  <si>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</si>
  <si>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</si>
  <si>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</si>
  <si>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</si>
  <si>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</si>
  <si>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</si>
  <si>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</si>
  <si>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</si>
  <si>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</si>
  <si>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</si>
  <si>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</si>
  <si>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</si>
  <si>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</si>
  <si>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</si>
  <si>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</si>
  <si>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</si>
  <si>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</si>
  <si>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</si>
  <si>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</si>
  <si>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</si>
  <si>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</si>
  <si>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</si>
  <si>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</si>
  <si>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</si>
  <si>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</si>
  <si>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</si>
  <si>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</si>
  <si>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</si>
  <si>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</si>
  <si>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</si>
  <si>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</si>
  <si>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</si>
  <si>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</si>
  <si>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</si>
  <si>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</si>
  <si>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</si>
  <si>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</si>
  <si>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</si>
  <si>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</si>
  <si>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</si>
  <si>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</si>
  <si>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</si>
  <si>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</si>
  <si>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</si>
  <si>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</si>
  <si>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</si>
  <si>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</si>
  <si>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</si>
  <si>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</si>
  <si>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</si>
  <si>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</si>
  <si>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</si>
  <si>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</si>
  <si>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</si>
  <si>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</si>
  <si>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</si>
  <si>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</si>
  <si>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</si>
  <si>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</si>
  <si>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</si>
  <si>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</si>
  <si>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</si>
  <si>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</si>
  <si>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</si>
  <si>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</si>
  <si>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</si>
  <si>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</si>
  <si>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</si>
  <si>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</si>
  <si>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</si>
  <si>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</si>
  <si>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</si>
  <si>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</si>
  <si>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</si>
  <si>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</si>
  <si>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</si>
  <si>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</si>
  <si>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</si>
  <si>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</si>
  <si>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</si>
  <si>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</si>
  <si>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</si>
  <si>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</si>
  <si>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</si>
  <si>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</si>
  <si>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</si>
  <si>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</si>
  <si>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</si>
  <si>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</si>
  <si>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</si>
  <si>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</si>
  <si>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</si>
  <si>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</si>
  <si>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</si>
  <si>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</si>
  <si>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</si>
  <si>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</si>
  <si>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</si>
  <si>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</si>
  <si>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</si>
  <si>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</si>
  <si>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</si>
  <si>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</si>
  <si>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</si>
  <si>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</si>
  <si>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</si>
  <si>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</si>
  <si>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</si>
  <si>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</si>
  <si>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</si>
  <si>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</si>
  <si>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</si>
  <si>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</si>
  <si>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</si>
  <si>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</si>
  <si>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</si>
  <si>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</si>
  <si>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</si>
  <si>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</si>
  <si>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</si>
  <si>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</si>
  <si>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</si>
  <si>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</si>
  <si>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</si>
  <si>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</si>
  <si>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</si>
  <si>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</si>
  <si>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</si>
  <si>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</si>
  <si>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</si>
  <si>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</si>
  <si>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</si>
  <si>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</si>
  <si>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</si>
  <si>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</si>
  <si>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</si>
  <si>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</si>
  <si>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</si>
  <si>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</si>
  <si>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</si>
  <si>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</si>
  <si>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</si>
  <si>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</si>
  <si>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</si>
  <si>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</si>
  <si>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</si>
  <si>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</si>
  <si>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</si>
  <si>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</si>
  <si>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</si>
  <si>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</si>
  <si>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</si>
  <si>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</si>
  <si>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</si>
  <si>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</si>
  <si>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</si>
  <si>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</si>
  <si>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</si>
  <si>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</si>
  <si>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</si>
  <si>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</si>
  <si>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</si>
  <si>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</si>
  <si>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</si>
  <si>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</si>
  <si>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</si>
  <si>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</si>
  <si>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</si>
  <si>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</si>
  <si>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</si>
  <si>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</si>
  <si>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</si>
  <si>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</si>
  <si>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</si>
  <si>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</si>
  <si>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</si>
  <si>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</si>
  <si>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</si>
  <si>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</si>
  <si>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</si>
  <si>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</si>
  <si>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</si>
  <si>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</si>
  <si>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</si>
  <si>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</si>
  <si>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</si>
  <si>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</si>
  <si>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</si>
  <si>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</si>
  <si>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</si>
  <si>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</si>
  <si>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</si>
  <si>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</si>
  <si>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</si>
  <si>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</si>
  <si>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</si>
  <si>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</si>
  <si>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</si>
  <si>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</si>
  <si>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</si>
  <si>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</si>
  <si>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</si>
  <si>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</si>
  <si>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</si>
  <si>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</si>
  <si>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</si>
  <si>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</si>
  <si>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</si>
  <si>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</si>
  <si>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</si>
  <si>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</si>
  <si>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</si>
  <si>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</si>
  <si>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</si>
  <si>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</si>
  <si>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</si>
  <si>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</si>
  <si>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</si>
  <si>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</si>
  <si>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</si>
  <si>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</si>
  <si>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</si>
  <si>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</si>
  <si>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</si>
  <si>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</si>
  <si>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</si>
  <si>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</si>
  <si>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</si>
  <si>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</si>
  <si>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</si>
  <si>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</si>
  <si>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</si>
  <si>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</si>
  <si>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</si>
  <si>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</si>
  <si>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</si>
  <si>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</si>
  <si>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</si>
  <si>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</si>
  <si>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</si>
  <si>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</si>
  <si>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</si>
  <si>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</si>
  <si>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</si>
  <si>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</si>
  <si>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</si>
  <si>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</si>
  <si>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</si>
  <si>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</si>
  <si>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</si>
  <si>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</si>
  <si>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</si>
  <si>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</si>
  <si>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</si>
  <si>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</si>
  <si>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</si>
  <si>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</si>
  <si>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</si>
  <si>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</si>
  <si>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</si>
  <si>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</si>
  <si>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</si>
  <si>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</si>
  <si>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</si>
  <si>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</si>
  <si>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</si>
  <si>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</si>
  <si>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</si>
  <si>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</si>
  <si>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</si>
  <si>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</si>
  <si>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</si>
  <si>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</si>
  <si>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</si>
  <si>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</si>
  <si>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</si>
  <si>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</si>
  <si>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</si>
  <si>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</si>
  <si>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</si>
  <si>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</si>
  <si>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</si>
  <si>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</si>
  <si>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</si>
  <si>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</si>
  <si>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</si>
  <si>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</si>
  <si>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</si>
  <si>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</si>
  <si>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</si>
  <si>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</si>
  <si>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</si>
  <si>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</si>
  <si>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</si>
  <si>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</si>
  <si>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</si>
  <si>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</si>
  <si>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</si>
  <si>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</si>
  <si>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</si>
  <si>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</si>
  <si>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</si>
  <si>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</si>
  <si>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</si>
  <si>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</si>
  <si>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</si>
  <si>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</si>
  <si>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</si>
  <si>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</si>
  <si>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</si>
  <si>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</si>
  <si>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</si>
  <si>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</si>
  <si>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</si>
  <si>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</si>
  <si>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</si>
  <si>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</si>
  <si>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</si>
  <si>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</si>
  <si>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</si>
  <si>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</si>
  <si>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</si>
  <si>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</si>
  <si>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</si>
  <si>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</si>
  <si>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</si>
  <si>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</si>
  <si>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</si>
  <si>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</si>
  <si>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</si>
  <si>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</si>
  <si>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</si>
  <si>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</si>
  <si>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</si>
  <si>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</si>
  <si>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</si>
  <si>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</si>
  <si>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</si>
  <si>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</si>
  <si>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</si>
  <si>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</si>
  <si>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</si>
  <si>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</si>
  <si>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</si>
  <si>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</si>
  <si>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</si>
  <si>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</si>
  <si>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</si>
  <si>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</si>
  <si>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</si>
  <si>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</si>
  <si>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</si>
  <si>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</si>
  <si>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</si>
  <si>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</si>
  <si>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</si>
  <si>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</si>
  <si>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</si>
  <si>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</si>
  <si>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</si>
  <si>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</si>
  <si>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</si>
  <si>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</si>
  <si>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</si>
  <si>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</si>
  <si>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</si>
  <si>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</si>
  <si>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</si>
  <si>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</si>
  <si>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</si>
  <si>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</si>
  <si>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</si>
  <si>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</si>
  <si>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</si>
  <si>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</si>
  <si>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</si>
  <si>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</si>
  <si>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</si>
  <si>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</si>
  <si>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</si>
  <si>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</si>
  <si>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</si>
  <si>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</si>
  <si>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</si>
  <si>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</si>
  <si>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</si>
  <si>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</si>
  <si>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</si>
  <si>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</si>
  <si>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</si>
  <si>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</si>
  <si>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</si>
  <si>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</si>
  <si>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</si>
  <si>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</si>
  <si>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</si>
  <si>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</si>
  <si>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</si>
  <si>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</si>
  <si>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</si>
  <si>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</si>
  <si>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</si>
  <si>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</si>
  <si>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</si>
  <si>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</si>
  <si>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</si>
  <si>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</si>
  <si>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</si>
  <si>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</si>
  <si>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</si>
  <si>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</si>
  <si>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</si>
  <si>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</si>
  <si>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</si>
  <si>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</si>
  <si>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</si>
  <si>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</si>
  <si>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</si>
  <si>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</si>
  <si>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</si>
  <si>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</si>
  <si>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</si>
  <si>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</si>
  <si>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</si>
  <si>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</si>
  <si>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</si>
  <si>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</si>
  <si>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</si>
  <si>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</si>
  <si>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</si>
  <si>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</si>
  <si>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</si>
  <si>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</si>
  <si>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</si>
  <si>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</si>
  <si>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</si>
  <si>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</si>
  <si>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</si>
  <si>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</si>
  <si>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</si>
  <si>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</si>
  <si>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</si>
  <si>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</si>
  <si>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</si>
  <si>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</si>
  <si>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</si>
  <si>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</si>
  <si>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</si>
  <si>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</si>
  <si>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</si>
  <si>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</si>
  <si>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</si>
  <si>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</si>
  <si>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</si>
  <si>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</si>
  <si>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</si>
  <si>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</si>
  <si>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</si>
  <si>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</si>
  <si>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</si>
  <si>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</si>
  <si>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</si>
  <si>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</si>
  <si>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</si>
  <si>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</si>
  <si>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</si>
  <si>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</si>
  <si>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</si>
  <si>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</si>
  <si>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</si>
  <si>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</si>
  <si>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</si>
  <si>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</si>
  <si>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</si>
  <si>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</si>
  <si>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</si>
  <si>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</si>
  <si>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</si>
  <si>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</si>
  <si>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</si>
  <si>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</si>
  <si>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</si>
  <si>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</si>
  <si>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</si>
  <si>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</si>
  <si>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</si>
  <si>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</si>
  <si>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</si>
  <si>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</si>
  <si>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</si>
  <si>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</si>
  <si>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</si>
  <si>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</si>
  <si>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</si>
  <si>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</si>
  <si>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</si>
  <si>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</si>
  <si>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</si>
  <si>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</si>
  <si>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</si>
  <si>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</si>
  <si>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</si>
  <si>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</si>
  <si>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</si>
  <si>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</si>
  <si>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</si>
  <si>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</si>
  <si>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</si>
  <si>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</si>
  <si>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</si>
  <si>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</si>
  <si>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</si>
  <si>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</si>
  <si>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</si>
  <si>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</si>
  <si>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</si>
  <si>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</si>
  <si>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</si>
  <si>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</si>
  <si>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</si>
  <si>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</si>
  <si>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</si>
  <si>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</si>
  <si>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</si>
  <si>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</si>
  <si>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</si>
  <si>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</si>
  <si>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</si>
  <si>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</si>
  <si>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</si>
  <si>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</si>
  <si>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</si>
  <si>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</si>
  <si>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</si>
  <si>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</si>
  <si>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</si>
  <si>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</si>
  <si>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</si>
  <si>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</si>
  <si>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</si>
  <si>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</si>
  <si>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</si>
  <si>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</si>
  <si>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</si>
  <si>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</si>
  <si>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</si>
  <si>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</si>
  <si>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</si>
  <si>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</si>
  <si>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</si>
  <si>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</si>
  <si>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</si>
  <si>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</si>
  <si>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</si>
  <si>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</si>
  <si>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</si>
  <si>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</si>
  <si>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</si>
  <si>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</si>
  <si>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</si>
  <si>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</si>
  <si>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</si>
  <si>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</si>
  <si>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</si>
  <si>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</si>
  <si>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</si>
  <si>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</si>
  <si>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</si>
  <si>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</si>
  <si>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</si>
  <si>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</si>
  <si>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</si>
  <si>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</si>
  <si>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</si>
  <si>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</si>
  <si>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</si>
  <si>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</si>
  <si>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</si>
  <si>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</si>
  <si>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</si>
  <si>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</si>
  <si>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</si>
  <si>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</si>
  <si>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</si>
  <si>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</si>
  <si>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</si>
  <si>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</si>
  <si>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</si>
  <si>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</si>
  <si>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</si>
  <si>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</si>
  <si>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</si>
  <si>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</si>
  <si>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</si>
  <si>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</si>
  <si>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</si>
  <si>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</si>
  <si>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</si>
  <si>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</si>
  <si>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</si>
  <si>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</si>
  <si>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</si>
  <si>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</si>
  <si>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</si>
  <si>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</si>
  <si>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</si>
  <si>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</si>
  <si>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</si>
  <si>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</si>
  <si>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</si>
  <si>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</si>
  <si>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</si>
  <si>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</si>
  <si>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</si>
  <si>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</si>
  <si>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</si>
  <si>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</si>
  <si>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</si>
  <si>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</si>
  <si>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</si>
  <si>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</si>
  <si>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</si>
  <si>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</si>
  <si>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</si>
  <si>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</si>
  <si>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</si>
  <si>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</si>
  <si>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</si>
  <si>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</si>
  <si>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</si>
  <si>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</si>
  <si>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</si>
  <si>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</si>
  <si>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</si>
  <si>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</si>
  <si>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</si>
  <si>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</si>
  <si>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</si>
  <si>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</si>
  <si>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</si>
  <si>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</si>
  <si>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</si>
  <si>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</si>
  <si>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</si>
  <si>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</si>
  <si>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</si>
  <si>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</si>
  <si>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</si>
  <si>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</si>
  <si>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</si>
  <si>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</si>
  <si>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</si>
  <si>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</si>
  <si>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</si>
  <si>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</si>
  <si>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</si>
  <si>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</si>
  <si>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</si>
  <si>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</si>
  <si>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</si>
  <si>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</si>
  <si>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</si>
  <si>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</si>
  <si>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</si>
  <si>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</si>
  <si>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</si>
  <si>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</si>
  <si>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</si>
  <si>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</si>
  <si>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</si>
  <si>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</si>
  <si>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</si>
  <si>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</si>
  <si>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</si>
  <si>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</si>
  <si>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</si>
  <si>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</si>
  <si>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</si>
  <si>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</si>
  <si>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</si>
  <si>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</si>
  <si>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</si>
  <si>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</si>
  <si>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</si>
  <si>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</si>
  <si>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</si>
  <si>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</si>
  <si>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</si>
  <si>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</si>
  <si>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</si>
  <si>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</si>
  <si>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</si>
  <si>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</si>
  <si>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</si>
  <si>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</si>
  <si>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</si>
  <si>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</si>
  <si>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</si>
  <si>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</si>
  <si>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</si>
  <si>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</si>
  <si>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</si>
  <si>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</si>
  <si>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</si>
  <si>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</si>
  <si>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</si>
  <si>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</si>
  <si>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</si>
  <si>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</si>
  <si>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</si>
  <si>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</si>
  <si>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</si>
  <si>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</si>
  <si>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</si>
  <si>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</si>
  <si>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</si>
  <si>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</si>
  <si>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</si>
  <si>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</si>
  <si>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</si>
  <si>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</si>
  <si>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</si>
  <si>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</si>
  <si>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</si>
  <si>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</si>
  <si>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</si>
  <si>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</si>
  <si>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</si>
  <si>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</si>
  <si>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</si>
  <si>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</si>
  <si>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</si>
  <si>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</si>
  <si>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</si>
  <si>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</si>
  <si>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</si>
  <si>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</si>
  <si>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</si>
  <si>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</si>
  <si>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</si>
  <si>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</si>
  <si>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</si>
  <si>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</si>
  <si>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</si>
  <si>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</si>
  <si>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</si>
  <si>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</si>
  <si>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</si>
  <si>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</si>
  <si>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</si>
  <si>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</si>
  <si>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</si>
  <si>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</si>
  <si>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</si>
  <si>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</si>
  <si>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</si>
  <si>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</si>
  <si>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</si>
  <si>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</si>
  <si>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</si>
  <si>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</si>
  <si>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</si>
  <si>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</si>
  <si>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</si>
  <si>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</si>
  <si>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</si>
  <si>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</si>
  <si>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</si>
  <si>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</si>
  <si>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</si>
  <si>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</si>
  <si>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</si>
  <si>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</si>
  <si>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</si>
  <si>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</si>
  <si>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</si>
  <si>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</si>
  <si>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</si>
  <si>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</si>
  <si>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</si>
  <si>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</si>
  <si>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</si>
  <si>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</si>
  <si>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</si>
  <si>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</si>
  <si>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</si>
  <si>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</si>
  <si>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</si>
  <si>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</si>
  <si>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</si>
  <si>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</si>
  <si>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</si>
  <si>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</si>
  <si>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</si>
  <si>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</si>
  <si>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</si>
  <si>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</si>
  <si>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</si>
  <si>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</si>
  <si>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</si>
  <si>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</si>
  <si>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</si>
  <si>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</si>
  <si>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</si>
  <si>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</si>
  <si>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</si>
  <si>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</si>
  <si>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</si>
  <si>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</si>
  <si>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</si>
  <si>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</si>
  <si>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</si>
  <si>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</si>
  <si>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</si>
  <si>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</si>
  <si>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</si>
  <si>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</si>
  <si>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</si>
  <si>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</si>
  <si>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</si>
  <si>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</si>
  <si>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</si>
  <si>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</si>
  <si>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</si>
  <si>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</si>
  <si>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</si>
  <si>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</si>
  <si>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</si>
  <si>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</si>
  <si>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</si>
  <si>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</si>
  <si>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</si>
  <si>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</si>
  <si>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</si>
  <si>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</si>
  <si>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</si>
  <si>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</si>
  <si>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</si>
  <si>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</si>
  <si>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</si>
  <si>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</si>
  <si>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</si>
  <si>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</si>
  <si>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</si>
  <si>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</si>
  <si>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</si>
  <si>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</si>
  <si>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</si>
  <si>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</si>
  <si>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</si>
  <si>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</si>
  <si>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</si>
  <si>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</si>
  <si>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</si>
  <si>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</si>
  <si>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</si>
  <si>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</si>
  <si>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</si>
  <si>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</si>
  <si>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</si>
  <si>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</si>
  <si>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</si>
  <si>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</si>
  <si>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</si>
  <si>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</si>
  <si>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</si>
  <si>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</si>
  <si>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</si>
  <si>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</si>
  <si>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</si>
  <si>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</si>
  <si>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</si>
  <si>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</si>
  <si>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</si>
  <si>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</si>
  <si>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</si>
  <si>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</si>
  <si>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</si>
  <si>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</si>
  <si>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</si>
  <si>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</si>
  <si>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</si>
  <si>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</si>
  <si>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</si>
  <si>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</si>
  <si>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</si>
  <si>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</si>
  <si>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</si>
  <si>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</si>
  <si>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</si>
  <si>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</si>
  <si>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</si>
  <si>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</si>
  <si>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</si>
  <si>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</si>
  <si>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</si>
  <si>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</si>
  <si>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</si>
  <si>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</si>
  <si>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</si>
  <si>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</si>
  <si>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</si>
  <si>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</si>
  <si>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</si>
  <si>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</si>
  <si>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</si>
  <si>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</si>
  <si>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</si>
  <si>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</si>
  <si>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</si>
  <si>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</si>
  <si>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</si>
  <si>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</si>
  <si>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</si>
  <si>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</si>
  <si>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</si>
  <si>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</si>
  <si>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</si>
  <si>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</si>
  <si>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</si>
  <si>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</si>
  <si>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</si>
  <si>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</si>
  <si>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</si>
  <si>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</si>
  <si>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</si>
  <si>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</si>
  <si>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</si>
  <si>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</si>
  <si>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</si>
  <si>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</si>
  <si>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</si>
  <si>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</si>
  <si>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</si>
  <si>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</si>
  <si>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</si>
  <si>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</si>
  <si>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</si>
  <si>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</si>
  <si>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</si>
  <si>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</si>
  <si>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</si>
  <si>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</si>
  <si>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</si>
  <si>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</si>
  <si>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</si>
  <si>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</si>
  <si>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</si>
  <si>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</si>
  <si>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</si>
  <si>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</si>
  <si>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</si>
  <si>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</si>
  <si>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</si>
  <si>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</si>
  <si>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</si>
  <si>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</si>
  <si>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</si>
  <si>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</si>
  <si>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</si>
  <si>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</si>
  <si>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</si>
  <si>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</si>
  <si>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</si>
  <si>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</si>
  <si>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</si>
  <si>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</si>
  <si>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</si>
  <si>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</si>
  <si>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</si>
  <si>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</si>
  <si>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</si>
  <si>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</si>
  <si>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</si>
  <si>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</si>
  <si>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</si>
  <si>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</si>
  <si>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</si>
  <si>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</si>
  <si>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</si>
  <si>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</si>
  <si>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</si>
  <si>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</si>
  <si>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</si>
  <si>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</si>
  <si>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</si>
  <si>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</si>
  <si>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</si>
  <si>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</si>
  <si>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</si>
  <si>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</si>
  <si>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</si>
  <si>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</si>
  <si>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</si>
  <si>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</si>
  <si>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</si>
  <si>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</si>
  <si>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</si>
  <si>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</si>
  <si>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</si>
  <si>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</si>
  <si>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</si>
  <si>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</si>
  <si>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</si>
  <si>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</si>
  <si>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</si>
  <si>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</si>
  <si>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</si>
  <si>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</si>
  <si>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</si>
  <si>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</si>
  <si>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</si>
  <si>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</si>
  <si>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</si>
  <si>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</si>
  <si>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</si>
  <si>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</si>
  <si>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</si>
  <si>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</si>
  <si>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</si>
  <si>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</si>
  <si>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</si>
  <si>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</si>
  <si>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</si>
  <si>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</si>
  <si>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</si>
  <si>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</si>
  <si>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</si>
  <si>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</si>
  <si>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</si>
  <si>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</si>
  <si>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</si>
  <si>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</si>
  <si>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</si>
  <si>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</si>
  <si>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</si>
  <si>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</si>
  <si>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</si>
  <si>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</si>
  <si>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</si>
  <si>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</si>
  <si>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</si>
  <si>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</si>
  <si>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</si>
  <si>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</si>
  <si>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</si>
  <si>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</si>
  <si>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</si>
  <si>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</si>
  <si>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</si>
  <si>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</si>
  <si>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</si>
  <si>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</si>
  <si>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</si>
  <si>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</si>
  <si>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</si>
  <si>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</si>
  <si>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</si>
  <si>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</si>
  <si>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</si>
  <si>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</si>
  <si>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</si>
  <si>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</si>
  <si>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</si>
  <si>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</si>
  <si>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</si>
  <si>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</si>
  <si>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</si>
  <si>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</si>
  <si>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</si>
  <si>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</si>
  <si>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</si>
  <si>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</si>
  <si>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</si>
  <si>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</si>
  <si>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</si>
  <si>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</si>
  <si>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</si>
  <si>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</si>
  <si>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</si>
  <si>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</si>
  <si>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</si>
  <si>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</si>
  <si>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</si>
  <si>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</si>
  <si>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</si>
  <si>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</si>
  <si>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</si>
  <si>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</si>
  <si>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</si>
  <si>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</si>
  <si>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</si>
  <si>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</si>
  <si>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</si>
  <si>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</si>
  <si>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</si>
  <si>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</si>
  <si>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</si>
  <si>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</si>
  <si>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</si>
  <si>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</si>
  <si>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</si>
  <si>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</si>
  <si>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</si>
  <si>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</si>
  <si>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</si>
  <si>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</si>
  <si>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</si>
  <si>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</si>
  <si>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</si>
  <si>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</si>
  <si>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</si>
  <si>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</si>
  <si>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</si>
  <si>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</si>
  <si>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</si>
  <si>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</si>
  <si>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</si>
  <si>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</si>
  <si>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</si>
  <si>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</si>
  <si>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</si>
  <si>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</si>
  <si>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</si>
  <si>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</si>
  <si>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</si>
  <si>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</si>
  <si>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</si>
  <si>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</si>
  <si>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</si>
  <si>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</si>
  <si>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</si>
  <si>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</si>
  <si>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</si>
  <si>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</si>
  <si>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</si>
  <si>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</si>
  <si>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</si>
  <si>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</si>
  <si>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</si>
  <si>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</si>
  <si>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</si>
  <si>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</si>
  <si>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</si>
  <si>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</si>
  <si>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</si>
  <si>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</si>
  <si>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</si>
  <si>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</si>
  <si>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</si>
  <si>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</si>
  <si>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</si>
  <si>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</si>
  <si>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</si>
  <si>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</si>
  <si>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</si>
  <si>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</si>
  <si>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</si>
  <si>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</si>
  <si>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</si>
  <si>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</si>
  <si>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</si>
  <si>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</si>
  <si>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</si>
  <si>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</si>
  <si>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</si>
  <si>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</si>
  <si>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</si>
  <si>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</si>
  <si>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</si>
  <si>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</si>
  <si>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</si>
  <si>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</si>
  <si>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</si>
  <si>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</si>
  <si>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</si>
  <si>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</si>
  <si>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</si>
  <si>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</si>
  <si>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</si>
  <si>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</si>
  <si>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</si>
  <si>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</si>
  <si>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</si>
  <si>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</si>
  <si>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</si>
  <si>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</si>
  <si>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</si>
  <si>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</si>
  <si>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</si>
  <si>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</si>
  <si>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</si>
  <si>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</si>
  <si>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</si>
  <si>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</si>
  <si>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</si>
  <si>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</si>
  <si>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</si>
  <si>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</si>
  <si>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</si>
  <si>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</si>
  <si>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</si>
  <si>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</si>
  <si>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</si>
  <si>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</si>
  <si>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</si>
  <si>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</si>
  <si>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</si>
  <si>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</si>
  <si>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</si>
  <si>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</si>
  <si>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</si>
  <si>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</si>
  <si>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</si>
  <si>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</si>
  <si>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</si>
  <si>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</si>
  <si>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</si>
  <si>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</si>
  <si>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</si>
  <si>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</si>
  <si>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</si>
  <si>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</si>
  <si>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</si>
  <si>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</si>
  <si>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</si>
  <si>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</si>
  <si>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</si>
  <si>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</si>
  <si>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</si>
  <si>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</si>
  <si>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</si>
  <si>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</si>
  <si>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</si>
  <si>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</si>
  <si>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</si>
  <si>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</si>
  <si>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</si>
  <si>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</si>
  <si>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</si>
  <si>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</si>
  <si>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</si>
  <si>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</si>
  <si>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</si>
  <si>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</si>
  <si>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</si>
  <si>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</si>
  <si>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</si>
  <si>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</si>
  <si>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</si>
  <si>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</si>
  <si>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</si>
  <si>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</si>
  <si>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</si>
  <si>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</si>
  <si>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</si>
  <si>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</si>
  <si>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</si>
  <si>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</si>
  <si>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</si>
  <si>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</si>
  <si>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</si>
  <si>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</si>
  <si>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</si>
  <si>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</si>
  <si>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</si>
  <si>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</si>
  <si>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</si>
  <si>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</si>
  <si>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</si>
  <si>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</si>
  <si>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</si>
  <si>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</si>
  <si>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</si>
  <si>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</si>
  <si>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</si>
  <si>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</si>
  <si>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</si>
  <si>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</si>
  <si>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</si>
  <si>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</si>
  <si>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</si>
  <si>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</si>
  <si>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</si>
  <si>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</si>
  <si>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</si>
  <si>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</si>
  <si>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</si>
  <si>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</si>
  <si>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</si>
  <si>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</si>
  <si>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</si>
  <si>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</si>
  <si>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</si>
  <si>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</si>
  <si>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</si>
  <si>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</si>
  <si>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</si>
  <si>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</si>
  <si>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</si>
  <si>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</si>
  <si>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</si>
  <si>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</si>
  <si>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</si>
  <si>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</si>
  <si>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</si>
  <si>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</si>
  <si>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</si>
  <si>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</si>
  <si>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</si>
  <si>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</si>
  <si>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</si>
  <si>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</si>
  <si>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</si>
  <si>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</si>
  <si>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</si>
  <si>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</si>
  <si>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</si>
  <si>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</si>
  <si>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</si>
  <si>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</si>
  <si>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</si>
  <si>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</si>
  <si>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</si>
  <si>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</si>
  <si>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</si>
  <si>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</si>
  <si>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</si>
  <si>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</si>
  <si>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</si>
  <si>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</si>
  <si>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</si>
  <si>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</si>
  <si>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</si>
  <si>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</si>
  <si>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</si>
  <si>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</si>
  <si>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</si>
  <si>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</si>
  <si>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</si>
  <si>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</si>
  <si>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</si>
  <si>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</si>
  <si>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</si>
  <si>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</si>
  <si>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</si>
  <si>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</si>
  <si>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</si>
  <si>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</si>
  <si>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</si>
  <si>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</si>
  <si>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</si>
  <si>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</si>
  <si>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</si>
  <si>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</si>
  <si>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</si>
  <si>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</si>
  <si>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</si>
  <si>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</si>
  <si>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</si>
  <si>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</si>
  <si>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</si>
  <si>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</si>
  <si>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</si>
  <si>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</si>
  <si>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</si>
  <si>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</si>
  <si>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</si>
  <si>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</si>
  <si>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</si>
  <si>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</si>
  <si>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</si>
  <si>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</si>
  <si>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</si>
  <si>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</si>
  <si>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</si>
  <si>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</si>
  <si>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</si>
  <si>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</si>
  <si>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</si>
  <si>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</si>
  <si>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</si>
  <si>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</si>
  <si>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</si>
  <si>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</si>
  <si>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</si>
  <si>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</si>
  <si>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</si>
  <si>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</si>
  <si>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</si>
  <si>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</si>
  <si>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</si>
  <si>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</si>
  <si>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</si>
  <si>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</si>
  <si>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</si>
  <si>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</si>
  <si>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</si>
  <si>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</si>
  <si>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</si>
  <si>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</si>
  <si>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</si>
  <si>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</si>
  <si>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</si>
  <si>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</si>
  <si>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</si>
  <si>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</si>
  <si>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</si>
  <si>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</si>
  <si>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</si>
  <si>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</si>
  <si>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</si>
  <si>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</si>
  <si>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</si>
  <si>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</si>
  <si>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</si>
  <si>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</si>
  <si>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</si>
  <si>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</si>
  <si>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</si>
  <si>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</si>
  <si>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</si>
  <si>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</si>
  <si>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</si>
  <si>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</si>
  <si>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</si>
  <si>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</si>
  <si>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</si>
  <si>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</si>
  <si>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</si>
  <si>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</si>
  <si>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</si>
  <si>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</si>
  <si>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</si>
  <si>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</si>
  <si>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</si>
  <si>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</si>
  <si>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</si>
  <si>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</si>
  <si>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</si>
  <si>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</si>
  <si>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</si>
  <si>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</si>
  <si>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</si>
  <si>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</si>
  <si>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</si>
  <si>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</si>
  <si>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</si>
  <si>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</si>
  <si>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</si>
  <si>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</si>
  <si>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</si>
  <si>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</si>
  <si>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</si>
  <si>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</si>
  <si>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</si>
  <si>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</si>
  <si>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</si>
  <si>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</si>
  <si>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</si>
  <si>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</si>
  <si>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</si>
  <si>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</si>
  <si>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</si>
  <si>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</si>
  <si>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</si>
  <si>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</si>
  <si>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</si>
  <si>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</si>
  <si>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</si>
  <si>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</si>
  <si>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</si>
  <si>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</si>
  <si>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</si>
  <si>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</si>
  <si>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</si>
  <si>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</si>
  <si>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</si>
  <si>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</si>
  <si>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</si>
  <si>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</si>
  <si>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</si>
  <si>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</si>
  <si>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</si>
  <si>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</si>
  <si>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</si>
  <si>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</si>
  <si>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</si>
  <si>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</si>
  <si>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</si>
  <si>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</si>
  <si>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</si>
  <si>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</si>
  <si>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</si>
  <si>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</si>
  <si>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</si>
  <si>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</si>
  <si>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</si>
  <si>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</si>
  <si>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</si>
  <si>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</si>
  <si>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</si>
  <si>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</si>
  <si>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</si>
  <si>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</si>
  <si>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</si>
  <si>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</si>
  <si>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</si>
  <si>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</si>
  <si>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</si>
  <si>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</si>
  <si>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</si>
  <si>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</si>
  <si>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</si>
  <si>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</si>
  <si>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</si>
  <si>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</si>
  <si>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</si>
  <si>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</si>
  <si>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</si>
  <si>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</si>
  <si>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</si>
  <si>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</si>
  <si>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</si>
  <si>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</si>
  <si>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</si>
  <si>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</si>
  <si>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</si>
  <si>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</si>
  <si>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</si>
  <si>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</si>
  <si>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</si>
  <si>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</si>
  <si>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</si>
  <si>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</si>
  <si>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</si>
  <si>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</si>
  <si>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</si>
  <si>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</si>
  <si>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</si>
  <si>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</si>
  <si>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</si>
  <si>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</si>
  <si>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</si>
  <si>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</si>
  <si>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</si>
  <si>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</si>
  <si>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</si>
  <si>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</si>
  <si>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</si>
  <si>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</si>
  <si>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</si>
  <si>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</si>
  <si>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</si>
  <si>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</si>
  <si>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</si>
  <si>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</si>
  <si>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</si>
  <si>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</si>
  <si>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</si>
  <si>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</si>
  <si>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</si>
  <si>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</si>
  <si>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</si>
  <si>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</si>
  <si>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</si>
  <si>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</si>
  <si>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</si>
  <si>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</si>
  <si>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</si>
  <si>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</si>
  <si>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</si>
  <si>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</si>
  <si>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</si>
  <si>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</si>
  <si>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</si>
  <si>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</si>
  <si>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</si>
  <si>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</si>
  <si>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</si>
  <si>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</si>
  <si>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</si>
  <si>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</si>
  <si>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</si>
  <si>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</si>
  <si>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</si>
  <si>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</si>
  <si>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</si>
  <si>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</si>
  <si>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</si>
  <si>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</si>
  <si>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</si>
  <si>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</si>
  <si>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</si>
  <si>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</si>
  <si>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</si>
  <si>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</si>
  <si>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</si>
  <si>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</si>
  <si>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</si>
  <si>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</si>
  <si>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</si>
  <si>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</si>
  <si>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</si>
  <si>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</si>
  <si>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</si>
  <si>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</si>
  <si>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</si>
  <si>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</si>
  <si>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</si>
  <si>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</si>
  <si>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</si>
  <si>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</si>
  <si>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</si>
  <si>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</si>
  <si>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</si>
  <si>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</si>
  <si>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</si>
  <si>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</si>
  <si>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</si>
  <si>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</si>
  <si>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</si>
  <si>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</si>
  <si>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</si>
  <si>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</si>
  <si>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</si>
  <si>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</si>
  <si>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</si>
  <si>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</si>
  <si>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</si>
  <si>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</si>
  <si>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</si>
  <si>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</si>
  <si>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</si>
  <si>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</si>
  <si>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</si>
  <si>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</si>
  <si>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</si>
  <si>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</si>
  <si>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</si>
  <si>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</si>
  <si>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</si>
  <si>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</si>
  <si>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</si>
  <si>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</si>
  <si>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</si>
  <si>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</si>
  <si>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</si>
  <si>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</si>
  <si>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</si>
  <si>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</si>
  <si>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</si>
  <si>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</si>
  <si>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</si>
  <si>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</si>
  <si>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</si>
  <si>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</si>
  <si>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</si>
  <si>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</si>
  <si>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</si>
  <si>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</si>
  <si>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</si>
  <si>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</si>
  <si>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</si>
  <si>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</si>
  <si>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</si>
  <si>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</si>
  <si>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</si>
  <si>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</si>
  <si>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</si>
  <si>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</si>
  <si>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</si>
  <si>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</si>
  <si>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</si>
  <si>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</si>
  <si>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</si>
  <si>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</si>
  <si>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</si>
  <si>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</si>
  <si>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</si>
  <si>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</si>
  <si>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</si>
  <si>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</si>
  <si>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</si>
  <si>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</si>
  <si>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</si>
  <si>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</si>
  <si>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</si>
  <si>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</si>
  <si>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</si>
  <si>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</si>
  <si>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</si>
  <si>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</si>
  <si>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</si>
  <si>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</si>
  <si>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</si>
  <si>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</si>
  <si>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</si>
  <si>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</si>
  <si>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</si>
  <si>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</si>
  <si>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</si>
  <si>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</si>
  <si>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</si>
  <si>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</si>
  <si>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</si>
  <si>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</si>
  <si>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Ⅵ-空港B</t>
  </si>
  <si>
    <t>银行网点</t>
  </si>
  <si>
    <t>银行网点</t>
    <phoneticPr fontId="3" type="noConversion"/>
  </si>
  <si>
    <t>是</t>
  </si>
  <si>
    <t>地上</t>
  </si>
  <si>
    <t>其他</t>
    <phoneticPr fontId="3" type="noConversion"/>
  </si>
  <si>
    <t>否</t>
  </si>
  <si>
    <t>成新度</t>
  </si>
  <si>
    <t>收益法 (元)</t>
  </si>
  <si>
    <t>自定义容积率</t>
  </si>
  <si>
    <t>不临65条商业街</t>
  </si>
  <si>
    <t>与级别开发程度一致</t>
  </si>
  <si>
    <t>按公示增长率计算</t>
  </si>
  <si>
    <t>中心城区</t>
  </si>
  <si>
    <t>未包含在土地购买价格中</t>
  </si>
  <si>
    <t>已包含在土地取得成本中</t>
  </si>
  <si>
    <t>单套模式</t>
  </si>
  <si>
    <t>租金</t>
  </si>
  <si>
    <t>收益法</t>
  </si>
  <si>
    <t>直线法成新度</t>
  </si>
  <si>
    <t>结构残值率（%）</t>
  </si>
  <si>
    <t>序号</t>
  </si>
  <si>
    <t>项目</t>
  </si>
  <si>
    <t>数额（元）</t>
  </si>
  <si>
    <t>计算公式</t>
  </si>
  <si>
    <t>收费标准</t>
  </si>
  <si>
    <t>已经使用年限（年）</t>
  </si>
  <si>
    <t>25</t>
  </si>
  <si>
    <t>一</t>
  </si>
  <si>
    <t>房地产价值</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</si>
  <si>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</si>
  <si>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</si>
  <si>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</si>
  <si>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</si>
  <si>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</si>
  <si>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</si>
  <si>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</si>
  <si>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</si>
  <si>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</si>
  <si>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</si>
  <si>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</si>
  <si>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</si>
  <si>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</si>
  <si>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</si>
  <si>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</si>
  <si>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</si>
  <si>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</si>
  <si>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</si>
  <si>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</si>
  <si>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</si>
  <si>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</si>
  <si>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</si>
  <si>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</si>
  <si>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</si>
  <si>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</si>
  <si>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</si>
  <si>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</si>
  <si>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</si>
  <si>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</si>
  <si>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</si>
  <si>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</si>
  <si>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</si>
  <si>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</si>
  <si>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</si>
  <si>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</si>
  <si>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</si>
  <si>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</si>
  <si>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</si>
  <si>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</si>
  <si>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</si>
  <si>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</si>
  <si>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</si>
  <si>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</si>
  <si>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</si>
  <si>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</si>
  <si>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</si>
  <si>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</si>
  <si>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</si>
  <si>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</si>
  <si>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</si>
  <si>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</si>
  <si>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</si>
  <si>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</si>
  <si>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</si>
  <si>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</si>
  <si>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</si>
  <si>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</si>
  <si>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</si>
  <si>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</si>
  <si>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</si>
  <si>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</si>
  <si>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</si>
  <si>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</si>
  <si>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</si>
  <si>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</si>
  <si>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</si>
  <si>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</si>
  <si>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</si>
  <si>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</si>
  <si>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直接资本化</t>
  </si>
  <si>
    <t>5.1</t>
  </si>
  <si>
    <t>1-2项产生的利润</t>
  </si>
  <si>
    <t>（1+2)×利润率</t>
  </si>
  <si>
    <t>投资利润率（%）</t>
  </si>
  <si>
    <t>（1+2）×年利率×建设期÷2</t>
  </si>
  <si>
    <t>销售费用产生的利润</t>
  </si>
  <si>
    <t>3×利润率</t>
  </si>
  <si>
    <t>售价</t>
  </si>
  <si>
    <t>6</t>
  </si>
  <si>
    <t>销售税费</t>
  </si>
  <si>
    <t>V×费率÷（1+5%）</t>
  </si>
  <si>
    <t>直接资本化率</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</si>
  <si>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</si>
  <si>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</si>
  <si>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</si>
  <si>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</si>
  <si>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</si>
  <si>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</si>
  <si>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</si>
  <si>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</si>
  <si>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</si>
  <si>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</si>
  <si>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</si>
  <si>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</si>
  <si>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</si>
  <si>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</si>
  <si>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</si>
  <si>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</si>
  <si>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</si>
  <si>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</si>
  <si>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</si>
  <si>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</si>
  <si>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</si>
  <si>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</si>
  <si>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</si>
  <si>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</si>
  <si>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</si>
  <si>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t xml:space="preserve"> </t>
  </si>
  <si>
    <r>
      <rPr>
        <b/>
        <sz val="9"/>
        <rFont val="宋体"/>
        <family val="3"/>
        <charset val="134"/>
        <scheme val="minor"/>
      </rPr>
      <t>估价对象</t>
    </r>
    <r>
      <rPr>
        <b/>
        <sz val="9"/>
        <color rgb="FFFF0000"/>
        <rFont val="宋体"/>
        <family val="3"/>
        <charset val="134"/>
      </rPr>
      <t>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</si>
  <si>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</si>
  <si>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</si>
  <si>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</si>
  <si>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</si>
  <si>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</si>
  <si>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</si>
  <si>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</si>
  <si>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</si>
  <si>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</si>
  <si>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</si>
  <si>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</si>
  <si>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 xml:space="preserve">                                                                                                                                                                                                                                                                                                                                                                                                                                                                                                                                                                                                                                                                                                                                                                                                                                                                                                                                                                                           </t>
  </si>
  <si>
    <t>中粮祥云小镇</t>
  </si>
  <si>
    <t>国门一号</t>
  </si>
  <si>
    <t>正常</t>
  </si>
  <si>
    <t>好</t>
  </si>
  <si>
    <t>较好</t>
  </si>
  <si>
    <t>七通</t>
  </si>
  <si>
    <t>一般</t>
  </si>
  <si>
    <t>单面临街</t>
  </si>
  <si>
    <t>大</t>
  </si>
  <si>
    <t>1层</t>
  </si>
  <si>
    <t>配套底商</t>
  </si>
  <si>
    <t>钢混</t>
  </si>
  <si>
    <t>普通装修</t>
  </si>
  <si>
    <t>标准层高</t>
  </si>
  <si>
    <t>挂牌</t>
  </si>
  <si>
    <t>较大</t>
  </si>
  <si>
    <t>商业</t>
    <phoneticPr fontId="134" type="noConversion"/>
  </si>
  <si>
    <t>居住社区成熟度</t>
  </si>
  <si>
    <t>多面临街</t>
  </si>
  <si>
    <t>双面临街</t>
  </si>
  <si>
    <t>较差</t>
  </si>
  <si>
    <t>较小</t>
  </si>
  <si>
    <t>差</t>
  </si>
  <si>
    <t>砖混</t>
  </si>
  <si>
    <t>精装修</t>
  </si>
  <si>
    <t>可餐饮</t>
  </si>
  <si>
    <t>不可餐饮</t>
  </si>
  <si>
    <t>毛坯</t>
  </si>
  <si>
    <t>简单装修</t>
    <phoneticPr fontId="134" type="noConversion"/>
  </si>
  <si>
    <t>绿地启航国际南区</t>
    <phoneticPr fontId="134" type="noConversion"/>
  </si>
  <si>
    <t>绿地启航国际北区</t>
    <phoneticPr fontId="134" type="noConversion"/>
  </si>
  <si>
    <t>金地中央世家</t>
    <phoneticPr fontId="134" type="noConversion"/>
  </si>
  <si>
    <t>较好</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</si>
</sst>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rgb="FFFF0000"/>
      <name val="宋体"/>
      <family val="3"/>
      <charset val="134"/>
    </font>
    <font>
      <b/>
      <sz val="9"/>
      <name val="宋体"/>
      <family val="3"/>
      <charset val="134"/>
    </font>
    <font>
      <sz val="9"/>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6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5" borderId="1" xfId="10" applyNumberFormat="1" applyFont="1" applyFill="1" applyBorder="1" applyAlignment="1">
      <alignment horizontal="center" vertical="center" wrapText="1" shrinkToFit="1"/>
    </xf>
    <xf numFmtId="9" fontId="277" fillId="0" borderId="1" xfId="10" applyNumberFormat="1" applyFont="1" applyBorder="1" applyAlignment="1">
      <alignment horizontal="center" vertical="center" wrapText="1"/>
    </xf>
    <xf numFmtId="179" fontId="276"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181"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0" fontId="110" fillId="5" borderId="1" xfId="10" applyFont="1" applyFill="1" applyBorder="1" applyAlignment="1">
      <alignment horizontal="center" vertical="center" wrapText="1" shrinkToFi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276" fillId="5" borderId="1" xfId="10" applyNumberFormat="1" applyFont="1" applyFill="1" applyBorder="1" applyAlignment="1">
      <alignment horizontal="center" vertical="center" wrapText="1" shrinkToFit="1"/>
    </xf>
    <xf numFmtId="0" fontId="95" fillId="0" borderId="0" xfId="10" applyAlignment="1">
      <alignment horizontal="left" vertical="center" wrapText="1" shrinkToFit="1"/>
    </xf>
    <xf numFmtId="2" fontId="95" fillId="0" borderId="0" xfId="10" applyNumberFormat="1" applyAlignment="1">
      <alignment horizontal="left" vertical="center" wrapText="1" shrinkToFit="1"/>
    </xf>
    <xf numFmtId="9" fontId="110" fillId="0" borderId="0" xfId="10" applyNumberFormat="1" applyFont="1" applyAlignment="1">
      <alignment horizontal="center" vertical="center"/>
    </xf>
    <xf numFmtId="181" fontId="95" fillId="0" borderId="0" xfId="10" applyNumberFormat="1" applyAlignment="1">
      <alignment horizontal="left" vertical="center" wrapText="1" shrinkToFit="1"/>
    </xf>
    <xf numFmtId="181" fontId="271" fillId="0" borderId="0" xfId="10" applyNumberFormat="1" applyFont="1" applyAlignment="1">
      <alignment horizontal="left" vertical="center" wrapText="1" shrinkToFit="1"/>
    </xf>
    <xf numFmtId="49" fontId="110" fillId="0" borderId="54" xfId="10" applyNumberFormat="1" applyFont="1" applyBorder="1" applyAlignment="1">
      <alignment horizontal="center" vertical="center" wrapText="1" shrinkToFit="1"/>
    </xf>
    <xf numFmtId="2" fontId="95" fillId="0" borderId="0" xfId="10" applyNumberFormat="1">
      <alignment vertical="center"/>
    </xf>
    <xf numFmtId="1" fontId="95" fillId="0" borderId="0" xfId="10" applyNumberFormat="1" applyAlignment="1">
      <alignment vertical="center" wrapText="1" shrinkToFit="1"/>
    </xf>
    <xf numFmtId="2" fontId="95" fillId="0" borderId="0" xfId="10" applyNumberFormat="1" applyAlignment="1">
      <alignment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31" fontId="95" fillId="0" borderId="0" xfId="10" applyNumberFormat="1">
      <alignment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9" fontId="95" fillId="0" borderId="0" xfId="10" applyNumberForma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9" fontId="246" fillId="0" borderId="0" xfId="19" applyFont="1" applyFill="1" applyAlignment="1">
      <alignment horizontal="center" vertical="center" wrapText="1"/>
    </xf>
    <xf numFmtId="0" fontId="284" fillId="0" borderId="0" xfId="10" applyFont="1" applyAlignment="1">
      <alignment vertical="center" wrapText="1"/>
    </xf>
    <xf numFmtId="0" fontId="271" fillId="0" borderId="0" xfId="10" applyFont="1" applyAlignment="1">
      <alignment vertical="center" wrapText="1"/>
    </xf>
    <xf numFmtId="176"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185" fontId="134" fillId="0" borderId="1" xfId="10" applyNumberFormat="1" applyFont="1" applyBorder="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10" fontId="160" fillId="12" borderId="1" xfId="17" applyNumberFormat="1"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9" borderId="5" xfId="10" applyFont="1" applyFill="1" applyBorder="1" applyAlignment="1">
      <alignment horizontal="center" vertical="center" wrapText="1" shrinkToFit="1"/>
    </xf>
    <xf numFmtId="0" fontId="110" fillId="9" borderId="54" xfId="10" applyFont="1" applyFill="1" applyBorder="1" applyAlignment="1">
      <alignment horizontal="center" vertical="center" wrapText="1" shrinkToFit="1"/>
    </xf>
    <xf numFmtId="0" fontId="110" fillId="9" borderId="3" xfId="10" applyFont="1" applyFill="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84"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276" fillId="5" borderId="1" xfId="10" applyNumberFormat="1" applyFont="1" applyFill="1" applyBorder="1" applyAlignment="1">
      <alignment horizontal="center" vertical="center" wrapText="1" shrinkToFit="1"/>
    </xf>
    <xf numFmtId="10" fontId="110" fillId="7" borderId="54" xfId="10" applyNumberFormat="1" applyFont="1" applyFill="1" applyBorder="1" applyAlignment="1">
      <alignment horizontal="left" vertical="center" wrapText="1" shrinkToFit="1"/>
    </xf>
    <xf numFmtId="10" fontId="110" fillId="7" borderId="3" xfId="10" applyNumberFormat="1" applyFont="1" applyFill="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0" fontId="110" fillId="0" borderId="54" xfId="10" applyNumberFormat="1" applyFont="1" applyBorder="1" applyAlignment="1">
      <alignment horizontal="left" vertical="center" wrapText="1" shrinkToFit="1"/>
    </xf>
    <xf numFmtId="179" fontId="110" fillId="23" borderId="46" xfId="10" applyNumberFormat="1" applyFont="1" applyFill="1" applyBorder="1" applyAlignment="1">
      <alignment horizontal="center" vertical="center" wrapText="1" shrinkToFit="1"/>
    </xf>
    <xf numFmtId="179" fontId="110" fillId="23" borderId="36" xfId="10" applyNumberFormat="1" applyFont="1" applyFill="1" applyBorder="1" applyAlignment="1">
      <alignment horizontal="center" vertical="center" wrapText="1" shrinkToFit="1"/>
    </xf>
    <xf numFmtId="179" fontId="110" fillId="23" borderId="22" xfId="10" applyNumberFormat="1" applyFont="1" applyFill="1" applyBorder="1" applyAlignment="1">
      <alignment horizontal="center" vertical="center" wrapText="1" shrinkToFit="1"/>
    </xf>
    <xf numFmtId="179" fontId="110" fillId="23" borderId="4" xfId="10" applyNumberFormat="1" applyFont="1" applyFill="1" applyBorder="1" applyAlignment="1">
      <alignment horizontal="center" vertical="center" wrapText="1" shrinkToFit="1"/>
    </xf>
    <xf numFmtId="179" fontId="110" fillId="23" borderId="60" xfId="10" applyNumberFormat="1" applyFont="1" applyFill="1" applyBorder="1" applyAlignment="1">
      <alignment horizontal="center" vertical="center" wrapText="1" shrinkToFit="1"/>
    </xf>
    <xf numFmtId="179" fontId="110" fillId="23" borderId="7" xfId="10" applyNumberFormat="1" applyFont="1" applyFill="1" applyBorder="1" applyAlignment="1">
      <alignment horizontal="center" vertical="center" wrapText="1" shrinkToFit="1"/>
    </xf>
    <xf numFmtId="176" fontId="134" fillId="0" borderId="1" xfId="10" applyNumberFormat="1" applyFont="1" applyBorder="1" applyAlignment="1">
      <alignment horizontal="center" vertical="center" wrapText="1"/>
    </xf>
    <xf numFmtId="185" fontId="134" fillId="0" borderId="1" xfId="10" applyNumberFormat="1" applyFont="1" applyBorder="1" applyAlignment="1">
      <alignment horizontal="center" vertical="center" wrapText="1"/>
    </xf>
    <xf numFmtId="0" fontId="281" fillId="24"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134" fillId="5" borderId="5" xfId="10" applyNumberFormat="1" applyFont="1" applyFill="1" applyBorder="1" applyAlignment="1">
      <alignment horizontal="center" vertical="center" wrapText="1"/>
    </xf>
    <xf numFmtId="179" fontId="134" fillId="5" borderId="54" xfId="10" applyNumberFormat="1" applyFont="1" applyFill="1" applyBorder="1" applyAlignment="1">
      <alignment horizontal="center" vertical="center" wrapText="1"/>
    </xf>
    <xf numFmtId="179" fontId="134" fillId="5" borderId="3" xfId="10" applyNumberFormat="1"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4" fillId="0" borderId="37"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百分比 3" xfId="19" xr:uid="{C4DC0745-F69E-48C3-AA37-723AE242B4E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257175</xdr:colOff>
      <xdr:row>24</xdr:row>
      <xdr:rowOff>150853</xdr:rowOff>
    </xdr:to>
    <xdr:pic>
      <xdr:nvPicPr>
        <xdr:cNvPr id="2" name="图片 1">
          <a:extLst>
            <a:ext uri="{FF2B5EF4-FFF2-40B4-BE49-F238E27FC236}">
              <a16:creationId xmlns:a16="http://schemas.microsoft.com/office/drawing/2014/main" id="{0FE79622-A46F-3EE8-7287-FEDEA403CF52}"/>
            </a:ext>
          </a:extLst>
        </xdr:cNvPr>
        <xdr:cNvPicPr>
          <a:picLocks noChangeAspect="1"/>
        </xdr:cNvPicPr>
      </xdr:nvPicPr>
      <xdr:blipFill>
        <a:blip xmlns:r="http://schemas.openxmlformats.org/officeDocument/2006/relationships" r:embed="rId1"/>
        <a:stretch>
          <a:fillRect/>
        </a:stretch>
      </xdr:blipFill>
      <xdr:spPr>
        <a:xfrm>
          <a:off x="0" y="0"/>
          <a:ext cx="7800975" cy="4265653"/>
        </a:xfrm>
        <a:prstGeom prst="rect">
          <a:avLst/>
        </a:prstGeom>
      </xdr:spPr>
    </xdr:pic>
    <xdr:clientData/>
  </xdr:twoCellAnchor>
  <xdr:twoCellAnchor editAs="oneCell">
    <xdr:from>
      <xdr:col>0</xdr:col>
      <xdr:colOff>0</xdr:colOff>
      <xdr:row>25</xdr:row>
      <xdr:rowOff>57150</xdr:rowOff>
    </xdr:from>
    <xdr:to>
      <xdr:col>4</xdr:col>
      <xdr:colOff>332990</xdr:colOff>
      <xdr:row>41</xdr:row>
      <xdr:rowOff>18712</xdr:rowOff>
    </xdr:to>
    <xdr:pic>
      <xdr:nvPicPr>
        <xdr:cNvPr id="4" name="图片 3">
          <a:extLst>
            <a:ext uri="{FF2B5EF4-FFF2-40B4-BE49-F238E27FC236}">
              <a16:creationId xmlns:a16="http://schemas.microsoft.com/office/drawing/2014/main" id="{91D87D44-05C8-7D4B-99E8-9137857E0B7B}"/>
            </a:ext>
          </a:extLst>
        </xdr:cNvPr>
        <xdr:cNvPicPr>
          <a:picLocks noChangeAspect="1"/>
        </xdr:cNvPicPr>
      </xdr:nvPicPr>
      <xdr:blipFill>
        <a:blip xmlns:r="http://schemas.openxmlformats.org/officeDocument/2006/relationships" r:embed="rId2"/>
        <a:stretch>
          <a:fillRect/>
        </a:stretch>
      </xdr:blipFill>
      <xdr:spPr>
        <a:xfrm>
          <a:off x="0" y="4343400"/>
          <a:ext cx="3076190" cy="2704762"/>
        </a:xfrm>
        <a:prstGeom prst="rect">
          <a:avLst/>
        </a:prstGeom>
      </xdr:spPr>
    </xdr:pic>
    <xdr:clientData/>
  </xdr:twoCellAnchor>
  <xdr:twoCellAnchor editAs="oneCell">
    <xdr:from>
      <xdr:col>4</xdr:col>
      <xdr:colOff>304800</xdr:colOff>
      <xdr:row>31</xdr:row>
      <xdr:rowOff>133350</xdr:rowOff>
    </xdr:from>
    <xdr:to>
      <xdr:col>14</xdr:col>
      <xdr:colOff>275371</xdr:colOff>
      <xdr:row>43</xdr:row>
      <xdr:rowOff>75950</xdr:rowOff>
    </xdr:to>
    <xdr:pic>
      <xdr:nvPicPr>
        <xdr:cNvPr id="5" name="图片 4">
          <a:extLst>
            <a:ext uri="{FF2B5EF4-FFF2-40B4-BE49-F238E27FC236}">
              <a16:creationId xmlns:a16="http://schemas.microsoft.com/office/drawing/2014/main" id="{C79A1551-EFF8-CFDE-551D-1DE0BC99402C}"/>
            </a:ext>
          </a:extLst>
        </xdr:cNvPr>
        <xdr:cNvPicPr>
          <a:picLocks noChangeAspect="1"/>
        </xdr:cNvPicPr>
      </xdr:nvPicPr>
      <xdr:blipFill>
        <a:blip xmlns:r="http://schemas.openxmlformats.org/officeDocument/2006/relationships" r:embed="rId3"/>
        <a:stretch>
          <a:fillRect/>
        </a:stretch>
      </xdr:blipFill>
      <xdr:spPr>
        <a:xfrm>
          <a:off x="3048000" y="5448300"/>
          <a:ext cx="6828571" cy="2000000"/>
        </a:xfrm>
        <a:prstGeom prst="rect">
          <a:avLst/>
        </a:prstGeom>
      </xdr:spPr>
    </xdr:pic>
    <xdr:clientData/>
  </xdr:twoCellAnchor>
  <xdr:twoCellAnchor editAs="oneCell">
    <xdr:from>
      <xdr:col>4</xdr:col>
      <xdr:colOff>409575</xdr:colOff>
      <xdr:row>43</xdr:row>
      <xdr:rowOff>161925</xdr:rowOff>
    </xdr:from>
    <xdr:to>
      <xdr:col>14</xdr:col>
      <xdr:colOff>37289</xdr:colOff>
      <xdr:row>62</xdr:row>
      <xdr:rowOff>171042</xdr:rowOff>
    </xdr:to>
    <xdr:pic>
      <xdr:nvPicPr>
        <xdr:cNvPr id="6" name="图片 5">
          <a:extLst>
            <a:ext uri="{FF2B5EF4-FFF2-40B4-BE49-F238E27FC236}">
              <a16:creationId xmlns:a16="http://schemas.microsoft.com/office/drawing/2014/main" id="{2B261422-D2F3-AA3B-AAD1-C5529C43F475}"/>
            </a:ext>
          </a:extLst>
        </xdr:cNvPr>
        <xdr:cNvPicPr>
          <a:picLocks noChangeAspect="1"/>
        </xdr:cNvPicPr>
      </xdr:nvPicPr>
      <xdr:blipFill>
        <a:blip xmlns:r="http://schemas.openxmlformats.org/officeDocument/2006/relationships" r:embed="rId4"/>
        <a:stretch>
          <a:fillRect/>
        </a:stretch>
      </xdr:blipFill>
      <xdr:spPr>
        <a:xfrm>
          <a:off x="3152775" y="7534275"/>
          <a:ext cx="6485714" cy="3266667"/>
        </a:xfrm>
        <a:prstGeom prst="rect">
          <a:avLst/>
        </a:prstGeom>
      </xdr:spPr>
    </xdr:pic>
    <xdr:clientData/>
  </xdr:twoCellAnchor>
  <xdr:twoCellAnchor editAs="oneCell">
    <xdr:from>
      <xdr:col>12</xdr:col>
      <xdr:colOff>238124</xdr:colOff>
      <xdr:row>0</xdr:row>
      <xdr:rowOff>0</xdr:rowOff>
    </xdr:from>
    <xdr:to>
      <xdr:col>21</xdr:col>
      <xdr:colOff>647699</xdr:colOff>
      <xdr:row>32</xdr:row>
      <xdr:rowOff>138760</xdr:rowOff>
    </xdr:to>
    <xdr:pic>
      <xdr:nvPicPr>
        <xdr:cNvPr id="8" name="图片 7">
          <a:extLst>
            <a:ext uri="{FF2B5EF4-FFF2-40B4-BE49-F238E27FC236}">
              <a16:creationId xmlns:a16="http://schemas.microsoft.com/office/drawing/2014/main" id="{96FDCD15-1292-401D-A92C-37A9A60F003A}"/>
            </a:ext>
          </a:extLst>
        </xdr:cNvPr>
        <xdr:cNvPicPr>
          <a:picLocks noChangeAspect="1"/>
        </xdr:cNvPicPr>
      </xdr:nvPicPr>
      <xdr:blipFill>
        <a:blip xmlns:r="http://schemas.openxmlformats.org/officeDocument/2006/relationships" r:embed="rId5"/>
        <a:stretch>
          <a:fillRect/>
        </a:stretch>
      </xdr:blipFill>
      <xdr:spPr>
        <a:xfrm>
          <a:off x="8467724" y="0"/>
          <a:ext cx="6581775" cy="5625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7981</xdr:colOff>
      <xdr:row>34</xdr:row>
      <xdr:rowOff>46890</xdr:rowOff>
    </xdr:to>
    <xdr:pic>
      <xdr:nvPicPr>
        <xdr:cNvPr id="2" name="图片 1">
          <a:extLst>
            <a:ext uri="{FF2B5EF4-FFF2-40B4-BE49-F238E27FC236}">
              <a16:creationId xmlns:a16="http://schemas.microsoft.com/office/drawing/2014/main" id="{6BD843D7-C058-9525-9613-37504FED00B3}"/>
            </a:ext>
          </a:extLst>
        </xdr:cNvPr>
        <xdr:cNvPicPr>
          <a:picLocks noChangeAspect="1"/>
        </xdr:cNvPicPr>
      </xdr:nvPicPr>
      <xdr:blipFill>
        <a:blip xmlns:r="http://schemas.openxmlformats.org/officeDocument/2006/relationships" r:embed="rId1"/>
        <a:stretch>
          <a:fillRect/>
        </a:stretch>
      </xdr:blipFill>
      <xdr:spPr>
        <a:xfrm>
          <a:off x="0" y="0"/>
          <a:ext cx="12352381" cy="5876190"/>
        </a:xfrm>
        <a:prstGeom prst="rect">
          <a:avLst/>
        </a:prstGeom>
      </xdr:spPr>
    </xdr:pic>
    <xdr:clientData/>
  </xdr:twoCellAnchor>
  <xdr:twoCellAnchor editAs="oneCell">
    <xdr:from>
      <xdr:col>0</xdr:col>
      <xdr:colOff>0</xdr:colOff>
      <xdr:row>35</xdr:row>
      <xdr:rowOff>0</xdr:rowOff>
    </xdr:from>
    <xdr:to>
      <xdr:col>16</xdr:col>
      <xdr:colOff>684343</xdr:colOff>
      <xdr:row>68</xdr:row>
      <xdr:rowOff>104055</xdr:rowOff>
    </xdr:to>
    <xdr:pic>
      <xdr:nvPicPr>
        <xdr:cNvPr id="3" name="图片 2">
          <a:extLst>
            <a:ext uri="{FF2B5EF4-FFF2-40B4-BE49-F238E27FC236}">
              <a16:creationId xmlns:a16="http://schemas.microsoft.com/office/drawing/2014/main" id="{905EBA82-8333-B7B3-A673-0CBC7E9ED3E7}"/>
            </a:ext>
          </a:extLst>
        </xdr:cNvPr>
        <xdr:cNvPicPr>
          <a:picLocks noChangeAspect="1"/>
        </xdr:cNvPicPr>
      </xdr:nvPicPr>
      <xdr:blipFill>
        <a:blip xmlns:r="http://schemas.openxmlformats.org/officeDocument/2006/relationships" r:embed="rId2"/>
        <a:stretch>
          <a:fillRect/>
        </a:stretch>
      </xdr:blipFill>
      <xdr:spPr>
        <a:xfrm>
          <a:off x="0" y="6000750"/>
          <a:ext cx="11657143" cy="5761905"/>
        </a:xfrm>
        <a:prstGeom prst="rect">
          <a:avLst/>
        </a:prstGeom>
      </xdr:spPr>
    </xdr:pic>
    <xdr:clientData/>
  </xdr:twoCellAnchor>
  <xdr:twoCellAnchor editAs="oneCell">
    <xdr:from>
      <xdr:col>0</xdr:col>
      <xdr:colOff>0</xdr:colOff>
      <xdr:row>69</xdr:row>
      <xdr:rowOff>0</xdr:rowOff>
    </xdr:from>
    <xdr:to>
      <xdr:col>16</xdr:col>
      <xdr:colOff>370057</xdr:colOff>
      <xdr:row>102</xdr:row>
      <xdr:rowOff>104055</xdr:rowOff>
    </xdr:to>
    <xdr:pic>
      <xdr:nvPicPr>
        <xdr:cNvPr id="4" name="图片 3">
          <a:extLst>
            <a:ext uri="{FF2B5EF4-FFF2-40B4-BE49-F238E27FC236}">
              <a16:creationId xmlns:a16="http://schemas.microsoft.com/office/drawing/2014/main" id="{7391C32C-0CE9-F297-A428-5D6EA5461270}"/>
            </a:ext>
          </a:extLst>
        </xdr:cNvPr>
        <xdr:cNvPicPr>
          <a:picLocks noChangeAspect="1"/>
        </xdr:cNvPicPr>
      </xdr:nvPicPr>
      <xdr:blipFill>
        <a:blip xmlns:r="http://schemas.openxmlformats.org/officeDocument/2006/relationships" r:embed="rId3"/>
        <a:stretch>
          <a:fillRect/>
        </a:stretch>
      </xdr:blipFill>
      <xdr:spPr>
        <a:xfrm>
          <a:off x="0" y="11830050"/>
          <a:ext cx="11342857" cy="5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122347</xdr:colOff>
      <xdr:row>33</xdr:row>
      <xdr:rowOff>113564</xdr:rowOff>
    </xdr:to>
    <xdr:pic>
      <xdr:nvPicPr>
        <xdr:cNvPr id="2" name="图片 1">
          <a:extLst>
            <a:ext uri="{FF2B5EF4-FFF2-40B4-BE49-F238E27FC236}">
              <a16:creationId xmlns:a16="http://schemas.microsoft.com/office/drawing/2014/main" id="{1FBEA394-A6D7-4318-A77A-2A2C4A5460B3}"/>
            </a:ext>
          </a:extLst>
        </xdr:cNvPr>
        <xdr:cNvPicPr>
          <a:picLocks noChangeAspect="1"/>
        </xdr:cNvPicPr>
      </xdr:nvPicPr>
      <xdr:blipFill>
        <a:blip xmlns:r="http://schemas.openxmlformats.org/officeDocument/2006/relationships" r:embed="rId1"/>
        <a:stretch>
          <a:fillRect/>
        </a:stretch>
      </xdr:blipFill>
      <xdr:spPr>
        <a:xfrm>
          <a:off x="0" y="0"/>
          <a:ext cx="11780947" cy="5771414"/>
        </a:xfrm>
        <a:prstGeom prst="rect">
          <a:avLst/>
        </a:prstGeom>
      </xdr:spPr>
    </xdr:pic>
    <xdr:clientData/>
  </xdr:twoCellAnchor>
  <xdr:twoCellAnchor editAs="oneCell">
    <xdr:from>
      <xdr:col>0</xdr:col>
      <xdr:colOff>0</xdr:colOff>
      <xdr:row>35</xdr:row>
      <xdr:rowOff>50426</xdr:rowOff>
    </xdr:from>
    <xdr:to>
      <xdr:col>16</xdr:col>
      <xdr:colOff>191341</xdr:colOff>
      <xdr:row>65</xdr:row>
      <xdr:rowOff>82264</xdr:rowOff>
    </xdr:to>
    <xdr:pic>
      <xdr:nvPicPr>
        <xdr:cNvPr id="3" name="图片 2">
          <a:extLst>
            <a:ext uri="{FF2B5EF4-FFF2-40B4-BE49-F238E27FC236}">
              <a16:creationId xmlns:a16="http://schemas.microsoft.com/office/drawing/2014/main" id="{E9AFE5BC-98D7-4CB3-B4AB-84D3907845A8}"/>
            </a:ext>
          </a:extLst>
        </xdr:cNvPr>
        <xdr:cNvPicPr>
          <a:picLocks noChangeAspect="1"/>
        </xdr:cNvPicPr>
      </xdr:nvPicPr>
      <xdr:blipFill>
        <a:blip xmlns:r="http://schemas.openxmlformats.org/officeDocument/2006/relationships" r:embed="rId2"/>
        <a:stretch>
          <a:fillRect/>
        </a:stretch>
      </xdr:blipFill>
      <xdr:spPr>
        <a:xfrm>
          <a:off x="0" y="6051176"/>
          <a:ext cx="11164141" cy="5175338"/>
        </a:xfrm>
        <a:prstGeom prst="rect">
          <a:avLst/>
        </a:prstGeom>
      </xdr:spPr>
    </xdr:pic>
    <xdr:clientData/>
  </xdr:twoCellAnchor>
  <xdr:twoCellAnchor editAs="oneCell">
    <xdr:from>
      <xdr:col>17</xdr:col>
      <xdr:colOff>190750</xdr:colOff>
      <xdr:row>0</xdr:row>
      <xdr:rowOff>0</xdr:rowOff>
    </xdr:from>
    <xdr:to>
      <xdr:col>29</xdr:col>
      <xdr:colOff>85725</xdr:colOff>
      <xdr:row>40</xdr:row>
      <xdr:rowOff>85725</xdr:rowOff>
    </xdr:to>
    <xdr:pic>
      <xdr:nvPicPr>
        <xdr:cNvPr id="4" name="图片 3">
          <a:extLst>
            <a:ext uri="{FF2B5EF4-FFF2-40B4-BE49-F238E27FC236}">
              <a16:creationId xmlns:a16="http://schemas.microsoft.com/office/drawing/2014/main" id="{5D7F4BD3-FA73-477A-ABEF-4C8C43E8049E}"/>
            </a:ext>
          </a:extLst>
        </xdr:cNvPr>
        <xdr:cNvPicPr>
          <a:picLocks noChangeAspect="1"/>
        </xdr:cNvPicPr>
      </xdr:nvPicPr>
      <xdr:blipFill>
        <a:blip xmlns:r="http://schemas.openxmlformats.org/officeDocument/2006/relationships" r:embed="rId3"/>
        <a:stretch>
          <a:fillRect/>
        </a:stretch>
      </xdr:blipFill>
      <xdr:spPr>
        <a:xfrm>
          <a:off x="11849350" y="0"/>
          <a:ext cx="8124575" cy="6943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估价对象为北京市房地产，为所有。根据《国有土地使用证》[]，估价对象（分摊）出让国有建设用地使用权面积为763.36平方米，建筑面积为326平方米。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估价对象为北京市房地产,属开发建设的，该项目尚在开发建设中。根据《国有土地使用证》[]，估价对象（分摊）出让国有建设用地使用权面积为763.36平方米，规划建筑面积为326平方米。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2025年9月22日（评估专业人员实地查勘之日）</v>
      </c>
    </row>
    <row r="13" spans="1:2">
      <c r="A13" s="1119" t="s">
        <v>529</v>
      </c>
      <c r="B13" s="1120"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326</v>
      </c>
    </row>
    <row r="44" spans="1:2">
      <c r="A44" s="1119" t="s">
        <v>575</v>
      </c>
      <c r="B44" s="1120" t="str">
        <f>'预评函-3'!C2</f>
        <v>(分摊)土地面积</v>
      </c>
    </row>
    <row r="45" spans="1:2">
      <c r="A45" s="1119" t="s">
        <v>547</v>
      </c>
      <c r="B45" s="1120">
        <f>'预评函-3'!C4</f>
        <v>763.36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3396</v>
      </c>
      <c r="AA1" s="1438" t="s">
        <v>3395</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3403</v>
      </c>
      <c r="Z2" s="1445" t="s">
        <v>2443</v>
      </c>
      <c r="AA2" s="1445" t="s">
        <v>3404</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3405</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3406</v>
      </c>
      <c r="Z8" s="1445" t="s">
        <v>2455</v>
      </c>
      <c r="AB8" s="1445" t="s">
        <v>2481</v>
      </c>
    </row>
    <row r="9" spans="1:28">
      <c r="A9" s="1441" t="s">
        <v>1029</v>
      </c>
      <c r="B9" s="1441" t="s">
        <v>1030</v>
      </c>
      <c r="C9" s="1442" t="s">
        <v>320</v>
      </c>
      <c r="F9" s="1443" t="s">
        <v>1031</v>
      </c>
      <c r="H9" s="1443"/>
      <c r="I9" s="1445" t="s">
        <v>3333</v>
      </c>
      <c r="X9" s="1445" t="s">
        <v>3407</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447" t="s">
        <v>385</v>
      </c>
      <c r="C54" s="1445" t="s">
        <v>583</v>
      </c>
    </row>
    <row r="55" spans="1:4">
      <c r="A55" s="3286"/>
      <c r="B55" s="1447" t="s">
        <v>386</v>
      </c>
      <c r="C55" s="1445" t="s">
        <v>584</v>
      </c>
    </row>
    <row r="56" spans="1:4">
      <c r="A56" s="3286"/>
      <c r="B56" s="1447" t="s">
        <v>387</v>
      </c>
      <c r="C56" s="1445" t="s">
        <v>588</v>
      </c>
    </row>
    <row r="57" spans="1:4">
      <c r="A57" s="328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87" t="s">
        <v>2571</v>
      </c>
      <c r="J2" s="3287"/>
      <c r="K2" s="3287"/>
      <c r="L2" s="3287"/>
      <c r="M2" s="3287"/>
      <c r="N2" s="3287"/>
      <c r="O2" s="3287"/>
      <c r="P2" s="3287"/>
      <c r="Q2" s="3287"/>
      <c r="R2" s="3287"/>
    </row>
    <row r="3" spans="1:18">
      <c r="A3" s="2763" t="s">
        <v>2492</v>
      </c>
      <c r="B3" s="2764">
        <f>项目基本情况!D3</f>
        <v>45922</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1.24</v>
      </c>
      <c r="D5" s="2768">
        <f>IF(ISERROR(ROUND(POWER(1+E5,A5-C5)*(POWER(1+E5,C5)-1)/(POWER(1+E5,A5)-1),3)),0,ROUND(POWER(1+E5,A5-C5)*(POWER(1+E5,C5)-1)/(POWER(1+E5,A5)-1),4))</f>
        <v>0.06</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11.24</v>
      </c>
      <c r="D6" s="2768">
        <f>IF(ISERROR(ROUND(POWER(1+E6,A6-C6)*(POWER(1+E6,C6)-1)/(POWER(1+E6,A6)-1),3)),0,ROUND(POWER(1+E6,A6-C6)*(POWER(1+E6,C6)-1)/(POWER(1+E6,A6)-1),4))</f>
        <v>0.41489999999999999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31.26</v>
      </c>
      <c r="D7" s="2768">
        <f>IF(ISERROR(ROUND(POWER(1+E7,A7-C7)*(POWER(1+E7,C7)-1)/(POWER(1+E7,A7)-1),3)),0,ROUND(POWER(1+E7,A7-C7)*(POWER(1+E7,C7)-1)/(POWER(1+E7,A7)-1),4))</f>
        <v>0.755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1"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1">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1">
        <v>8</v>
      </c>
    </row>
    <row r="26" spans="1:14">
      <c r="A26" s="2782"/>
      <c r="B26" s="2783"/>
      <c r="C26" s="2783"/>
      <c r="D26" s="2783"/>
      <c r="E26" s="2783"/>
      <c r="F26" s="2783"/>
      <c r="G26" s="2784"/>
      <c r="I26" s="2800">
        <v>30</v>
      </c>
      <c r="J26" s="2800">
        <v>90.5</v>
      </c>
      <c r="K26" s="2800">
        <f t="shared" si="2"/>
        <v>4.2000000000000028</v>
      </c>
      <c r="L26" s="2800" t="s">
        <v>2562</v>
      </c>
      <c r="N26" s="3151">
        <v>5</v>
      </c>
    </row>
    <row r="27" spans="1:14">
      <c r="A27" s="2782" t="s">
        <v>2521</v>
      </c>
      <c r="B27" s="2783"/>
      <c r="C27" s="2783"/>
      <c r="D27" s="2783"/>
      <c r="E27" s="2783"/>
      <c r="F27" s="2783"/>
      <c r="G27" s="2784"/>
      <c r="I27" s="2800">
        <v>35</v>
      </c>
      <c r="J27" s="2800">
        <v>93.8</v>
      </c>
      <c r="K27" s="2800">
        <f t="shared" si="2"/>
        <v>3.2999999999999972</v>
      </c>
      <c r="L27" s="2800" t="s">
        <v>2563</v>
      </c>
      <c r="N27" s="3151">
        <v>3</v>
      </c>
    </row>
    <row r="28" spans="1:14">
      <c r="A28" s="2782" t="s">
        <v>2522</v>
      </c>
      <c r="B28" s="2783"/>
      <c r="C28" s="2783"/>
      <c r="D28" s="2783"/>
      <c r="E28" s="2783"/>
      <c r="F28" s="2783"/>
      <c r="G28" s="2784"/>
      <c r="I28" s="2800">
        <v>40</v>
      </c>
      <c r="J28" s="2800">
        <v>96.4</v>
      </c>
      <c r="K28" s="2800">
        <f t="shared" si="2"/>
        <v>2.6000000000000085</v>
      </c>
      <c r="L28" s="2800" t="s">
        <v>2564</v>
      </c>
      <c r="N28" s="3151">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1" t="s">
        <v>2559</v>
      </c>
    </row>
    <row r="37" spans="1:14">
      <c r="A37" s="2782" t="s">
        <v>2531</v>
      </c>
      <c r="B37" s="2783"/>
      <c r="C37" s="2783"/>
      <c r="D37" s="2783"/>
      <c r="E37" s="2783"/>
      <c r="F37" s="2783"/>
      <c r="G37" s="2784"/>
      <c r="I37" s="2800">
        <v>20</v>
      </c>
      <c r="J37" s="2800">
        <v>83.6</v>
      </c>
      <c r="K37" s="2800">
        <f t="shared" si="3"/>
        <v>7.2999999999999972</v>
      </c>
      <c r="L37" s="2800" t="s">
        <v>2557</v>
      </c>
      <c r="N37" s="3151">
        <v>10</v>
      </c>
    </row>
    <row r="38" spans="1:14">
      <c r="A38" s="2782" t="s">
        <v>2532</v>
      </c>
      <c r="B38" s="2783"/>
      <c r="C38" s="2783"/>
      <c r="D38" s="2783"/>
      <c r="E38" s="2783"/>
      <c r="F38" s="2783"/>
      <c r="G38" s="2784"/>
      <c r="I38" s="2800">
        <v>25</v>
      </c>
      <c r="J38" s="2800">
        <v>89.3</v>
      </c>
      <c r="K38" s="2800">
        <f t="shared" si="3"/>
        <v>5.7000000000000028</v>
      </c>
      <c r="L38" s="2800" t="s">
        <v>2561</v>
      </c>
      <c r="N38" s="3151">
        <v>8</v>
      </c>
    </row>
    <row r="39" spans="1:14">
      <c r="A39" s="2782"/>
      <c r="B39" s="2783"/>
      <c r="C39" s="2783"/>
      <c r="D39" s="2783"/>
      <c r="E39" s="2783"/>
      <c r="F39" s="2783"/>
      <c r="G39" s="2784"/>
      <c r="I39" s="2800">
        <v>30</v>
      </c>
      <c r="J39" s="2800">
        <v>93.8</v>
      </c>
      <c r="K39" s="2800">
        <f t="shared" si="3"/>
        <v>4.5</v>
      </c>
      <c r="L39" s="2800" t="s">
        <v>2562</v>
      </c>
      <c r="N39" s="3151">
        <v>6</v>
      </c>
    </row>
    <row r="40" spans="1:14">
      <c r="A40" s="2785" t="s">
        <v>2533</v>
      </c>
      <c r="B40" s="2786"/>
      <c r="C40" s="2786"/>
      <c r="D40" s="2786"/>
      <c r="E40" s="2786"/>
      <c r="F40" s="2786"/>
      <c r="G40" s="2787"/>
      <c r="I40" s="2800">
        <v>35</v>
      </c>
      <c r="J40" s="2800">
        <v>97.2</v>
      </c>
      <c r="K40" s="2800">
        <f t="shared" si="3"/>
        <v>3.4000000000000057</v>
      </c>
      <c r="L40" s="2800" t="s">
        <v>2563</v>
      </c>
      <c r="N40" s="3151">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3" t="s">
        <v>3377</v>
      </c>
      <c r="B50" s="3143" t="s">
        <v>3378</v>
      </c>
      <c r="C50" s="3143" t="s">
        <v>3379</v>
      </c>
      <c r="D50" s="3143" t="s">
        <v>3380</v>
      </c>
    </row>
    <row r="51" spans="1:4">
      <c r="A51" s="3143" t="s">
        <v>3381</v>
      </c>
      <c r="B51" s="2765">
        <f>B52+B53</f>
        <v>15000</v>
      </c>
      <c r="C51" s="3144">
        <f>D51/B51</f>
        <v>2666.6666666666665</v>
      </c>
      <c r="D51" s="2765">
        <f>D52+D53</f>
        <v>40000000</v>
      </c>
    </row>
    <row r="52" spans="1:4">
      <c r="A52" s="3145" t="s">
        <v>3382</v>
      </c>
      <c r="B52" s="3146">
        <v>10000</v>
      </c>
      <c r="C52" s="3146">
        <v>1500</v>
      </c>
      <c r="D52" s="3147">
        <f>C52*B52</f>
        <v>15000000</v>
      </c>
    </row>
    <row r="53" spans="1:4">
      <c r="A53" s="3145" t="s">
        <v>3383</v>
      </c>
      <c r="B53" s="3146">
        <v>5000</v>
      </c>
      <c r="C53" s="3146">
        <v>5000</v>
      </c>
      <c r="D53" s="3147">
        <f>C53*B53</f>
        <v>25000000</v>
      </c>
    </row>
    <row r="54" spans="1:4">
      <c r="A54" s="3143" t="s">
        <v>3384</v>
      </c>
      <c r="B54" s="2765">
        <f>B51</f>
        <v>15000</v>
      </c>
      <c r="C54" s="2771">
        <v>700</v>
      </c>
      <c r="D54" s="2765">
        <f t="shared" ref="D54:D55" si="5">C54*B54</f>
        <v>10500000</v>
      </c>
    </row>
    <row r="55" spans="1:4">
      <c r="A55" s="3143" t="s">
        <v>3385</v>
      </c>
      <c r="B55" s="2765">
        <f>B51</f>
        <v>15000</v>
      </c>
      <c r="C55" s="2771">
        <v>1500</v>
      </c>
      <c r="D55" s="2765">
        <f t="shared" si="5"/>
        <v>22500000</v>
      </c>
    </row>
    <row r="56" spans="1:4">
      <c r="A56" s="3143" t="s">
        <v>3386</v>
      </c>
      <c r="B56" s="2765">
        <f>B51</f>
        <v>15000</v>
      </c>
      <c r="C56" s="3148">
        <f>C51+C54+C55</f>
        <v>4866.6666666666661</v>
      </c>
      <c r="D56" s="2765">
        <f>D51+D54+D55</f>
        <v>73000000</v>
      </c>
    </row>
    <row r="58" spans="1:4">
      <c r="A58" s="3143" t="s">
        <v>3387</v>
      </c>
      <c r="B58" s="3149">
        <v>0.05</v>
      </c>
      <c r="C58" s="2765">
        <f>C56*(1+B58)</f>
        <v>5110</v>
      </c>
      <c r="D58" s="2765">
        <f>D56*B58</f>
        <v>3650000</v>
      </c>
    </row>
    <row r="60" spans="1:4">
      <c r="A60" s="3143" t="s">
        <v>3388</v>
      </c>
      <c r="B60" s="2771">
        <v>3500</v>
      </c>
      <c r="C60" s="2771">
        <f>C53</f>
        <v>5000</v>
      </c>
      <c r="D60" s="2765">
        <f>C60*B60</f>
        <v>17500000</v>
      </c>
    </row>
    <row r="62" spans="1:4">
      <c r="A62" s="3143" t="s">
        <v>3389</v>
      </c>
      <c r="B62" s="2771">
        <f>B51</f>
        <v>15000</v>
      </c>
      <c r="C62" s="3150">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Normal="100" zoomScaleSheetLayoutView="100" workbookViewId="0">
      <selection activeCell="G42" sqref="G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88" t="str">
        <f>IF(B10="北京市","北京市",C10)&amp;F10&amp;IF(结果表!G1="在建","出让国有建设用地使用权及在建建筑物",IF(结果表!G1="土地","出让国有建设用地使用权",))&amp;B9&amp;"预评估"</f>
        <v>北京市房地产抵押价值预评估</v>
      </c>
      <c r="C1" s="3289"/>
      <c r="D1" s="3289"/>
      <c r="E1" s="3289"/>
      <c r="F1" s="3289"/>
      <c r="G1" s="3289"/>
      <c r="H1" s="3289"/>
      <c r="I1" s="329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45922</v>
      </c>
      <c r="C3" s="2186" t="s">
        <v>2171</v>
      </c>
      <c r="D3" s="2185">
        <v>45922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91"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92"/>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3321</v>
      </c>
      <c r="B13" s="2218" t="s">
        <v>2190</v>
      </c>
      <c r="C13" s="803"/>
      <c r="D13" s="803"/>
      <c r="E13" s="803"/>
      <c r="F13" s="803"/>
      <c r="G13" s="803"/>
      <c r="H13" s="803">
        <v>57159</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30.78</v>
      </c>
      <c r="I15" s="2221" t="str">
        <f>IF(A13="出让",IF(I13="","",ROUNDDOWN(MIN((I13-$D$3)/365,I14),2)),I14)</f>
        <v/>
      </c>
      <c r="J15" s="2805"/>
      <c r="K15" s="1670"/>
      <c r="L15" s="1670"/>
      <c r="M15" s="2245"/>
      <c r="N15" s="1670"/>
      <c r="O15" s="2245"/>
      <c r="P15" s="2245"/>
      <c r="Q15" s="2245"/>
      <c r="AD15" s="1618"/>
    </row>
    <row r="16" spans="1:30">
      <c r="A16" s="2211" t="s">
        <v>2193</v>
      </c>
      <c r="B16" s="3298"/>
      <c r="C16" s="3299"/>
      <c r="D16" s="3300"/>
      <c r="E16" s="2222" t="s">
        <v>2194</v>
      </c>
      <c r="F16" s="3301"/>
      <c r="G16" s="3302"/>
      <c r="H16" s="3302"/>
      <c r="I16" s="3303"/>
      <c r="J16" s="2245"/>
      <c r="K16" s="2403"/>
      <c r="L16" s="1670"/>
      <c r="M16" s="1670"/>
      <c r="N16" s="2245"/>
      <c r="O16" s="1670"/>
      <c r="P16" s="2245"/>
      <c r="Q16" s="2245"/>
      <c r="R16" s="2245"/>
    </row>
    <row r="17" spans="1:28">
      <c r="A17" s="305" t="s">
        <v>2195</v>
      </c>
      <c r="B17" s="294" t="s">
        <v>2196</v>
      </c>
      <c r="C17" s="8">
        <f>'数据-汇总表'!E3</f>
        <v>326</v>
      </c>
      <c r="D17" s="1256" t="s">
        <v>2197</v>
      </c>
      <c r="E17" s="3304" t="s">
        <v>2198</v>
      </c>
      <c r="F17" s="3305"/>
      <c r="G17" s="3305"/>
      <c r="H17" s="3305"/>
      <c r="I17" s="330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763.36</v>
      </c>
      <c r="D18" s="1029" t="s">
        <v>2201</v>
      </c>
      <c r="E18" s="3307" t="s">
        <v>2202</v>
      </c>
      <c r="F18" s="3308"/>
      <c r="G18" s="3308"/>
      <c r="H18" s="3308"/>
      <c r="I18" s="330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94" t="s">
        <v>2206</v>
      </c>
      <c r="C20" s="3295"/>
      <c r="D20" s="3296" t="s">
        <v>2207</v>
      </c>
      <c r="E20" s="3297"/>
      <c r="F20" s="2430" t="s">
        <v>1056</v>
      </c>
      <c r="G20" s="2442"/>
      <c r="H20" s="2442"/>
      <c r="I20" s="2442"/>
      <c r="J20" s="2245"/>
      <c r="K20" s="329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9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31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31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31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312"/>
      <c r="B30" s="294" t="s">
        <v>2218</v>
      </c>
      <c r="C30" s="3313"/>
      <c r="D30" s="3314"/>
      <c r="E30" s="2442"/>
      <c r="F30" s="2442"/>
      <c r="G30" s="2442"/>
      <c r="H30" s="2442"/>
      <c r="I30" s="2442"/>
      <c r="J30" s="2245"/>
      <c r="K30" s="2402"/>
      <c r="L30" s="2399"/>
      <c r="M30" s="2399"/>
      <c r="N30" s="2245"/>
      <c r="O30" s="1670"/>
      <c r="P30" s="2245"/>
      <c r="Q30" s="2245"/>
      <c r="R30" s="2245"/>
      <c r="S30" s="2245"/>
      <c r="T30" s="2245"/>
      <c r="U30" s="2245"/>
      <c r="V30" s="2245"/>
    </row>
    <row r="31" spans="1:28">
      <c r="A31" s="331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1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1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310" t="s">
        <v>2228</v>
      </c>
      <c r="T34" s="315" t="str">
        <f>NUMBERSTRING(7-K34,1)&amp;"通"</f>
        <v>七通</v>
      </c>
      <c r="U34" s="2245"/>
      <c r="V34" s="2245"/>
    </row>
    <row r="35" spans="1:30">
      <c r="A35" s="2236"/>
      <c r="B35" s="3310" t="s">
        <v>2229</v>
      </c>
      <c r="C35" s="3310"/>
      <c r="D35" s="3310"/>
      <c r="E35" s="331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13200</v>
      </c>
      <c r="B3" s="11">
        <f>IF(C3="否",G5-AT5,G5)</f>
        <v>5637.2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5637.2</v>
      </c>
      <c r="H5" s="13">
        <f t="shared" ref="H5:AT5" si="0">SUM(H13:H656)</f>
        <v>5637.2</v>
      </c>
      <c r="I5" s="13">
        <f t="shared" si="0"/>
        <v>5637.2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326</v>
      </c>
      <c r="BA5" s="15">
        <f t="shared" si="1"/>
        <v>326</v>
      </c>
      <c r="BB5" s="15">
        <f t="shared" si="1"/>
        <v>326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13200</v>
      </c>
      <c r="F6" s="13" t="s">
        <v>0</v>
      </c>
      <c r="G6" s="13" t="s">
        <v>1</v>
      </c>
      <c r="H6" s="17">
        <f>SUMIF(I$12:AB$12,"总值",I6:AB6)</f>
        <v>13200</v>
      </c>
      <c r="I6" s="13">
        <f t="shared" ref="I6:AB6" si="2">ROUND($A$3*I5/$B$3,2)</f>
        <v>13200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763.36</v>
      </c>
      <c r="AZ6" s="13" t="s">
        <v>2</v>
      </c>
      <c r="BA6" s="13">
        <f>ROUND($AY$6*BA5/$AZ$5,2)</f>
        <v>763.36</v>
      </c>
      <c r="BB6" s="13">
        <f>ROUND($AY$6*BB5/$AZ$5,2)</f>
        <v>763.36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8" t="s">
        <v>3414</v>
      </c>
      <c r="D13" s="1513" t="s">
        <v>3415</v>
      </c>
      <c r="E13" s="13">
        <f>IF($C$3="是",ROUND($A$3*G13/$B$3,2),ROUND($A$3*(G13-AT13)/$B$3,2))</f>
        <v>763.36</v>
      </c>
      <c r="F13" s="29"/>
      <c r="G13" s="30">
        <f>H13+AC13+AT13</f>
        <v>326</v>
      </c>
      <c r="H13" s="17">
        <f>SUMIF(I$12:AB$12,"总值",I13:AB13)</f>
        <v>326</v>
      </c>
      <c r="I13" s="1514">
        <v>326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银行网点</v>
      </c>
      <c r="AY13" s="1260">
        <f>ROUND($AY$6*AZ13/$AZ$5,2)</f>
        <v>763.36</v>
      </c>
      <c r="AZ13" s="13">
        <f>BA13+BL13</f>
        <v>326</v>
      </c>
      <c r="BA13" s="13">
        <f>SUM(BB13:BK13)</f>
        <v>326</v>
      </c>
      <c r="BB13" s="13">
        <f>IF($D13="是",I13-J13,0)</f>
        <v>326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3169" t="s">
        <v>3417</v>
      </c>
      <c r="D14" s="1513" t="s">
        <v>3418</v>
      </c>
      <c r="E14" s="13">
        <f>IF($C$3="是",ROUND($A$3*G14/$B$3,2),ROUND($A$3*(G14-AT14)/$B$3,2))</f>
        <v>12436.64</v>
      </c>
      <c r="F14" s="29"/>
      <c r="G14" s="30">
        <f>H14+AC14+AT14</f>
        <v>5311.2</v>
      </c>
      <c r="H14" s="17">
        <f>SUMIF(I$12:AB$12,"总值",I14:AB14)</f>
        <v>5311.2</v>
      </c>
      <c r="I14" s="1514">
        <f>5637.2-I13</f>
        <v>5311.2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其他</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7B9A-AAEF-4E58-94D9-C633CE45AE50}">
  <dimension ref="A1"/>
  <sheetViews>
    <sheetView workbookViewId="0">
      <selection activeCell="X17" sqref="X17"/>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7" sqref="J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26" t="s">
        <v>1131</v>
      </c>
      <c r="B2" s="3326"/>
      <c r="C2" s="3326"/>
      <c r="D2" s="748" t="s">
        <v>1107</v>
      </c>
      <c r="E2" s="1523" t="s">
        <v>1108</v>
      </c>
      <c r="F2" s="2439"/>
      <c r="G2" s="2432"/>
      <c r="H2" s="2433"/>
      <c r="I2" s="2146" t="s">
        <v>1132</v>
      </c>
      <c r="J2" s="2439"/>
      <c r="K2" s="2439"/>
      <c r="L2" s="2439"/>
      <c r="M2" s="2439"/>
      <c r="N2" s="2440"/>
      <c r="O2" s="2439"/>
      <c r="P2" s="2439"/>
    </row>
    <row r="3" spans="1:16" ht="15.75" thickBot="1">
      <c r="A3" s="3327" t="s">
        <v>1105</v>
      </c>
      <c r="B3" s="3327"/>
      <c r="C3" s="3327"/>
      <c r="D3" s="41">
        <f>'数据-基础表'!AY6</f>
        <v>763.36</v>
      </c>
      <c r="E3" s="41">
        <f>'数据-基础表'!AZ5</f>
        <v>326</v>
      </c>
      <c r="F3" s="2439"/>
      <c r="G3" s="42"/>
      <c r="H3" s="43" t="s">
        <v>1106</v>
      </c>
      <c r="I3" s="802">
        <f>ROUND('数据-基础表'!B3/'数据-基础表'!A3,2)</f>
        <v>0.43</v>
      </c>
      <c r="J3" s="2439"/>
      <c r="K3" s="2439"/>
      <c r="L3" s="2439"/>
      <c r="M3" s="2439"/>
      <c r="N3" s="2440"/>
      <c r="O3" s="2439"/>
      <c r="P3" s="2439"/>
    </row>
    <row r="4" spans="1:16" ht="15">
      <c r="A4" s="3328"/>
      <c r="B4" s="3329"/>
      <c r="C4" s="3330"/>
      <c r="D4" s="1524" t="s">
        <v>1107</v>
      </c>
      <c r="E4" s="1525" t="s">
        <v>1108</v>
      </c>
      <c r="F4" s="2439"/>
      <c r="G4" s="2434" t="s">
        <v>1133</v>
      </c>
      <c r="H4" s="43" t="s">
        <v>1113</v>
      </c>
      <c r="I4" s="802">
        <f>ROUND(SUMIF('数据-基础表'!I9:AS9,"地上",'数据-基础表'!I5:AS5)/'数据-基础表'!A3,2)</f>
        <v>0.43</v>
      </c>
      <c r="J4" s="2439"/>
      <c r="K4" s="2439"/>
      <c r="L4" s="2439"/>
      <c r="M4" s="2439"/>
      <c r="N4" s="2440"/>
      <c r="O4" s="2439"/>
      <c r="P4" s="2439"/>
    </row>
    <row r="5" spans="1:16">
      <c r="A5" s="42" t="s">
        <v>1109</v>
      </c>
      <c r="B5" s="3331" t="s">
        <v>1110</v>
      </c>
      <c r="C5" s="3331"/>
      <c r="D5" s="43">
        <f>ROUND($D$3*E5/$E$3,2)</f>
        <v>0</v>
      </c>
      <c r="E5" s="44">
        <f>SUMIF('数据-基础表'!$11:$11,"住宅",'数据-基础表'!$5:$5)</f>
        <v>0</v>
      </c>
      <c r="F5" s="2439"/>
      <c r="G5" s="42"/>
      <c r="H5" s="43" t="s">
        <v>1106</v>
      </c>
      <c r="I5" s="802">
        <f>ROUND(E31/D31,2)</f>
        <v>0.43</v>
      </c>
      <c r="J5" s="2439"/>
      <c r="K5" s="2439"/>
      <c r="L5" s="2439"/>
      <c r="M5" s="2439"/>
      <c r="N5" s="2439"/>
      <c r="O5" s="2439"/>
      <c r="P5" s="2439"/>
    </row>
    <row r="6" spans="1:16" ht="15" thickBot="1">
      <c r="A6" s="1527"/>
      <c r="B6" s="3331" t="s">
        <v>1111</v>
      </c>
      <c r="C6" s="3331"/>
      <c r="D6" s="43">
        <f>ROUND($D$3*E6/$E$3,2)</f>
        <v>763.36</v>
      </c>
      <c r="E6" s="44">
        <f>E3-E5</f>
        <v>326</v>
      </c>
      <c r="F6" s="2439"/>
      <c r="G6" s="1529" t="s">
        <v>1112</v>
      </c>
      <c r="H6" s="45" t="s">
        <v>1113</v>
      </c>
      <c r="I6" s="2435">
        <f>ROUND(F31/D31,2)</f>
        <v>0.43</v>
      </c>
      <c r="J6" s="2439"/>
      <c r="K6" s="2439"/>
      <c r="L6" s="2439"/>
      <c r="M6" s="2439"/>
      <c r="N6" s="2439"/>
      <c r="O6" s="2439"/>
      <c r="P6" s="2439"/>
    </row>
    <row r="7" spans="1:16" ht="15.75" thickBot="1">
      <c r="A7" s="3323"/>
      <c r="B7" s="3324"/>
      <c r="C7" s="3325"/>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763.36</v>
      </c>
      <c r="E8" s="46">
        <f>SUMIF('数据-基础表'!BB10:BK10,"地上",'数据-基础表'!BB5:BK5)</f>
        <v>326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763.36</v>
      </c>
      <c r="E16" s="48">
        <f>SUM(E8:E15)</f>
        <v>326</v>
      </c>
      <c r="F16" s="2439"/>
      <c r="G16" s="2439"/>
      <c r="H16" s="1531" t="s">
        <v>1135</v>
      </c>
      <c r="I16" s="1532"/>
      <c r="J16" s="1071"/>
      <c r="K16" s="3320" t="s">
        <v>1135</v>
      </c>
      <c r="L16" s="3321"/>
      <c r="M16" s="3321"/>
      <c r="N16" s="3321"/>
      <c r="O16" s="3321"/>
      <c r="P16" s="3322"/>
    </row>
    <row r="17" spans="1:19" ht="15">
      <c r="A17" s="1533" t="s">
        <v>1136</v>
      </c>
      <c r="B17" s="1534" t="s">
        <v>1137</v>
      </c>
      <c r="C17" s="1535" t="s">
        <v>1138</v>
      </c>
      <c r="D17" s="1536" t="s">
        <v>1126</v>
      </c>
      <c r="E17" s="1537" t="s">
        <v>1127</v>
      </c>
      <c r="F17" s="1538"/>
      <c r="G17" s="1539"/>
      <c r="H17" s="1540" t="s">
        <v>1139</v>
      </c>
      <c r="I17" s="1541" t="s">
        <v>1124</v>
      </c>
      <c r="J17" s="1071"/>
      <c r="K17" s="3317" t="s">
        <v>1140</v>
      </c>
      <c r="L17" s="3318"/>
      <c r="M17" s="3319"/>
      <c r="N17" s="3317" t="s">
        <v>1141</v>
      </c>
      <c r="O17" s="3318"/>
      <c r="P17" s="331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银行网点</v>
      </c>
      <c r="D19" s="43">
        <f>ROUND($D$3*E19/$E$3,2)</f>
        <v>763.36</v>
      </c>
      <c r="E19" s="51">
        <f t="shared" ref="E19:E26" si="1">SUM(F19:G19)</f>
        <v>326</v>
      </c>
      <c r="F19" s="2558">
        <f>'数据-基础表'!I13</f>
        <v>326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763.36</v>
      </c>
      <c r="S19" s="51">
        <f t="shared" si="5"/>
        <v>326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763.36</v>
      </c>
      <c r="E27" s="1073">
        <f>IF(SUM(E19:E26)='数据-基础表'!BA5,SUM(E19:E26),IF(F27="地上面积有误","面积有误","地下面积有误"))</f>
        <v>326</v>
      </c>
      <c r="F27" s="1072">
        <f>IF(SUM(F19:F26)=E8,SUM(F19:F26),"地上面积有误")</f>
        <v>326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763.36</v>
      </c>
      <c r="S27" s="43">
        <f>IF(SUM(S19:S26)=$E$3,SUM(S19:S26),SUM(S19:S26)&amp;"误差"&amp;ROUND(SUM(S19:S26)-E3,2))</f>
        <v>326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763.36</v>
      </c>
      <c r="E31" s="643">
        <f>E27+E30</f>
        <v>326</v>
      </c>
      <c r="F31" s="644">
        <f>F27+F30</f>
        <v>326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银行网点</v>
      </c>
      <c r="B6" s="1587" t="str">
        <f>IF(A6=0,"","经营性")</f>
        <v>经营性</v>
      </c>
      <c r="C6" s="1588" t="s">
        <v>3</v>
      </c>
      <c r="D6" s="805">
        <f>SUMIF(项目基本情况!C$12:I$12,C6,项目基本情况!C$14:I$14)</f>
        <v>50</v>
      </c>
      <c r="E6" s="804">
        <f>IF(B6="","",SUMIF(项目基本情况!C$12:I$12,C6,项目基本情况!C$13:I$13))</f>
        <v>57159</v>
      </c>
      <c r="F6" s="61">
        <f>SUMIF(项目基本情况!C$12:I$12,C6,项目基本情况!C$15:I$15)</f>
        <v>30.78</v>
      </c>
      <c r="G6" s="62">
        <f>IF(ISERROR(ROUND(POWER(1+H6,D6-F6)*(POWER(1+H6,F6)-1)/(POWER(1+H6,D6)-1),3)),0,ROUND(POWER(1+H6,D6-F6)*(POWER(1+H6,F6)-1)/(POWER(1+H6,D6)-1),3))</f>
        <v>0.83399999999999996</v>
      </c>
      <c r="H6" s="691">
        <v>4.4999999999999998E-2</v>
      </c>
      <c r="I6" s="691">
        <v>0.05</v>
      </c>
      <c r="J6" s="63">
        <v>7.0000000000000007E-2</v>
      </c>
      <c r="K6" s="970">
        <f>SUMIF('数据-汇总表'!C$19:C$33,A6,'数据-汇总表'!E$19:E$33)</f>
        <v>326</v>
      </c>
      <c r="L6" s="692">
        <v>3500</v>
      </c>
      <c r="M6" s="64">
        <f t="shared" ref="M6:M14" si="0">ROUND(K6*L6/10000,0)</f>
        <v>114</v>
      </c>
      <c r="N6" s="690">
        <v>0.7</v>
      </c>
      <c r="O6" s="64" t="str">
        <f>IF($N$5="成新度","——",ROUND(M6*N6,0))</f>
        <v>——</v>
      </c>
      <c r="P6" s="65" t="str">
        <f>IF($N$5="成新度","——",M6-O6)</f>
        <v>——</v>
      </c>
      <c r="Q6" s="693">
        <v>0.1</v>
      </c>
      <c r="R6" s="66">
        <f ca="1">SUMIF('数据-汇总表'!C$19:C$33,A6,'数据-汇总表'!R$19:R$27)</f>
        <v>763.36</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t="s">
        <v>3420</v>
      </c>
      <c r="AO6" s="50" t="e">
        <f ca="1">SUMIF(INDIRECT("'"&amp;AN6&amp;"'"&amp;"!A:A"),"总价",INDIRECT("'"&amp;AN6&amp;"'"&amp;"!B:B"))</f>
        <v>#DIV/0!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0.83399999999999996</v>
      </c>
      <c r="H16" s="84">
        <f>ROUND(SUMPRODUCT(H6:H13,K6:K13)/SUMPRODUCT((H6:H13&gt;0)*(K6:K13)),3)</f>
        <v>4.4999999999999998E-2</v>
      </c>
      <c r="I16" s="85"/>
      <c r="J16" s="85"/>
      <c r="K16" s="86">
        <f>SUM(K6:K15)</f>
        <v>326</v>
      </c>
      <c r="L16" s="87">
        <f>ROUND(M16*10000/SUM(K6:K14),0)</f>
        <v>3497</v>
      </c>
      <c r="M16" s="87">
        <f>SUM(M6:M14)</f>
        <v>114</v>
      </c>
      <c r="N16" s="88">
        <f>ROUND(SUMPRODUCT(M6:M14,N6:N14)/M16,3)</f>
        <v>0.7</v>
      </c>
      <c r="O16" s="87">
        <f>SUM(O6:O14)</f>
        <v>0</v>
      </c>
      <c r="P16" s="87">
        <f>SUM(P6:P14)</f>
        <v>0</v>
      </c>
      <c r="Q16" s="89">
        <f>ROUND(SUMPRODUCT(Q6:Q13,K6:K13)/SUMPRODUCT((Q6:Q13&gt;0)*(K6:K13)),2)</f>
        <v>0.1</v>
      </c>
      <c r="R16" s="974">
        <f ca="1">SUM(R6:R13)</f>
        <v>763.36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v>1994</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f>ROUND(1-(2025-N20)/50,2)</f>
        <v>0.38</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65200</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3.0599999999999999E-2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32" t="s">
        <v>2277</v>
      </c>
      <c r="B1" s="3333"/>
      <c r="C1" s="3333"/>
      <c r="D1" s="3333"/>
      <c r="E1" s="3333"/>
      <c r="F1" s="3333"/>
      <c r="G1" s="333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22" sqref="L22"/>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326</v>
      </c>
      <c r="C1" s="2462"/>
      <c r="D1" s="2462"/>
      <c r="E1" s="2462"/>
      <c r="F1" s="2462"/>
      <c r="G1" s="2463"/>
      <c r="H1" s="2463"/>
      <c r="I1" s="2463"/>
      <c r="J1" s="2463"/>
      <c r="K1" s="2463"/>
    </row>
    <row r="2" spans="1:11" ht="16.5">
      <c r="A2" s="2300" t="s">
        <v>653</v>
      </c>
      <c r="B2" s="2300">
        <f>SUM(C14:C23)</f>
        <v>763.36</v>
      </c>
      <c r="C2" s="2462"/>
      <c r="D2" s="2462"/>
      <c r="E2" s="2462"/>
      <c r="F2" s="2462"/>
      <c r="G2" s="2463"/>
      <c r="H2" s="2463"/>
      <c r="I2" s="2463"/>
      <c r="J2" s="2463"/>
      <c r="K2" s="2463"/>
    </row>
    <row r="3" spans="1:11" ht="16.5">
      <c r="A3" s="2300" t="s">
        <v>662</v>
      </c>
      <c r="B3" s="2302">
        <f>项目基本情况!D3</f>
        <v>45922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1275</v>
      </c>
      <c r="C5" s="2300" t="e">
        <f ca="1">IF(B5=D14,结果表!H102,ROUND(B5*10000/$B$1,0))</f>
        <v>#REF!</v>
      </c>
      <c r="D5" s="2300">
        <f>ROUND(B5*10000/$B$2,0)</f>
        <v>16702</v>
      </c>
      <c r="E5" s="2462"/>
      <c r="F5" s="2463"/>
      <c r="G5" s="2463"/>
      <c r="H5" s="2463"/>
      <c r="I5" s="2463"/>
      <c r="J5" s="2463"/>
      <c r="K5" s="2463"/>
    </row>
    <row r="6" spans="1:11" ht="16.5">
      <c r="A6" s="2300" t="s">
        <v>656</v>
      </c>
      <c r="B6" s="2300">
        <f>SUM(G14:G23)</f>
        <v>1275</v>
      </c>
      <c r="C6" s="2300" t="e">
        <f ca="1">IF(B6=G14,结果表!H108,ROUND(B6*10000/$B$1,0))</f>
        <v>#REF!</v>
      </c>
      <c r="D6" s="2300">
        <f>ROUND(B6*10000/$B$2,0)</f>
        <v>16702</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1275</v>
      </c>
      <c r="C10" s="2300" t="s">
        <v>3345</v>
      </c>
      <c r="D10" s="2300" t="s">
        <v>3346</v>
      </c>
      <c r="E10" s="3137">
        <f>'收益法倒推-商业'!D38</f>
        <v>7.5</v>
      </c>
      <c r="F10" s="2300" t="s">
        <v>3347</v>
      </c>
      <c r="G10" s="3245">
        <v>7.0000000000000007E-2</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326</v>
      </c>
      <c r="C14" s="2306">
        <f>'数据-汇总表'!D8</f>
        <v>763.36</v>
      </c>
      <c r="D14" s="2306">
        <f>B10</f>
        <v>1275</v>
      </c>
      <c r="E14" s="2306">
        <f>ROUND(D14*10000/B14,0)</f>
        <v>39110</v>
      </c>
      <c r="F14" s="2306">
        <f>ROUND(D14*10000/C14,0)</f>
        <v>16702</v>
      </c>
      <c r="G14" s="2306">
        <f>D14</f>
        <v>1275</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01" t="str">
        <f>项目基本情况!S2</f>
        <v>北京市房地产</v>
      </c>
      <c r="B2" s="3402"/>
      <c r="C2" s="3402"/>
      <c r="D2" s="3402"/>
      <c r="E2" s="3402"/>
      <c r="F2" s="3402"/>
      <c r="G2" s="3402"/>
      <c r="H2" s="3402"/>
      <c r="I2" s="3403"/>
    </row>
    <row r="3" spans="1:12" ht="12.75">
      <c r="A3" s="3405" t="s">
        <v>1264</v>
      </c>
      <c r="B3" s="3406"/>
      <c r="C3" s="3406"/>
      <c r="D3" s="3406"/>
      <c r="E3" s="3406"/>
      <c r="F3" s="3406"/>
      <c r="G3" s="3406"/>
      <c r="H3" s="3406"/>
      <c r="I3" s="3406"/>
    </row>
    <row r="4" spans="1:12" ht="14.25">
      <c r="A4" s="1624" t="s">
        <v>1265</v>
      </c>
      <c r="B4" s="1625" t="s">
        <v>1266</v>
      </c>
      <c r="C4" s="1626"/>
      <c r="D4" s="1626"/>
      <c r="E4" s="3410" t="s">
        <v>1267</v>
      </c>
      <c r="F4" s="3411"/>
      <c r="G4" s="3411"/>
      <c r="H4" s="3411"/>
      <c r="I4" s="341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9" t="s">
        <v>1268</v>
      </c>
      <c r="B5" s="3404">
        <v>25</v>
      </c>
      <c r="C5" s="3407"/>
      <c r="D5" s="3395"/>
      <c r="E5" s="123" t="s">
        <v>1269</v>
      </c>
      <c r="F5" s="1627"/>
      <c r="G5" s="1627"/>
      <c r="H5" s="1627"/>
      <c r="I5" s="1281"/>
    </row>
    <row r="6" spans="1:12" ht="12.75">
      <c r="A6" s="3349"/>
      <c r="B6" s="3404"/>
      <c r="C6" s="3409"/>
      <c r="D6" s="3395"/>
      <c r="E6" s="123" t="s">
        <v>1270</v>
      </c>
      <c r="F6" s="1627"/>
      <c r="G6" s="1627"/>
      <c r="H6" s="1627"/>
      <c r="I6" s="1281"/>
    </row>
    <row r="7" spans="1:12" ht="12.75">
      <c r="A7" s="3349"/>
      <c r="B7" s="3404"/>
      <c r="C7" s="3408"/>
      <c r="D7" s="3395"/>
      <c r="E7" s="123" t="s">
        <v>1271</v>
      </c>
      <c r="F7" s="1627"/>
      <c r="G7" s="1627"/>
      <c r="H7" s="1627"/>
      <c r="I7" s="1281"/>
    </row>
    <row r="8" spans="1:12" ht="12.75">
      <c r="A8" s="3349" t="s">
        <v>1272</v>
      </c>
      <c r="B8" s="3404">
        <v>15</v>
      </c>
      <c r="C8" s="3407"/>
      <c r="D8" s="3395"/>
      <c r="E8" s="123" t="s">
        <v>1273</v>
      </c>
      <c r="F8" s="1627"/>
      <c r="G8" s="1627"/>
      <c r="H8" s="1627"/>
      <c r="I8" s="1281"/>
    </row>
    <row r="9" spans="1:12" ht="12.75">
      <c r="A9" s="3349"/>
      <c r="B9" s="3404"/>
      <c r="C9" s="3408"/>
      <c r="D9" s="3395"/>
      <c r="E9" s="123" t="s">
        <v>1274</v>
      </c>
      <c r="F9" s="1627"/>
      <c r="G9" s="1627"/>
      <c r="H9" s="1627"/>
      <c r="I9" s="1281"/>
    </row>
    <row r="10" spans="1:12" ht="12.75">
      <c r="A10" s="3349" t="s">
        <v>1275</v>
      </c>
      <c r="B10" s="3404">
        <v>15</v>
      </c>
      <c r="C10" s="3407"/>
      <c r="D10" s="3395"/>
      <c r="E10" s="123" t="s">
        <v>1276</v>
      </c>
      <c r="F10" s="1627"/>
      <c r="G10" s="1627"/>
      <c r="H10" s="1627"/>
      <c r="I10" s="1281"/>
    </row>
    <row r="11" spans="1:12" ht="12.75">
      <c r="A11" s="3349"/>
      <c r="B11" s="3404"/>
      <c r="C11" s="3408"/>
      <c r="D11" s="3395"/>
      <c r="E11" s="123" t="s">
        <v>1277</v>
      </c>
      <c r="F11" s="1627"/>
      <c r="G11" s="1627"/>
      <c r="H11" s="1627"/>
      <c r="I11" s="1281"/>
    </row>
    <row r="12" spans="1:12" ht="12.75">
      <c r="A12" s="3349" t="s">
        <v>1278</v>
      </c>
      <c r="B12" s="3404">
        <v>15</v>
      </c>
      <c r="C12" s="3407"/>
      <c r="D12" s="3395"/>
      <c r="E12" s="123" t="s">
        <v>1279</v>
      </c>
      <c r="F12" s="1627"/>
      <c r="G12" s="1627"/>
      <c r="H12" s="1627"/>
      <c r="I12" s="1281"/>
    </row>
    <row r="13" spans="1:12" ht="12.75">
      <c r="A13" s="3349"/>
      <c r="B13" s="3404"/>
      <c r="C13" s="3408"/>
      <c r="D13" s="3395"/>
      <c r="E13" s="123" t="s">
        <v>1280</v>
      </c>
      <c r="F13" s="1627"/>
      <c r="G13" s="1627"/>
      <c r="H13" s="1627"/>
      <c r="I13" s="1281"/>
    </row>
    <row r="14" spans="1:12" ht="12.75">
      <c r="A14" s="3349" t="s">
        <v>1281</v>
      </c>
      <c r="B14" s="3404">
        <v>30</v>
      </c>
      <c r="C14" s="3407"/>
      <c r="D14" s="3395"/>
      <c r="E14" s="123" t="s">
        <v>1282</v>
      </c>
      <c r="F14" s="1627"/>
      <c r="G14" s="1627"/>
      <c r="H14" s="1627"/>
      <c r="I14" s="1281"/>
    </row>
    <row r="15" spans="1:12" ht="12.75">
      <c r="A15" s="3349"/>
      <c r="B15" s="3404"/>
      <c r="C15" s="3409"/>
      <c r="D15" s="3395"/>
      <c r="E15" s="123" t="s">
        <v>1283</v>
      </c>
      <c r="F15" s="1627"/>
      <c r="G15" s="1627"/>
      <c r="H15" s="1627"/>
      <c r="I15" s="1281"/>
    </row>
    <row r="16" spans="1:12" ht="12.75">
      <c r="A16" s="3349"/>
      <c r="B16" s="3404"/>
      <c r="C16" s="3408"/>
      <c r="D16" s="339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426" t="s">
        <v>2131</v>
      </c>
      <c r="F18" s="3427"/>
      <c r="G18" s="3427"/>
      <c r="H18" s="3427"/>
      <c r="I18" s="3427"/>
      <c r="K18" s="294" t="s">
        <v>1289</v>
      </c>
      <c r="L18" s="294">
        <f>IF(C1="",'数据-汇总表'!E3,SUMIF(项目类型,C1,'数据-汇总表'!E17:E26)+SUMIF(项目类型,C1,'数据-汇总表'!I17:I26))</f>
        <v>326</v>
      </c>
      <c r="M18" s="294">
        <f>IF(C1="",'数据-汇总表'!E3,SUMIF(项目类型,C1,'数据-汇总表'!E17:E26))</f>
        <v>326</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763.36</v>
      </c>
      <c r="M19" s="294">
        <f>IF(C1="",'数据-汇总表'!D3,SUMIF(项目类型,C1,'数据-汇总表'!D17:D26))</f>
        <v>763.36</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19" t="s">
        <v>1299</v>
      </c>
      <c r="B24" s="1631" t="s">
        <v>1291</v>
      </c>
      <c r="C24" s="128">
        <f>IF(B30=0,0,D30)</f>
        <v>0</v>
      </c>
      <c r="D24" s="1637"/>
      <c r="E24" s="121"/>
      <c r="F24" s="121"/>
      <c r="G24" s="121"/>
      <c r="H24" s="121"/>
      <c r="I24" s="121"/>
    </row>
    <row r="25" spans="1:36" ht="14.25">
      <c r="A25" s="342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96" t="s">
        <v>1312</v>
      </c>
      <c r="B36" s="1652" t="s">
        <v>1313</v>
      </c>
      <c r="C36" s="137"/>
      <c r="D36" s="1653"/>
      <c r="E36" s="1567"/>
      <c r="F36" s="1654"/>
      <c r="G36" s="121"/>
      <c r="H36" s="121"/>
      <c r="I36" s="121"/>
    </row>
    <row r="37" spans="1:15" ht="15.75" thickBot="1">
      <c r="A37" s="3397"/>
      <c r="B37" s="1555" t="s">
        <v>1314</v>
      </c>
      <c r="C37" s="139"/>
      <c r="D37" s="1071"/>
      <c r="E37" s="1071"/>
      <c r="F37" s="1654"/>
      <c r="G37" s="121"/>
      <c r="H37" s="121"/>
      <c r="I37" s="121"/>
    </row>
    <row r="38" spans="1:15" ht="15.75" thickBot="1">
      <c r="A38" s="339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16" t="s">
        <v>1326</v>
      </c>
      <c r="B45" s="3417"/>
      <c r="C45" s="3418"/>
      <c r="D45" s="147" t="e">
        <f ca="1">ROUND(H101*F45,0)</f>
        <v>#REF!</v>
      </c>
      <c r="E45" s="148" t="s">
        <v>1327</v>
      </c>
      <c r="F45" s="149">
        <v>1</v>
      </c>
      <c r="G45" s="150" t="s">
        <v>1328</v>
      </c>
      <c r="H45" s="121"/>
      <c r="I45" s="121"/>
      <c r="J45" s="3336" t="s">
        <v>1329</v>
      </c>
      <c r="K45" s="3336"/>
      <c r="L45" s="3336"/>
      <c r="M45" s="3336"/>
      <c r="N45" s="3336"/>
      <c r="O45" s="3336"/>
    </row>
    <row r="46" spans="1:15" ht="14.25" customHeight="1">
      <c r="A46" s="3413" t="s">
        <v>1330</v>
      </c>
      <c r="B46" s="3414"/>
      <c r="C46" s="3414"/>
      <c r="D46" s="3414"/>
      <c r="E46" s="3414"/>
      <c r="F46" s="3414"/>
      <c r="G46" s="3415"/>
      <c r="H46" s="1668"/>
      <c r="I46" s="151"/>
      <c r="J46" s="2310">
        <v>1</v>
      </c>
      <c r="K46" s="3337" t="s">
        <v>1331</v>
      </c>
      <c r="L46" s="3337"/>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37" t="s">
        <v>1337</v>
      </c>
      <c r="L47" s="3337"/>
      <c r="M47" s="3339">
        <f>'数据-取费表'!B2</f>
        <v>45922</v>
      </c>
      <c r="N47" s="3339"/>
      <c r="O47" s="3339"/>
    </row>
    <row r="48" spans="1:15" ht="25.5">
      <c r="A48" s="3399" t="s">
        <v>1338</v>
      </c>
      <c r="B48" s="3400"/>
      <c r="C48" s="340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7" t="s">
        <v>1340</v>
      </c>
      <c r="L48" s="3337"/>
      <c r="M48" s="3340" t="e">
        <f ca="1">H101</f>
        <v>#REF!</v>
      </c>
      <c r="N48" s="3340"/>
      <c r="O48" s="3340"/>
    </row>
    <row r="49" spans="1:35" ht="25.5" customHeight="1">
      <c r="A49" s="2152" t="s">
        <v>1341</v>
      </c>
      <c r="B49" s="3385" t="s">
        <v>1342</v>
      </c>
      <c r="C49" s="3385"/>
      <c r="D49" s="1478">
        <v>0</v>
      </c>
      <c r="E49" s="316" t="s">
        <v>1343</v>
      </c>
      <c r="F49" s="2233" t="s">
        <v>28</v>
      </c>
      <c r="G49" s="3368"/>
      <c r="H49" s="2134" t="s">
        <v>2134</v>
      </c>
      <c r="I49" s="2135"/>
      <c r="J49" s="2310">
        <v>4</v>
      </c>
      <c r="K49" s="3337" t="str">
        <f>IF(项目基本情况!E8="房地产抵押价值","房地产抵押价值","抵押担保权已注销时的房地产抵押价值")</f>
        <v>房地产抵押价值</v>
      </c>
      <c r="L49" s="3337"/>
      <c r="M49" s="3340" t="e">
        <f ca="1">IF(项目基本情况!E8="房地产抵押价值",H107,H109)</f>
        <v>#REF!</v>
      </c>
      <c r="N49" s="3340"/>
      <c r="O49" s="3340"/>
    </row>
    <row r="50" spans="1:35" ht="25.5" customHeight="1">
      <c r="A50" s="2338"/>
      <c r="B50" s="3385" t="s">
        <v>1344</v>
      </c>
      <c r="C50" s="3385"/>
      <c r="D50" s="2189"/>
      <c r="E50" s="323"/>
      <c r="F50" s="2233"/>
      <c r="G50" s="3369"/>
      <c r="H50" s="2136" t="s">
        <v>2135</v>
      </c>
      <c r="I50" s="2135"/>
      <c r="J50" s="3336" t="s">
        <v>1345</v>
      </c>
      <c r="K50" s="3336"/>
      <c r="L50" s="3336"/>
      <c r="M50" s="3336"/>
      <c r="N50" s="3336"/>
      <c r="O50" s="3336"/>
    </row>
    <row r="51" spans="1:35" ht="20.45" customHeight="1">
      <c r="A51" s="2339"/>
      <c r="B51" s="3385" t="s">
        <v>1346</v>
      </c>
      <c r="C51" s="3385"/>
      <c r="D51" s="1024"/>
      <c r="E51" s="319"/>
      <c r="F51" s="2233"/>
      <c r="G51" s="3370"/>
      <c r="H51" s="2136" t="s">
        <v>2136</v>
      </c>
      <c r="I51" s="2135"/>
      <c r="J51" s="2311" t="s">
        <v>1347</v>
      </c>
      <c r="K51" s="3337" t="s">
        <v>1348</v>
      </c>
      <c r="L51" s="3337"/>
      <c r="M51" s="2311" t="s">
        <v>1349</v>
      </c>
      <c r="N51" s="2311" t="s">
        <v>1350</v>
      </c>
      <c r="O51" s="2311" t="s">
        <v>1351</v>
      </c>
    </row>
    <row r="52" spans="1:35" ht="24" customHeight="1">
      <c r="A52" s="2153" t="s">
        <v>1352</v>
      </c>
      <c r="B52" s="3385" t="s">
        <v>1353</v>
      </c>
      <c r="C52" s="3385"/>
      <c r="D52" s="1024" t="e">
        <f ca="1">ROUND(D45*'数据-取费表'!B41/(1+'数据-取费表'!C42),0)</f>
        <v>#REF!</v>
      </c>
      <c r="E52" s="1256" t="s">
        <v>1354</v>
      </c>
      <c r="F52" s="2340">
        <f>'数据-取费表'!B41</f>
        <v>5.6000000000000001E-2</v>
      </c>
      <c r="G52" s="2341"/>
      <c r="H52" s="2331"/>
      <c r="I52" s="1669"/>
      <c r="J52" s="2310">
        <v>1</v>
      </c>
      <c r="K52" s="3362" t="s">
        <v>1355</v>
      </c>
      <c r="L52" s="3362"/>
      <c r="M52" s="2312" t="b">
        <f>D48</f>
        <v>0</v>
      </c>
      <c r="N52" s="2310" t="str">
        <f>E48</f>
        <v>销售额×税（费）率</v>
      </c>
      <c r="O52" s="2313">
        <f>F48</f>
        <v>5.6000000000000001E-2</v>
      </c>
    </row>
    <row r="53" spans="1:35" ht="12" customHeight="1">
      <c r="A53" s="2153" t="s">
        <v>1356</v>
      </c>
      <c r="B53" s="3386" t="s">
        <v>2282</v>
      </c>
      <c r="C53" s="3387"/>
      <c r="D53" s="1024" t="e">
        <f ca="1">ROUND(D45*'数据-取费表'!B41/(1+'数据-取费表'!C42),0)</f>
        <v>#REF!</v>
      </c>
      <c r="E53" s="1256" t="s">
        <v>1354</v>
      </c>
      <c r="F53" s="2340">
        <f>'数据-取费表'!B41</f>
        <v>5.6000000000000001E-2</v>
      </c>
      <c r="G53" s="2341"/>
      <c r="H53" s="2331"/>
      <c r="I53" s="1669"/>
      <c r="J53" s="2310">
        <v>2</v>
      </c>
      <c r="K53" s="3362" t="s">
        <v>1357</v>
      </c>
      <c r="L53" s="3362"/>
      <c r="M53" s="2312" t="e">
        <f t="shared" ref="M53:O54" ca="1" si="0">D55</f>
        <v>#REF!</v>
      </c>
      <c r="N53" s="2310" t="str">
        <f t="shared" si="0"/>
        <v>销售额×税（费）率</v>
      </c>
      <c r="O53" s="2313" t="str">
        <f t="shared" si="0"/>
        <v>免征</v>
      </c>
    </row>
    <row r="54" spans="1:35" ht="12" customHeight="1">
      <c r="A54" s="2153" t="s">
        <v>1358</v>
      </c>
      <c r="B54" s="3386" t="s">
        <v>2283</v>
      </c>
      <c r="C54" s="3387"/>
      <c r="D54" s="1024" t="e">
        <f ca="1">C68</f>
        <v>#REF!</v>
      </c>
      <c r="E54" s="319" t="s">
        <v>1359</v>
      </c>
      <c r="F54" s="2340">
        <f>'数据-取费表'!B41</f>
        <v>5.6000000000000001E-2</v>
      </c>
      <c r="G54" s="2341"/>
      <c r="H54" s="2342"/>
      <c r="I54" s="1669"/>
      <c r="J54" s="2310">
        <v>3</v>
      </c>
      <c r="K54" s="3362" t="s">
        <v>1360</v>
      </c>
      <c r="L54" s="3362"/>
      <c r="M54" s="2312" t="e">
        <f t="shared" ca="1" si="0"/>
        <v>#REF!</v>
      </c>
      <c r="N54" s="2310" t="str">
        <f t="shared" si="0"/>
        <v>增值额×税（费）率</v>
      </c>
      <c r="O54" s="2314" t="str">
        <f t="shared" si="0"/>
        <v>免征</v>
      </c>
    </row>
    <row r="55" spans="1:35" ht="24" customHeight="1">
      <c r="A55" s="3422" t="s">
        <v>1361</v>
      </c>
      <c r="B55" s="3400"/>
      <c r="C55" s="3400"/>
      <c r="D55" s="12" t="e">
        <f ca="1">IF(H55="个人住宅",0,ROUND(D45*I55,0))</f>
        <v>#REF!</v>
      </c>
      <c r="E55" s="1256" t="s">
        <v>1362</v>
      </c>
      <c r="F55" s="2340" t="str">
        <f>IF(H55="正常",I55,"免征")</f>
        <v>免征</v>
      </c>
      <c r="G55" s="2341"/>
      <c r="H55" s="2337"/>
      <c r="I55" s="157">
        <f>'数据-取费表'!B49</f>
        <v>5.0000000000000001E-4</v>
      </c>
      <c r="J55" s="2310">
        <f>IF(H59="非个人房产","",4)</f>
        <v>4</v>
      </c>
      <c r="K55" s="3362" t="str">
        <f>IF(H59="非个人房产","——","个人所得税")</f>
        <v>个人所得税</v>
      </c>
      <c r="L55" s="3362"/>
      <c r="M55" s="2315" t="e">
        <f ca="1">D59</f>
        <v>#REF!</v>
      </c>
      <c r="N55" s="1883" t="str">
        <f>E59</f>
        <v>差额计税</v>
      </c>
      <c r="O55" s="2316">
        <f>F59</f>
        <v>0.01</v>
      </c>
    </row>
    <row r="56" spans="1:35" ht="24.75">
      <c r="A56" s="3422" t="s">
        <v>1363</v>
      </c>
      <c r="B56" s="3400"/>
      <c r="C56" s="3400"/>
      <c r="D56" s="12" t="e">
        <f ca="1">IF(H56="个人住宅",D57,D58)</f>
        <v>#REF!</v>
      </c>
      <c r="E56" s="1256" t="s">
        <v>1364</v>
      </c>
      <c r="F56" s="2340" t="str">
        <f>IF(H56="正常",F58,"免征")</f>
        <v>免征</v>
      </c>
      <c r="G56" s="2343" t="s">
        <v>1365</v>
      </c>
      <c r="H56" s="2344"/>
      <c r="I56" s="1670"/>
      <c r="J56" s="2310" t="str">
        <f>IF(项目基本情况!K6="上海银行",IF(J55="",4,J55+1),"")</f>
        <v/>
      </c>
      <c r="K56" s="3343" t="str">
        <f>IF(项目基本情况!K6="上海银行","其他处置费用","")</f>
        <v/>
      </c>
      <c r="L56" s="3344"/>
      <c r="M56" s="2312" t="str">
        <f>IF(项目基本情况!K6="上海银行",M69,"")</f>
        <v/>
      </c>
      <c r="N56" s="3343" t="str">
        <f>IF(项目基本情况!K6="上海银行","包含处置中涉及的律师、诉讼、拍卖、评估等费用","")</f>
        <v/>
      </c>
      <c r="O56" s="3346"/>
    </row>
    <row r="57" spans="1:35" ht="12.75">
      <c r="A57" s="2153" t="s">
        <v>1341</v>
      </c>
      <c r="B57" s="3386" t="s">
        <v>1366</v>
      </c>
      <c r="C57" s="3387"/>
      <c r="D57" s="1478">
        <v>0</v>
      </c>
      <c r="E57" s="316" t="s">
        <v>1343</v>
      </c>
      <c r="F57" s="294"/>
      <c r="G57" s="2341"/>
      <c r="H57" s="2345"/>
      <c r="I57" s="1670"/>
      <c r="J57" s="3362">
        <f>IF(AND(J55="",J56=""),4,IF(项目基本情况!K6="上海银行",结果表!J56+1,结果表!J55+1))</f>
        <v>5</v>
      </c>
      <c r="K57" s="3362" t="s">
        <v>1367</v>
      </c>
      <c r="L57" s="2317" t="s">
        <v>1368</v>
      </c>
      <c r="M57" s="2318"/>
      <c r="N57" s="2319">
        <f ca="1">SUMIF(M52:M56,"&lt;9e307")</f>
        <v>0</v>
      </c>
      <c r="O57" s="2320"/>
      <c r="P57" s="2465" t="e">
        <f ca="1">N57/M49</f>
        <v>#REF!</v>
      </c>
    </row>
    <row r="58" spans="1:35" ht="24.75">
      <c r="A58" s="2153" t="s">
        <v>1352</v>
      </c>
      <c r="B58" s="3386" t="s">
        <v>1369</v>
      </c>
      <c r="C58" s="3385"/>
      <c r="D58" s="12" t="e">
        <f ca="1">IF(H58="转让取得",C81,C97)</f>
        <v>#REF!</v>
      </c>
      <c r="E58" s="1256" t="s">
        <v>1364</v>
      </c>
      <c r="F58" s="294" t="s">
        <v>28</v>
      </c>
      <c r="G58" s="2341"/>
      <c r="H58" s="2344"/>
      <c r="I58" s="1670"/>
      <c r="J58" s="3362"/>
      <c r="K58" s="3362"/>
      <c r="L58" s="2317" t="s">
        <v>1370</v>
      </c>
      <c r="M58" s="2321"/>
      <c r="N58" s="2322" t="str">
        <f ca="1">NUMBERSTRING(INT(N57*10000),2)&amp;"元整"</f>
        <v>零元整</v>
      </c>
      <c r="O58" s="2323"/>
    </row>
    <row r="59" spans="1:35" ht="24.75" thickBot="1">
      <c r="A59" s="3366" t="s">
        <v>1371</v>
      </c>
      <c r="B59" s="3367"/>
      <c r="C59" s="3367"/>
      <c r="D59" s="2346" t="e">
        <f ca="1">IF(H59="非个人房产","——",IF(H59="个人住宅（满五唯一有凭证）",0,IF(H59="个人其他（无凭证）",ROUND(D45/(1+'数据-取费表'!C42)*F59,0),ROUND(C67*F59,0))))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64">
        <f>J57+1</f>
        <v>6</v>
      </c>
      <c r="K59" s="3362" t="s">
        <v>1372</v>
      </c>
      <c r="L59" s="2310" t="s">
        <v>1368</v>
      </c>
      <c r="M59" s="2324"/>
      <c r="N59" s="2325" t="e">
        <f ca="1">M49-N57</f>
        <v>#REF!</v>
      </c>
      <c r="O59" s="2326"/>
    </row>
    <row r="60" spans="1:35" ht="12" customHeight="1">
      <c r="A60" s="1671"/>
      <c r="B60" s="646"/>
      <c r="C60" s="646"/>
      <c r="D60" s="646"/>
      <c r="E60" s="1466"/>
      <c r="F60" s="1670"/>
      <c r="G60" s="1670"/>
      <c r="H60" s="151"/>
      <c r="I60" s="121"/>
      <c r="J60" s="3365"/>
      <c r="K60" s="3362"/>
      <c r="L60" s="2317" t="s">
        <v>1370</v>
      </c>
      <c r="M60" s="2321"/>
      <c r="N60" s="2322" t="e">
        <f ca="1">NUMBERSTRING(INT(N59*10000),2)&amp;"元整"</f>
        <v>#REF!</v>
      </c>
      <c r="O60" s="2323"/>
    </row>
    <row r="61" spans="1:35" ht="13.5" thickBot="1">
      <c r="A61" s="3421" t="s">
        <v>1373</v>
      </c>
      <c r="B61" s="3421"/>
      <c r="C61" s="3421"/>
      <c r="D61" s="3421"/>
      <c r="E61" s="3421"/>
      <c r="F61" s="1670"/>
      <c r="G61" s="1670"/>
      <c r="H61" s="151"/>
      <c r="I61" s="121"/>
      <c r="J61" s="2310">
        <f>J59+1</f>
        <v>7</v>
      </c>
      <c r="K61" s="3362" t="s">
        <v>1374</v>
      </c>
      <c r="L61" s="3362"/>
      <c r="M61" s="2327"/>
      <c r="N61" s="2328" t="e">
        <f ca="1">ROUND(N59*10000/'数据-汇总表'!E3,0)</f>
        <v>#REF!</v>
      </c>
      <c r="O61" s="2329"/>
    </row>
    <row r="62" spans="1:35" ht="12.75">
      <c r="A62" s="3381" t="s">
        <v>1375</v>
      </c>
      <c r="B62" s="338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345"/>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345"/>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45"/>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345"/>
      <c r="K69" s="1245" t="s">
        <v>1393</v>
      </c>
      <c r="L69" s="1245"/>
      <c r="M69" s="294" t="e">
        <f ca="1">ROUND(SUM(M63:M68),0)</f>
        <v>#REF!</v>
      </c>
      <c r="N69" s="2332" t="e">
        <f ca="1">M69/M49</f>
        <v>#REF!</v>
      </c>
      <c r="Z69" s="1623"/>
      <c r="AI69" s="1561"/>
    </row>
    <row r="70" spans="1:35" s="642" customFormat="1" ht="15" thickBot="1">
      <c r="A70" s="3389" t="s">
        <v>1394</v>
      </c>
      <c r="B70" s="3390"/>
      <c r="C70" s="3390"/>
      <c r="D70" s="3390"/>
      <c r="E70" s="3390"/>
      <c r="F70" s="3390"/>
      <c r="G70" s="3390"/>
      <c r="H70" s="339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81" t="s">
        <v>1375</v>
      </c>
      <c r="B71" s="33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86" t="s">
        <v>1402</v>
      </c>
      <c r="F76" s="3385"/>
      <c r="G76" s="3385"/>
      <c r="H76" s="338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78" t="s">
        <v>1406</v>
      </c>
      <c r="F78" s="3379"/>
      <c r="G78" s="3379"/>
      <c r="H78" s="33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89" t="s">
        <v>1410</v>
      </c>
      <c r="B83" s="3390"/>
      <c r="C83" s="3390"/>
      <c r="D83" s="3390"/>
      <c r="E83" s="3390"/>
      <c r="F83" s="3390"/>
      <c r="G83" s="3390"/>
      <c r="H83" s="339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81" t="s">
        <v>1375</v>
      </c>
      <c r="B84" s="33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7" t="s">
        <v>2129</v>
      </c>
      <c r="H90" s="334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78" t="s">
        <v>1419</v>
      </c>
      <c r="F91" s="3379"/>
      <c r="G91" s="33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78" t="s">
        <v>1422</v>
      </c>
      <c r="F92" s="3379"/>
      <c r="G92" s="3379"/>
      <c r="H92" s="338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78" t="s">
        <v>1406</v>
      </c>
      <c r="F93" s="3379"/>
      <c r="G93" s="3379"/>
      <c r="H93" s="33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3" t="s">
        <v>1426</v>
      </c>
      <c r="F94" s="3424"/>
      <c r="G94" s="3424"/>
      <c r="H94" s="342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28" t="s">
        <v>1428</v>
      </c>
      <c r="B100" s="3329"/>
      <c r="C100" s="3329"/>
      <c r="D100" s="3363"/>
      <c r="E100" s="3329" t="s">
        <v>1429</v>
      </c>
      <c r="F100" s="3329"/>
      <c r="G100" s="3329"/>
      <c r="H100" s="3363"/>
      <c r="I100" s="121"/>
    </row>
    <row r="101" spans="1:35" ht="18.75" customHeight="1">
      <c r="A101" s="3371" t="s">
        <v>1430</v>
      </c>
      <c r="B101" s="3372"/>
      <c r="C101" s="2371">
        <f>C4</f>
        <v>0</v>
      </c>
      <c r="D101" s="2372">
        <f>D4</f>
        <v>0</v>
      </c>
      <c r="E101" s="3341" t="s">
        <v>1431</v>
      </c>
      <c r="F101" s="3342"/>
      <c r="G101" s="1687" t="s">
        <v>1432</v>
      </c>
      <c r="H101" s="2381" t="e">
        <f ca="1">H118</f>
        <v>#REF!</v>
      </c>
      <c r="I101" s="121"/>
    </row>
    <row r="102" spans="1:35" ht="18.75" customHeight="1">
      <c r="A102" s="3373" t="s">
        <v>1433</v>
      </c>
      <c r="B102" s="2370" t="s">
        <v>1432</v>
      </c>
      <c r="C102" s="2371" t="e">
        <f ca="1">IF(D32="楼面单价",ROUND(C19,0),C19)</f>
        <v>#REF!</v>
      </c>
      <c r="D102" s="2372" t="e">
        <f ca="1">IF(D32="楼面单价",ROUND(D19,0),D19)</f>
        <v>#REF!</v>
      </c>
      <c r="E102" s="3341"/>
      <c r="F102" s="3342"/>
      <c r="G102" s="1687" t="s">
        <v>1434</v>
      </c>
      <c r="H102" s="2341" t="e">
        <f ca="1">I118</f>
        <v>#REF!</v>
      </c>
      <c r="I102" s="121"/>
    </row>
    <row r="103" spans="1:35" ht="42.75" customHeight="1">
      <c r="A103" s="3373"/>
      <c r="B103" s="2370" t="s">
        <v>1434</v>
      </c>
      <c r="C103" s="2373" t="e">
        <f ca="1">C20</f>
        <v>#REF!</v>
      </c>
      <c r="D103" s="2374" t="e">
        <f ca="1">D20</f>
        <v>#REF!</v>
      </c>
      <c r="E103" s="3334" t="s">
        <v>1435</v>
      </c>
      <c r="F103" s="3335"/>
      <c r="G103" s="1688" t="s">
        <v>1436</v>
      </c>
      <c r="H103" s="2381">
        <f>IF(D36="正常操作",H104+H105+H106,H105+H106)</f>
        <v>0</v>
      </c>
      <c r="I103" s="121"/>
    </row>
    <row r="104" spans="1:35" ht="18.75" customHeight="1">
      <c r="A104" s="337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8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74" t="str">
        <f>IF(项目基本情况!E8="已注销","——","3.房地产抵押价值")</f>
        <v>3.房地产抵押价值</v>
      </c>
      <c r="F107" s="3342"/>
      <c r="G107" s="1687" t="s">
        <v>1432</v>
      </c>
      <c r="H107" s="2381" t="e">
        <f ca="1">IF(E107="——","——",H101-H103)</f>
        <v>#REF!</v>
      </c>
      <c r="I107" s="121"/>
    </row>
    <row r="108" spans="1:35" ht="18.75" customHeight="1">
      <c r="A108" s="121"/>
      <c r="B108" s="121"/>
      <c r="C108" s="121"/>
      <c r="D108" s="121"/>
      <c r="E108" s="3374"/>
      <c r="F108" s="3342"/>
      <c r="G108" s="1687" t="s">
        <v>1434</v>
      </c>
      <c r="H108" s="2341" t="e">
        <f ca="1">IF(H107=H101,H102,ROUND(H107*10000/'数据-汇总表'!E3,0))</f>
        <v>#REF!</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42"/>
      <c r="G109" s="1687" t="s">
        <v>1432</v>
      </c>
      <c r="H109" s="2384" t="str">
        <f>IF(E109="——","——",H101-H105-H106)</f>
        <v>——</v>
      </c>
      <c r="I109" s="121"/>
    </row>
    <row r="110" spans="1:35" ht="18.75" customHeight="1">
      <c r="A110" s="121"/>
      <c r="B110" s="121"/>
      <c r="C110" s="121"/>
      <c r="D110" s="121"/>
      <c r="E110" s="3374"/>
      <c r="F110" s="3342"/>
      <c r="G110" s="1687" t="s">
        <v>1434</v>
      </c>
      <c r="H110" s="2341" t="str">
        <f>IF(H109="——","——",ROUND(H109*10000/'数据-汇总表'!E3,0))</f>
        <v>——</v>
      </c>
      <c r="I110" s="121"/>
    </row>
    <row r="111" spans="1:35" ht="18.75" customHeight="1">
      <c r="A111" s="121"/>
      <c r="B111" s="121"/>
      <c r="C111" s="121"/>
      <c r="D111" s="121"/>
      <c r="E111" s="3375" t="str">
        <f>IF(项目基本情况!E9="抵押净值",IF(OR(项目基本情况!E8="已注销",项目基本情况!E8="房地产抵押价值"),"4.抵押净值","5.抵押净值"),"——")</f>
        <v>——</v>
      </c>
      <c r="F111" s="3361"/>
      <c r="G111" s="1687" t="s">
        <v>1432</v>
      </c>
      <c r="H111" s="2381" t="str">
        <f>IF(E111="——","——",N59)</f>
        <v>——</v>
      </c>
      <c r="I111" s="121"/>
    </row>
    <row r="112" spans="1:35" ht="18.75" customHeight="1" thickBot="1">
      <c r="A112" s="121"/>
      <c r="B112" s="121"/>
      <c r="C112" s="121"/>
      <c r="D112" s="121"/>
      <c r="E112" s="3376"/>
      <c r="F112" s="3377"/>
      <c r="G112" s="1690" t="s">
        <v>1434</v>
      </c>
      <c r="H112" s="2385" t="str">
        <f>IF(E111="——","——",N61)</f>
        <v>——</v>
      </c>
      <c r="I112" s="121"/>
    </row>
    <row r="113" spans="1:27" ht="18.75" customHeight="1">
      <c r="A113" s="121"/>
      <c r="B113" s="121"/>
      <c r="C113" s="121"/>
      <c r="D113" s="121"/>
      <c r="E113" s="3384" t="s">
        <v>1440</v>
      </c>
      <c r="F113" s="3384"/>
      <c r="G113" s="3384"/>
      <c r="H113" s="3384"/>
      <c r="I113" s="121"/>
    </row>
    <row r="114" spans="1:27" ht="3.75" customHeight="1">
      <c r="A114" s="646"/>
      <c r="B114" s="646"/>
      <c r="C114" s="646"/>
      <c r="D114" s="646"/>
      <c r="E114" s="1671"/>
      <c r="F114" s="1671"/>
      <c r="G114" s="1671"/>
      <c r="H114" s="1671"/>
      <c r="I114" s="646"/>
    </row>
    <row r="115" spans="1:27" ht="18.75" customHeight="1">
      <c r="A115" s="3392" t="s">
        <v>1442</v>
      </c>
      <c r="B115" s="3393"/>
      <c r="C115" s="3393"/>
      <c r="D115" s="3393"/>
      <c r="E115" s="3393"/>
      <c r="F115" s="3393"/>
      <c r="G115" s="3393"/>
      <c r="H115" s="3393"/>
      <c r="I115" s="3394"/>
    </row>
    <row r="116" spans="1:27" ht="27" customHeight="1">
      <c r="A116" s="3349" t="s">
        <v>1443</v>
      </c>
      <c r="B116" s="3353" t="s">
        <v>1444</v>
      </c>
      <c r="C116" s="3353" t="s">
        <v>1445</v>
      </c>
      <c r="D116" s="3359" t="s">
        <v>1446</v>
      </c>
      <c r="E116" s="3360"/>
      <c r="F116" s="3391" t="s">
        <v>1447</v>
      </c>
      <c r="G116" s="3391"/>
      <c r="H116" s="3349" t="s">
        <v>1448</v>
      </c>
      <c r="I116" s="3349"/>
    </row>
    <row r="117" spans="1:27" ht="18.75" customHeight="1">
      <c r="A117" s="3349"/>
      <c r="B117" s="3354"/>
      <c r="C117" s="335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326</v>
      </c>
      <c r="C118" s="2150">
        <f>M19</f>
        <v>763.36</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49" t="s">
        <v>1452</v>
      </c>
      <c r="B119" s="3349"/>
      <c r="C119" s="3349"/>
      <c r="D119" s="3355" t="e">
        <f ca="1">NUMBERSTRING(INT(D118*10000),2)&amp;"元整"</f>
        <v>#REF!</v>
      </c>
      <c r="E119" s="3356"/>
      <c r="F119" s="3355" t="e">
        <f ca="1">NUMBERSTRING(INT(F118*10000),2)&amp;"元整"</f>
        <v>#REF!</v>
      </c>
      <c r="G119" s="3356"/>
      <c r="H119" s="3355" t="e">
        <f ca="1">NUMBERSTRING(INT(H118*10000),2)&amp;"元整"</f>
        <v>#REF!</v>
      </c>
      <c r="I119" s="3356"/>
    </row>
    <row r="120" spans="1:27" ht="18.75" customHeight="1">
      <c r="A120" s="3350" t="str">
        <f>IF(项目基本情况!B9="房地产市场价值","",MID(E103,3,LEN(E103)-2))</f>
        <v>估价师知悉的法定优先受偿款</v>
      </c>
      <c r="B120" s="3351"/>
      <c r="C120" s="3352"/>
      <c r="D120" s="3350">
        <f>H103</f>
        <v>0</v>
      </c>
      <c r="E120" s="3351"/>
      <c r="F120" s="3351"/>
      <c r="G120" s="3351"/>
      <c r="H120" s="3351"/>
      <c r="I120" s="335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5" t="s">
        <v>1452</v>
      </c>
      <c r="B121" s="3357"/>
      <c r="C121" s="3356"/>
      <c r="D121" s="3355" t="str">
        <f>IF(D120=0,"零元整",NUMBERSTRING(INT(D120*10000),2)&amp;"元整")</f>
        <v>零元整</v>
      </c>
      <c r="E121" s="3357"/>
      <c r="F121" s="3357"/>
      <c r="G121" s="3357"/>
      <c r="H121" s="3357"/>
      <c r="I121" s="3356"/>
      <c r="AA121" s="684"/>
    </row>
    <row r="122" spans="1:27" ht="18.75" customHeight="1">
      <c r="A122" s="3361" t="str">
        <f>IF(项目基本情况!B9="房地产市场价值","",MID(E107,3,LEN(E107)-2))</f>
        <v>房地产抵押价值</v>
      </c>
      <c r="B122" s="3361"/>
      <c r="C122" s="3361"/>
      <c r="D122" s="3350" t="e">
        <f ca="1">H107</f>
        <v>#REF!</v>
      </c>
      <c r="E122" s="3351"/>
      <c r="F122" s="3351"/>
      <c r="G122" s="3351"/>
      <c r="H122" s="3351"/>
      <c r="I122" s="3352"/>
      <c r="AA122" s="684"/>
    </row>
    <row r="123" spans="1:27" ht="18.75" customHeight="1">
      <c r="A123" s="3349" t="s">
        <v>1452</v>
      </c>
      <c r="B123" s="3349"/>
      <c r="C123" s="3349"/>
      <c r="D123" s="3355" t="e">
        <f ca="1">NUMBERSTRING(INT(D122*10000),2)&amp;"元整"</f>
        <v>#REF!</v>
      </c>
      <c r="E123" s="3357"/>
      <c r="F123" s="3357"/>
      <c r="G123" s="3357"/>
      <c r="H123" s="3357"/>
      <c r="I123" s="3356"/>
      <c r="AA123" s="684"/>
    </row>
    <row r="124" spans="1:27" ht="18.75" customHeight="1">
      <c r="A124" s="3361" t="str">
        <f>IF(项目基本情况!B9="房地产市场价值","",MID(E109,3,LEN(E109)-2))</f>
        <v/>
      </c>
      <c r="B124" s="3361"/>
      <c r="C124" s="3361"/>
      <c r="D124" s="3350" t="str">
        <f>H109</f>
        <v>——</v>
      </c>
      <c r="E124" s="3351"/>
      <c r="F124" s="3351"/>
      <c r="G124" s="3351"/>
      <c r="H124" s="3351"/>
      <c r="I124" s="3352"/>
      <c r="AA124" s="684"/>
    </row>
    <row r="125" spans="1:27" ht="18.75" customHeight="1">
      <c r="A125" s="3349" t="s">
        <v>1452</v>
      </c>
      <c r="B125" s="3349"/>
      <c r="C125" s="3349"/>
      <c r="D125" s="3355" t="e">
        <f>NUMBERSTRING(INT(D124*10000),2)&amp;"元整"</f>
        <v>#VALUE!</v>
      </c>
      <c r="E125" s="3357"/>
      <c r="F125" s="3357"/>
      <c r="G125" s="3357"/>
      <c r="H125" s="3357"/>
      <c r="I125" s="3356"/>
      <c r="AA125" s="684"/>
    </row>
    <row r="126" spans="1:27" ht="18.75" customHeight="1">
      <c r="A126" s="3361" t="str">
        <f>IF(项目基本情况!B9="房地产市场价值","",MID(E111,3,LEN(E111)-2))</f>
        <v/>
      </c>
      <c r="B126" s="3361"/>
      <c r="C126" s="3361"/>
      <c r="D126" s="3350" t="str">
        <f>H111</f>
        <v>——</v>
      </c>
      <c r="E126" s="3351"/>
      <c r="F126" s="3351"/>
      <c r="G126" s="3351"/>
      <c r="H126" s="3351"/>
      <c r="I126" s="3352"/>
      <c r="AA126" s="684"/>
    </row>
    <row r="127" spans="1:27" ht="18.75" customHeight="1">
      <c r="A127" s="3349" t="s">
        <v>1452</v>
      </c>
      <c r="B127" s="3349"/>
      <c r="C127" s="3349"/>
      <c r="D127" s="3355" t="e">
        <f>NUMBERSTRING(INT(D126*10000),2)&amp;"元整"</f>
        <v>#VALUE!</v>
      </c>
      <c r="E127" s="3357"/>
      <c r="F127" s="3357"/>
      <c r="G127" s="3357"/>
      <c r="H127" s="3357"/>
      <c r="I127" s="3356"/>
      <c r="AA127" s="684"/>
    </row>
    <row r="128" spans="1:27" ht="21.75" customHeight="1">
      <c r="A128" s="3358" t="s">
        <v>1453</v>
      </c>
      <c r="B128" s="3358"/>
      <c r="C128" s="3358"/>
      <c r="D128" s="3358"/>
      <c r="E128" s="3358"/>
      <c r="F128" s="3358"/>
      <c r="G128" s="3358"/>
      <c r="H128" s="3358"/>
      <c r="I128" s="335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46" t="str">
        <f>项目基本情况!B1</f>
        <v>北京市房地产抵押价值预评估</v>
      </c>
      <c r="C37" s="3246"/>
      <c r="D37" s="3246"/>
      <c r="E37" s="3246"/>
      <c r="F37" s="3246"/>
      <c r="G37" s="3246"/>
      <c r="H37" s="3246"/>
      <c r="I37" s="32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84385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2588497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65200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65200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7</v>
      </c>
      <c r="D10" s="795">
        <f ca="1">IF(B1="",'数据-汇总表'!E6,IF(INDIRECT("'数据-取费表'!c"&amp;$G$1)="住宅",INDIRECT("'数据-取费表'!s"&amp;$G$1),INDIRECT("'数据-取费表'!k"&amp;$G$1)+INDIRECT("'数据-取费表'!s"&amp;$G$1)))</f>
        <v>326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7</v>
      </c>
      <c r="D19" s="204">
        <f ca="1">D9+D10</f>
        <v>326</v>
      </c>
      <c r="E19" s="203">
        <f>'数据-取费表'!B31</f>
        <v>200</v>
      </c>
      <c r="F19" s="223"/>
      <c r="G19" s="1714"/>
    </row>
    <row r="20" spans="1:7" s="206" customFormat="1" ht="13.5" customHeight="1">
      <c r="A20" s="247" t="s">
        <v>1493</v>
      </c>
      <c r="B20" s="202" t="s">
        <v>1494</v>
      </c>
      <c r="C20" s="224">
        <f ca="1">ROUND((C5+C19)*F20,0)</f>
        <v>1956</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3060</v>
      </c>
      <c r="D22" s="227">
        <f ca="1">C26</f>
        <v>6.9999999999999999E-4</v>
      </c>
      <c r="E22" s="228" t="s">
        <v>1498</v>
      </c>
      <c r="F22" s="229">
        <f ca="1">'数据-取费表'!B40</f>
        <v>3.0599999999999999E-2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3015</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45</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6716</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6716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84271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114</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v>
      </c>
      <c r="D37" s="209">
        <f ca="1">D19</f>
        <v>326</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6.9999999999999999E-4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428" t="s">
        <v>1544</v>
      </c>
    </row>
    <row r="43" spans="1:7" ht="13.5" customHeight="1">
      <c r="A43" s="734" t="s">
        <v>347</v>
      </c>
      <c r="B43" s="207" t="s">
        <v>1545</v>
      </c>
      <c r="C43" s="230">
        <f ca="1">ROUND(IF('数据-取费表'!B22&lt;=1,C39*F22*'数据-取费表'!B21/2,C39*(POWER((1+F22),'数据-取费表'!B21/2)-1)),0)</f>
        <v>0</v>
      </c>
      <c r="D43" s="230"/>
      <c r="E43" s="230"/>
      <c r="F43" s="231"/>
      <c r="G43" s="3429"/>
    </row>
    <row r="44" spans="1:7" ht="13.5" customHeight="1">
      <c r="A44" s="734" t="s">
        <v>348</v>
      </c>
      <c r="B44" s="207" t="s">
        <v>1546</v>
      </c>
      <c r="C44" s="230">
        <f ca="1">ROUND(IF('数据-取费表'!B22&lt;=1,C40*F22*'数据-取费表'!B21/2,C40*(POWER((1+F22),'数据-取费表'!B21/2)-1)),4)</f>
        <v>6.9999999999999999E-4</v>
      </c>
      <c r="D44" s="230"/>
      <c r="E44" s="230"/>
      <c r="F44" s="231"/>
      <c r="G44" s="3430"/>
    </row>
    <row r="45" spans="1:7" s="206" customFormat="1" ht="13.5" customHeight="1">
      <c r="A45" s="247" t="s">
        <v>1547</v>
      </c>
      <c r="B45" s="236" t="s">
        <v>1513</v>
      </c>
      <c r="C45" s="237">
        <f ca="1">C46</f>
        <v>13</v>
      </c>
      <c r="D45" s="227">
        <f ca="1">C47</f>
        <v>3.0000000000000001E-3</v>
      </c>
      <c r="E45" s="228" t="s">
        <v>1539</v>
      </c>
      <c r="F45" s="238">
        <f ca="1">F27</f>
        <v>0.1</v>
      </c>
      <c r="G45" s="239" t="s">
        <v>1548</v>
      </c>
    </row>
    <row r="46" spans="1:7" s="206" customFormat="1" ht="13.5" customHeight="1">
      <c r="A46" s="734" t="s">
        <v>346</v>
      </c>
      <c r="B46" s="240" t="s">
        <v>1549</v>
      </c>
      <c r="C46" s="241">
        <f ca="1">ROUND((C33+C39)*F27,0)</f>
        <v>13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114</v>
      </c>
      <c r="D51" s="224"/>
      <c r="E51" s="224"/>
      <c r="F51" s="256"/>
      <c r="G51" s="226" t="s">
        <v>1560</v>
      </c>
    </row>
    <row r="52" spans="1:7" s="200" customFormat="1" ht="16.5" thickBot="1">
      <c r="A52" s="257" t="s">
        <v>1561</v>
      </c>
      <c r="B52" s="258"/>
      <c r="C52" s="259">
        <f ca="1">C31+C51</f>
        <v>84385</v>
      </c>
      <c r="D52" s="258"/>
      <c r="E52" s="258"/>
      <c r="F52" s="258"/>
      <c r="G52" s="260"/>
    </row>
    <row r="55" spans="1:7" ht="15">
      <c r="B55" s="262" t="s">
        <v>1562</v>
      </c>
      <c r="C55" s="263"/>
    </row>
    <row r="56" spans="1:7">
      <c r="B56" s="265" t="s">
        <v>802</v>
      </c>
      <c r="C56" s="267">
        <f ca="1">1-C57</f>
        <v>0.999</v>
      </c>
    </row>
    <row r="57" spans="1:7">
      <c r="B57" s="265" t="s">
        <v>803</v>
      </c>
      <c r="C57" s="266">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6" sqref="K2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355.98689999999999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10920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1872117.92</v>
      </c>
      <c r="D5" s="203" t="s">
        <v>1469</v>
      </c>
      <c r="E5" s="204" t="s">
        <v>1470</v>
      </c>
      <c r="F5" s="204" t="s">
        <v>1471</v>
      </c>
      <c r="G5" s="205"/>
    </row>
    <row r="6" spans="1:8" s="206" customFormat="1" ht="13.5" customHeight="1">
      <c r="A6" s="732" t="s">
        <v>1472</v>
      </c>
      <c r="B6" s="207" t="s">
        <v>1473</v>
      </c>
      <c r="C6" s="208">
        <f>基准地价修正!C33*基准地价修正!D33</f>
        <v>1753437.92</v>
      </c>
      <c r="D6" s="209"/>
      <c r="E6" s="210"/>
      <c r="F6" s="210"/>
      <c r="G6" s="211"/>
    </row>
    <row r="7" spans="1:8" s="206" customFormat="1" ht="13.5" customHeight="1">
      <c r="A7" s="732" t="s">
        <v>1474</v>
      </c>
      <c r="B7" s="207" t="s">
        <v>1475</v>
      </c>
      <c r="C7" s="212">
        <f>ROUND(C6*F7,0)</f>
        <v>53480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65200</v>
      </c>
      <c r="D8" s="214"/>
      <c r="E8" s="212"/>
      <c r="F8" s="213"/>
      <c r="G8" s="1714" t="s">
        <v>3426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65200</v>
      </c>
      <c r="D10" s="795">
        <f ca="1">IF(B1="",'数据-汇总表'!E6,IF(INDIRECT("'数据-取费表'!c"&amp;$G$1)="住宅",INDIRECT("'数据-取费表'!s"&amp;$G$1),INDIRECT("'数据-取费表'!k"&amp;$G$1)+INDIRECT("'数据-取费表'!s"&amp;$G$1)))</f>
        <v>326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326</v>
      </c>
      <c r="E19" s="203">
        <f>'数据-取费表'!B31</f>
        <v>200</v>
      </c>
      <c r="F19" s="223"/>
      <c r="G19" s="1714" t="s">
        <v>3427</v>
      </c>
    </row>
    <row r="20" spans="1:7" s="206" customFormat="1" ht="13.5" customHeight="1">
      <c r="A20" s="247" t="s">
        <v>1574</v>
      </c>
      <c r="B20" s="202" t="s">
        <v>1575</v>
      </c>
      <c r="C20" s="224">
        <f ca="1">ROUND((C5+C19)*F20,0)</f>
        <v>56164</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87868</v>
      </c>
      <c r="D22" s="227">
        <f ca="1">C26</f>
        <v>6.9999999999999999E-4</v>
      </c>
      <c r="E22" s="228" t="s">
        <v>1579</v>
      </c>
      <c r="F22" s="229">
        <f ca="1">'数据-取费表'!B40</f>
        <v>3.0599999999999999E-2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86584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1284</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192828</v>
      </c>
      <c r="D27" s="227">
        <f ca="1">C29</f>
        <v>3.0000000000000001E-3</v>
      </c>
      <c r="E27" s="228" t="s">
        <v>1514</v>
      </c>
      <c r="F27" s="238">
        <f ca="1">IF(B1="",'数据-取费表'!Q16,INDIRECT("'数据-取费表'!q"&amp;$G$1))</f>
        <v>0.1</v>
      </c>
      <c r="G27" s="239" t="s">
        <v>1515</v>
      </c>
    </row>
    <row r="28" spans="1:7" s="206" customFormat="1" ht="13.5" customHeight="1">
      <c r="A28" s="734" t="s">
        <v>346</v>
      </c>
      <c r="B28" s="240" t="s">
        <v>1516</v>
      </c>
      <c r="C28" s="241">
        <f ca="1">ROUND((C5+C19+C20)*F27,0)</f>
        <v>192828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2419472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1286070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1141000</v>
      </c>
      <c r="D34" s="209"/>
      <c r="E34" s="212"/>
      <c r="F34" s="249"/>
      <c r="G34" s="211"/>
    </row>
    <row r="35" spans="1:7" ht="13.5" customHeight="1">
      <c r="A35" s="734" t="s">
        <v>351</v>
      </c>
      <c r="B35" s="207" t="s">
        <v>1527</v>
      </c>
      <c r="C35" s="212">
        <f ca="1">ROUND(C34*F35,0)</f>
        <v>57050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65200</v>
      </c>
      <c r="D37" s="209">
        <f ca="1">D19</f>
        <v>326</v>
      </c>
      <c r="E37" s="241">
        <f>'数据-取费表'!B35</f>
        <v>200</v>
      </c>
      <c r="F37" s="251"/>
      <c r="G37" s="253"/>
    </row>
    <row r="38" spans="1:7" ht="13.5" customHeight="1">
      <c r="A38" s="734" t="s">
        <v>354</v>
      </c>
      <c r="B38" s="207" t="s">
        <v>1533</v>
      </c>
      <c r="C38" s="212">
        <f ca="1">ROUND(C34*F38,0)</f>
        <v>22820</v>
      </c>
      <c r="D38" s="212"/>
      <c r="E38" s="212"/>
      <c r="F38" s="251">
        <f>'数据-取费表'!B36</f>
        <v>0.02</v>
      </c>
      <c r="G38" s="211" t="s">
        <v>1528</v>
      </c>
    </row>
    <row r="39" spans="1:7" s="206" customFormat="1" ht="13.5" customHeight="1">
      <c r="A39" s="247" t="s">
        <v>1534</v>
      </c>
      <c r="B39" s="202" t="s">
        <v>1535</v>
      </c>
      <c r="C39" s="224">
        <f ca="1">ROUND(C33*F20,0)</f>
        <v>38582</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30286</v>
      </c>
      <c r="D41" s="227">
        <f ca="1">C44</f>
        <v>6.9999999999999999E-4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29404</v>
      </c>
      <c r="D42" s="230"/>
      <c r="E42" s="230"/>
      <c r="F42" s="231"/>
      <c r="G42" s="3428" t="s">
        <v>1591</v>
      </c>
    </row>
    <row r="43" spans="1:7" ht="13.5" customHeight="1">
      <c r="A43" s="734" t="s">
        <v>347</v>
      </c>
      <c r="B43" s="207" t="s">
        <v>1545</v>
      </c>
      <c r="C43" s="230">
        <f ca="1">ROUND(IF('数据-取费表'!B22&lt;=1,C39*F22*'数据-取费表'!B20/2,C39*(POWER((1+F22),'数据-取费表'!B20/2)-1)),0)</f>
        <v>882</v>
      </c>
      <c r="D43" s="230"/>
      <c r="E43" s="230"/>
      <c r="F43" s="231"/>
      <c r="G43" s="3429"/>
    </row>
    <row r="44" spans="1:7" ht="13.5" customHeight="1">
      <c r="A44" s="734" t="s">
        <v>348</v>
      </c>
      <c r="B44" s="207" t="s">
        <v>1546</v>
      </c>
      <c r="C44" s="230">
        <f ca="1">ROUND(IF('数据-取费表'!B22&lt;=1,C40*F22*'数据-取费表'!B20/2,C40*(POWER((1+F22),'数据-取费表'!B20/2)-1)),4)</f>
        <v>6.9999999999999999E-4</v>
      </c>
      <c r="D44" s="230"/>
      <c r="E44" s="230"/>
      <c r="F44" s="231"/>
      <c r="G44" s="3430"/>
    </row>
    <row r="45" spans="1:7" s="206" customFormat="1" ht="13.5" customHeight="1">
      <c r="A45" s="247" t="s">
        <v>1547</v>
      </c>
      <c r="B45" s="236" t="s">
        <v>1513</v>
      </c>
      <c r="C45" s="237">
        <f ca="1">C46</f>
        <v>132465</v>
      </c>
      <c r="D45" s="227">
        <f ca="1">C47</f>
        <v>3.0000000000000001E-3</v>
      </c>
      <c r="E45" s="228" t="s">
        <v>1539</v>
      </c>
      <c r="F45" s="238">
        <f ca="1">F27</f>
        <v>0.1</v>
      </c>
      <c r="G45" s="239" t="s">
        <v>1548</v>
      </c>
    </row>
    <row r="46" spans="1:7" s="206" customFormat="1" ht="13.5" customHeight="1">
      <c r="A46" s="734" t="s">
        <v>346</v>
      </c>
      <c r="B46" s="240" t="s">
        <v>1549</v>
      </c>
      <c r="C46" s="241">
        <f ca="1">ROUND((C33+C39)*F27,0)</f>
        <v>132465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1629138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1140397</v>
      </c>
      <c r="D51" s="224"/>
      <c r="E51" s="224"/>
      <c r="F51" s="256"/>
      <c r="G51" s="226" t="s">
        <v>1560</v>
      </c>
    </row>
    <row r="52" spans="1:7" s="200" customFormat="1" ht="16.5" thickBot="1">
      <c r="A52" s="257" t="s">
        <v>1561</v>
      </c>
      <c r="B52" s="258"/>
      <c r="C52" s="259">
        <f ca="1">C31+C51</f>
        <v>3559869</v>
      </c>
      <c r="D52" s="258"/>
      <c r="E52" s="258"/>
      <c r="F52" s="258"/>
      <c r="G52" s="260"/>
    </row>
    <row r="55" spans="1:7" ht="15">
      <c r="B55" s="262" t="s">
        <v>1562</v>
      </c>
      <c r="C55" s="263"/>
    </row>
    <row r="56" spans="1:7">
      <c r="B56" s="265" t="s">
        <v>802</v>
      </c>
      <c r="C56" s="267">
        <f ca="1">1-C57</f>
        <v>0.67999999999999994</v>
      </c>
    </row>
    <row r="57" spans="1:7">
      <c r="B57" s="265" t="s">
        <v>803</v>
      </c>
      <c r="C57" s="266">
        <f ca="1">ROUND(C51/C52,3)</f>
        <v>0.32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71782</v>
      </c>
      <c r="C2" s="268" t="s">
        <v>1595</v>
      </c>
      <c r="D2" s="268"/>
      <c r="E2" s="2568"/>
      <c r="F2" s="2568"/>
      <c r="G2" s="2568"/>
      <c r="H2" s="2568"/>
      <c r="I2" s="2568"/>
      <c r="J2" s="2568"/>
      <c r="K2" s="2568"/>
    </row>
    <row r="3" spans="1:33" ht="18" customHeight="1" thickBot="1">
      <c r="A3" s="195" t="s">
        <v>1464</v>
      </c>
      <c r="B3" s="196">
        <f ca="1">ROUND(B2*10000/IF(C1="",'数据-汇总表'!E3,INDIRECT("'数据-取费表'!K"&amp;$K$1)),0)</f>
        <v>2201902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-65193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v>
      </c>
      <c r="D20" s="796">
        <f ca="1">IF(C1="",'数据-汇总表'!E6,IF(INDIRECT("'数据-取费表'!c"&amp;$K$1)="住宅",INDIRECT("'数据-取费表'!s"&amp;$K$1),INDIRECT("'数据-取费表'!k"&amp;$K$1)+INDIRECT("'数据-取费表'!s"&amp;$K$1)))</f>
        <v>326</v>
      </c>
      <c r="E20" s="21">
        <f>'数据-取费表'!B28</f>
        <v>200</v>
      </c>
      <c r="F20" s="756"/>
      <c r="G20" s="12"/>
      <c r="H20" s="761"/>
      <c r="I20" s="761"/>
      <c r="J20" s="761"/>
      <c r="K20" s="762"/>
    </row>
    <row r="21" spans="1:33" s="755" customFormat="1" ht="13.5" customHeight="1">
      <c r="A21" s="744" t="s">
        <v>357</v>
      </c>
      <c r="B21" s="765" t="s">
        <v>1628</v>
      </c>
      <c r="C21" s="766">
        <f ca="1">C16+C17+C18</f>
        <v>-65193</v>
      </c>
      <c r="D21" s="767"/>
      <c r="E21" s="273"/>
      <c r="F21" s="273"/>
      <c r="G21" s="123" t="s">
        <v>1629</v>
      </c>
      <c r="H21" s="759"/>
      <c r="I21" s="759"/>
      <c r="J21" s="759"/>
      <c r="K21" s="760"/>
    </row>
    <row r="22" spans="1:33" s="755" customFormat="1" ht="13.5" customHeight="1">
      <c r="A22" s="744" t="s">
        <v>1601</v>
      </c>
      <c r="B22" s="765" t="s">
        <v>1630</v>
      </c>
      <c r="C22" s="766">
        <f ca="1">ROUND(C21*F22,0)</f>
        <v>-1956</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-6715</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-6715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71782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33" t="s">
        <v>694</v>
      </c>
      <c r="C6" s="1011">
        <f ca="1">ROUND(F6*F8*F7*(1-F9)/10000,0)</f>
        <v>0</v>
      </c>
      <c r="D6" s="147" t="s">
        <v>2109</v>
      </c>
      <c r="E6" s="294" t="s">
        <v>696</v>
      </c>
      <c r="F6" s="295">
        <f ca="1">INDIRECT("'数据-取费表'!u"&amp;$G$1)</f>
        <v>0</v>
      </c>
      <c r="G6" s="1292"/>
      <c r="H6" s="1006" t="s">
        <v>398</v>
      </c>
      <c r="I6" s="3433" t="s">
        <v>694</v>
      </c>
      <c r="J6" s="293">
        <f ca="1">ROUND(M6*M8*M7*(1-M9)/10000,0)</f>
        <v>0</v>
      </c>
      <c r="K6" s="147" t="s">
        <v>2108</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2"/>
      <c r="H7" s="296"/>
      <c r="I7" s="3434"/>
      <c r="J7" s="298"/>
      <c r="K7" s="299"/>
      <c r="L7" s="294" t="s">
        <v>697</v>
      </c>
      <c r="M7" s="295">
        <f ca="1">F7</f>
        <v>0</v>
      </c>
    </row>
    <row r="8" spans="1:37" ht="18" customHeight="1">
      <c r="A8" s="296"/>
      <c r="B8" s="3434"/>
      <c r="C8" s="298"/>
      <c r="D8" s="299"/>
      <c r="E8" s="294" t="s">
        <v>698</v>
      </c>
      <c r="F8" s="295">
        <f ca="1">INDIRECT("'数据-取费表'!ai"&amp;$G$1)</f>
        <v>0</v>
      </c>
      <c r="G8" s="1292"/>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2"/>
      <c r="H9" s="296"/>
      <c r="I9" s="34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31" t="s">
        <v>837</v>
      </c>
      <c r="L53" s="343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33" t="s">
        <v>694</v>
      </c>
      <c r="C6" s="1011">
        <f ca="1">ROUND(F6*F8*F7*(1-F9),0)</f>
        <v>0</v>
      </c>
      <c r="D6" s="147" t="s">
        <v>2106</v>
      </c>
      <c r="E6" s="294" t="s">
        <v>696</v>
      </c>
      <c r="F6" s="295">
        <f ca="1">INDIRECT("'数据-取费表'!u"&amp;$G$1)</f>
        <v>0</v>
      </c>
      <c r="G6" s="1292"/>
      <c r="H6" s="1006" t="s">
        <v>398</v>
      </c>
      <c r="I6" s="3433" t="s">
        <v>694</v>
      </c>
      <c r="J6" s="293">
        <f ca="1">ROUND(M6*M8*M7*(1-M9),0)</f>
        <v>0</v>
      </c>
      <c r="K6" s="1284" t="s">
        <v>2107</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2"/>
      <c r="H7" s="296"/>
      <c r="I7" s="3434"/>
      <c r="J7" s="298"/>
      <c r="K7" s="299"/>
      <c r="L7" s="294" t="s">
        <v>697</v>
      </c>
      <c r="M7" s="295">
        <f ca="1">F7</f>
        <v>0</v>
      </c>
    </row>
    <row r="8" spans="1:37" ht="18" customHeight="1">
      <c r="A8" s="296"/>
      <c r="B8" s="3434"/>
      <c r="C8" s="298"/>
      <c r="D8" s="299"/>
      <c r="E8" s="294" t="s">
        <v>698</v>
      </c>
      <c r="F8" s="295">
        <f ca="1">INDIRECT("'数据-取费表'!ai"&amp;$G$1)</f>
        <v>0</v>
      </c>
      <c r="G8" s="1292"/>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2"/>
      <c r="H9" s="296"/>
      <c r="I9" s="34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1" t="s">
        <v>837</v>
      </c>
      <c r="L53" s="343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8" t="s">
        <v>3348</v>
      </c>
      <c r="E2" s="3139"/>
      <c r="F2" s="2598"/>
      <c r="G2" s="2599"/>
      <c r="H2" s="2600"/>
      <c r="I2" s="2601"/>
      <c r="J2" s="3436" t="s">
        <v>2308</v>
      </c>
      <c r="K2" s="343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38" t="s">
        <v>2318</v>
      </c>
      <c r="K3" s="3439"/>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38" t="s">
        <v>2320</v>
      </c>
      <c r="K4" s="3439"/>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0" t="s">
        <v>2324</v>
      </c>
      <c r="B6" s="3441"/>
      <c r="C6" s="3442"/>
      <c r="D6" s="2622"/>
      <c r="E6" s="2623"/>
      <c r="F6" s="2624"/>
      <c r="G6" s="2625"/>
      <c r="H6" s="2600"/>
      <c r="I6" s="2601"/>
      <c r="J6" s="3443">
        <v>1</v>
      </c>
      <c r="K6" s="3444"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43"/>
      <c r="K7" s="3445"/>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7" t="s">
        <v>2338</v>
      </c>
      <c r="C8" s="3448"/>
      <c r="D8" s="2641" t="s">
        <v>2339</v>
      </c>
      <c r="E8" s="2642" t="s">
        <v>2340</v>
      </c>
      <c r="F8" s="2643" t="s">
        <v>2341</v>
      </c>
      <c r="G8" s="2644"/>
      <c r="H8" s="2600"/>
      <c r="I8" s="2601"/>
      <c r="J8" s="3443"/>
      <c r="K8" s="3445"/>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7" t="s">
        <v>2344</v>
      </c>
      <c r="C9" s="3448"/>
      <c r="D9" s="2641">
        <f>ROUND(D6*E9,0)</f>
        <v>0</v>
      </c>
      <c r="E9" s="2645"/>
      <c r="F9" s="2646" t="s">
        <v>2345</v>
      </c>
      <c r="G9" s="2625"/>
      <c r="H9" s="2600"/>
      <c r="I9" s="2601"/>
      <c r="J9" s="3443"/>
      <c r="K9" s="3445"/>
      <c r="L9" s="2635" t="s">
        <v>2346</v>
      </c>
      <c r="M9" s="2636"/>
      <c r="N9" s="2612"/>
      <c r="O9" s="2637"/>
      <c r="P9" s="2637"/>
      <c r="Q9" s="2638">
        <v>365</v>
      </c>
      <c r="R9" s="2639">
        <f t="shared" si="0"/>
        <v>0</v>
      </c>
      <c r="S9" s="2593"/>
      <c r="T9" s="2593"/>
      <c r="U9" s="2593"/>
      <c r="V9" s="2601"/>
    </row>
    <row r="10" spans="1:22" s="2605" customFormat="1" ht="13.15" customHeight="1">
      <c r="A10" s="2640">
        <v>2</v>
      </c>
      <c r="B10" s="3447" t="s">
        <v>2347</v>
      </c>
      <c r="C10" s="3448"/>
      <c r="D10" s="2641">
        <f>ROUND(D6*E10,0)</f>
        <v>0</v>
      </c>
      <c r="E10" s="2645"/>
      <c r="F10" s="2646" t="s">
        <v>2348</v>
      </c>
      <c r="G10" s="2625"/>
      <c r="H10" s="2600"/>
      <c r="I10" s="2601"/>
      <c r="J10" s="3443"/>
      <c r="K10" s="3445"/>
      <c r="L10" s="2635" t="s">
        <v>2349</v>
      </c>
      <c r="M10" s="2636"/>
      <c r="N10" s="2612"/>
      <c r="O10" s="2637"/>
      <c r="P10" s="2637"/>
      <c r="Q10" s="2638">
        <v>365</v>
      </c>
      <c r="R10" s="2639">
        <f t="shared" si="0"/>
        <v>0</v>
      </c>
      <c r="S10" s="2593"/>
      <c r="T10" s="2593"/>
      <c r="U10" s="2593"/>
      <c r="V10" s="2601"/>
    </row>
    <row r="11" spans="1:22" s="2605" customFormat="1" ht="13.15" customHeight="1">
      <c r="A11" s="2640">
        <v>3</v>
      </c>
      <c r="B11" s="3447" t="s">
        <v>2350</v>
      </c>
      <c r="C11" s="3448"/>
      <c r="D11" s="2641">
        <f>D12+D14+D15+D16</f>
        <v>0</v>
      </c>
      <c r="E11" s="2647" t="e">
        <f>D11/D6</f>
        <v>#DIV/0!</v>
      </c>
      <c r="F11" s="2643"/>
      <c r="G11" s="2644"/>
      <c r="H11" s="2600"/>
      <c r="I11" s="2601"/>
      <c r="J11" s="3443"/>
      <c r="K11" s="3445"/>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9" t="s">
        <v>2353</v>
      </c>
      <c r="C12" s="3450"/>
      <c r="D12" s="2649">
        <f>ROUND(D13*1.2%*(1-30%),0)</f>
        <v>0</v>
      </c>
      <c r="E12" s="2650">
        <v>1.2E-2</v>
      </c>
      <c r="F12" s="2643" t="s">
        <v>2354</v>
      </c>
      <c r="G12" s="2644"/>
      <c r="H12" s="2600"/>
      <c r="I12" s="2601"/>
      <c r="J12" s="3443"/>
      <c r="K12" s="3445"/>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43"/>
      <c r="K13" s="3445"/>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9" t="s">
        <v>2359</v>
      </c>
      <c r="C14" s="3450"/>
      <c r="D14" s="2649">
        <f>ROUND(E14*B5/10000,0)</f>
        <v>0</v>
      </c>
      <c r="E14" s="2638"/>
      <c r="F14" s="2643" t="s">
        <v>2360</v>
      </c>
      <c r="G14" s="2644"/>
      <c r="H14" s="2600"/>
      <c r="I14" s="2601"/>
      <c r="J14" s="3443"/>
      <c r="K14" s="3446"/>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9" t="s">
        <v>2363</v>
      </c>
      <c r="C15" s="3450"/>
      <c r="D15" s="2649">
        <f>ROUND(D6*E15,0)</f>
        <v>0</v>
      </c>
      <c r="E15" s="2650">
        <v>5.5E-2</v>
      </c>
      <c r="F15" s="2643" t="s">
        <v>2364</v>
      </c>
      <c r="G15" s="2625"/>
      <c r="H15" s="2600"/>
      <c r="I15" s="2601"/>
      <c r="J15" s="3443">
        <v>2</v>
      </c>
      <c r="K15" s="3444"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9" t="s">
        <v>2372</v>
      </c>
      <c r="C16" s="3450"/>
      <c r="D16" s="2660">
        <f>D6*E16</f>
        <v>0</v>
      </c>
      <c r="E16" s="2661"/>
      <c r="F16" s="2646" t="s">
        <v>2373</v>
      </c>
      <c r="G16" s="2625"/>
      <c r="H16" s="2600"/>
      <c r="I16" s="2601"/>
      <c r="J16" s="3443"/>
      <c r="K16" s="3445"/>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51" t="s">
        <v>2375</v>
      </c>
      <c r="C17" s="3452"/>
      <c r="D17" s="2663">
        <f>ROUND(D6*E17,0)</f>
        <v>0</v>
      </c>
      <c r="E17" s="2664"/>
      <c r="F17" s="2665" t="s">
        <v>2376</v>
      </c>
      <c r="G17" s="2625"/>
      <c r="H17" s="2600"/>
      <c r="I17" s="2601"/>
      <c r="J17" s="3443"/>
      <c r="K17" s="3445"/>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43"/>
      <c r="K18" s="3445"/>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43"/>
      <c r="K19" s="3446"/>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3">
        <v>3</v>
      </c>
      <c r="K20" s="3444"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43"/>
      <c r="K21" s="3445"/>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43"/>
      <c r="K22" s="3445"/>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43"/>
      <c r="K23" s="3445"/>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43"/>
      <c r="K24" s="3446"/>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53">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5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6" t="s">
        <v>2308</v>
      </c>
      <c r="K32" s="343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38" t="s">
        <v>2318</v>
      </c>
      <c r="K33" s="3439"/>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38" t="s">
        <v>2320</v>
      </c>
      <c r="K34" s="343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43">
        <v>1</v>
      </c>
      <c r="K36" s="3444"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43"/>
      <c r="K37" s="3445"/>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3"/>
      <c r="K38" s="3445"/>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43"/>
      <c r="K39" s="3445"/>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43"/>
      <c r="K40" s="3446"/>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53">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5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t="e">
        <f ca="1">SUMIF(B6:B13,"&lt;&gt;#ref!",B6:B13)</f>
        <v>#DIV/0!</v>
      </c>
      <c r="C2" s="1729" t="s">
        <v>1651</v>
      </c>
      <c r="D2" s="1730" t="s">
        <v>1652</v>
      </c>
      <c r="E2" s="2393">
        <f>SUM(E6:E13)</f>
        <v>326</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5" t="s">
        <v>1654</v>
      </c>
      <c r="C5" s="345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t="e">
        <f ca="1">IF(F6="是",'数据-取费表'!AO6,0)</f>
        <v>#DIV/0!</v>
      </c>
      <c r="C6" s="1729" t="s">
        <v>1651</v>
      </c>
      <c r="D6" s="2480"/>
      <c r="E6" s="2392">
        <f>IF(OR(A6=0,F6="否"),0,'数据-取费表'!K6+'数据-取费表'!S6)</f>
        <v>326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326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75" t="s">
        <v>1667</v>
      </c>
      <c r="D4" s="3476"/>
      <c r="E4" s="3477" t="s">
        <v>1668</v>
      </c>
      <c r="F4" s="3478"/>
      <c r="G4" s="3475" t="s">
        <v>1669</v>
      </c>
      <c r="H4" s="3476"/>
      <c r="I4" s="3475" t="s">
        <v>1670</v>
      </c>
      <c r="J4" s="3476"/>
      <c r="K4" s="1744" t="s">
        <v>1671</v>
      </c>
      <c r="L4" s="2487"/>
      <c r="M4" s="2488"/>
      <c r="N4" s="2488"/>
      <c r="O4" s="2488"/>
      <c r="P4" s="3479" t="s">
        <v>1672</v>
      </c>
      <c r="Q4" s="3480"/>
      <c r="R4" s="3462" t="s">
        <v>1668</v>
      </c>
      <c r="S4" s="3463"/>
      <c r="T4" s="3462" t="s">
        <v>1669</v>
      </c>
      <c r="U4" s="3463"/>
      <c r="V4" s="3487" t="s">
        <v>1670</v>
      </c>
      <c r="W4" s="3487"/>
      <c r="X4" s="1265"/>
      <c r="Y4" s="3462" t="s">
        <v>1672</v>
      </c>
      <c r="Z4" s="3463"/>
      <c r="AA4" s="3457" t="s">
        <v>1668</v>
      </c>
      <c r="AB4" s="3457" t="s">
        <v>1669</v>
      </c>
      <c r="AC4" s="3457" t="s">
        <v>1670</v>
      </c>
    </row>
    <row r="5" spans="1:29" ht="15">
      <c r="A5" s="348"/>
      <c r="B5" s="349"/>
      <c r="C5" s="3468" t="s">
        <v>1673</v>
      </c>
      <c r="D5" s="3469"/>
      <c r="E5" s="3466" t="s">
        <v>1674</v>
      </c>
      <c r="F5" s="3467"/>
      <c r="G5" s="3468" t="s">
        <v>1675</v>
      </c>
      <c r="H5" s="3469"/>
      <c r="I5" s="3468" t="s">
        <v>1676</v>
      </c>
      <c r="J5" s="3469"/>
      <c r="K5" s="1745"/>
      <c r="L5" s="2487"/>
      <c r="M5" s="2488"/>
      <c r="N5" s="2488"/>
      <c r="O5" s="2488"/>
      <c r="P5" s="3481"/>
      <c r="Q5" s="3482"/>
      <c r="R5" s="3464"/>
      <c r="S5" s="3465"/>
      <c r="T5" s="3464"/>
      <c r="U5" s="3465"/>
      <c r="V5" s="3487"/>
      <c r="W5" s="3487"/>
      <c r="X5" s="1265"/>
      <c r="Y5" s="3464"/>
      <c r="Z5" s="3465"/>
      <c r="AA5" s="3458"/>
      <c r="AB5" s="3458"/>
      <c r="AC5" s="3458"/>
    </row>
    <row r="6" spans="1:29" ht="15.75" thickBot="1">
      <c r="A6" s="350"/>
      <c r="B6" s="351"/>
      <c r="C6" s="3470" t="s">
        <v>1677</v>
      </c>
      <c r="D6" s="3471"/>
      <c r="E6" s="3472" t="s">
        <v>1677</v>
      </c>
      <c r="F6" s="3473"/>
      <c r="G6" s="3470" t="s">
        <v>1677</v>
      </c>
      <c r="H6" s="3471"/>
      <c r="I6" s="3470" t="s">
        <v>1677</v>
      </c>
      <c r="J6" s="3471"/>
      <c r="K6" s="1745" t="s">
        <v>1678</v>
      </c>
      <c r="L6" s="2487"/>
      <c r="M6" s="2488"/>
      <c r="N6" s="2488"/>
      <c r="O6" s="2488"/>
      <c r="P6" s="3483"/>
      <c r="Q6" s="3484"/>
      <c r="R6" s="3464"/>
      <c r="S6" s="3465"/>
      <c r="T6" s="3485"/>
      <c r="U6" s="3486"/>
      <c r="V6" s="3487"/>
      <c r="W6" s="3487"/>
      <c r="X6" s="1265"/>
      <c r="Y6" s="3485"/>
      <c r="Z6" s="3486"/>
      <c r="AA6" s="3459"/>
      <c r="AB6" s="3459"/>
      <c r="AC6" s="3459"/>
    </row>
    <row r="7" spans="1:29" s="102" customFormat="1" ht="15.75" thickBot="1">
      <c r="A7" s="352" t="s">
        <v>1679</v>
      </c>
      <c r="B7" s="353"/>
      <c r="C7" s="354">
        <f>'数据-取费表'!B2</f>
        <v>45922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60" t="s">
        <v>1680</v>
      </c>
      <c r="Q7" s="3488"/>
      <c r="R7" s="664" t="s">
        <v>20</v>
      </c>
      <c r="S7" s="665">
        <f t="shared" ref="S7:S15" si="0">F7</f>
        <v>0</v>
      </c>
      <c r="T7" s="664" t="s">
        <v>20</v>
      </c>
      <c r="U7" s="665">
        <f t="shared" ref="U7:U15" si="1">H7</f>
        <v>0</v>
      </c>
      <c r="V7" s="664" t="s">
        <v>20</v>
      </c>
      <c r="W7" s="665">
        <f t="shared" ref="W7:W15" si="2">J7</f>
        <v>0</v>
      </c>
      <c r="X7" s="666"/>
      <c r="Y7" s="3460" t="s">
        <v>1680</v>
      </c>
      <c r="Z7" s="346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60" t="s">
        <v>1683</v>
      </c>
      <c r="Q8" s="3461"/>
      <c r="R8" s="664" t="s">
        <v>20</v>
      </c>
      <c r="S8" s="665">
        <f t="shared" si="0"/>
        <v>100</v>
      </c>
      <c r="T8" s="664" t="s">
        <v>20</v>
      </c>
      <c r="U8" s="665">
        <f t="shared" si="1"/>
        <v>100</v>
      </c>
      <c r="V8" s="664" t="s">
        <v>20</v>
      </c>
      <c r="W8" s="665">
        <f t="shared" si="2"/>
        <v>100</v>
      </c>
      <c r="X8" s="666"/>
      <c r="Y8" s="3460" t="s">
        <v>1683</v>
      </c>
      <c r="Z8" s="346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74"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74"/>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74"/>
      <c r="Q11" s="530" t="str">
        <f t="shared" si="6"/>
        <v>容积率</v>
      </c>
      <c r="R11" s="664" t="s">
        <v>18</v>
      </c>
      <c r="S11" s="665" t="e">
        <f t="shared" si="0"/>
        <v>#N/A</v>
      </c>
      <c r="T11" s="664" t="s">
        <v>18</v>
      </c>
      <c r="U11" s="665" t="e">
        <f t="shared" si="1"/>
        <v>#N/A</v>
      </c>
      <c r="V11" s="664" t="s">
        <v>18</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74"/>
      <c r="Q12" s="530">
        <f t="shared" si="6"/>
        <v>111</v>
      </c>
      <c r="R12" s="664" t="s">
        <v>18</v>
      </c>
      <c r="S12" s="665">
        <f t="shared" si="0"/>
        <v>100</v>
      </c>
      <c r="T12" s="664" t="s">
        <v>18</v>
      </c>
      <c r="U12" s="665">
        <f t="shared" si="1"/>
        <v>100</v>
      </c>
      <c r="V12" s="664" t="s">
        <v>18</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74"/>
      <c r="Q13" s="530">
        <f t="shared" si="6"/>
        <v>111</v>
      </c>
      <c r="R13" s="664" t="s">
        <v>18</v>
      </c>
      <c r="S13" s="665">
        <f t="shared" si="0"/>
        <v>100</v>
      </c>
      <c r="T13" s="664" t="s">
        <v>18</v>
      </c>
      <c r="U13" s="665">
        <f t="shared" si="1"/>
        <v>100</v>
      </c>
      <c r="V13" s="664" t="s">
        <v>18</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74"/>
      <c r="Q14" s="530">
        <f t="shared" si="6"/>
        <v>111</v>
      </c>
      <c r="R14" s="664" t="s">
        <v>18</v>
      </c>
      <c r="S14" s="665">
        <f t="shared" si="0"/>
        <v>100</v>
      </c>
      <c r="T14" s="664" t="s">
        <v>18</v>
      </c>
      <c r="U14" s="665">
        <f t="shared" si="1"/>
        <v>100</v>
      </c>
      <c r="V14" s="664" t="s">
        <v>18</v>
      </c>
      <c r="W14" s="665">
        <f t="shared" si="2"/>
        <v>100</v>
      </c>
      <c r="X14" s="666"/>
      <c r="Y14" s="340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500" t="s">
        <v>1691</v>
      </c>
      <c r="Q15" s="1263" t="str">
        <f t="shared" si="6"/>
        <v>居住社区成熟度</v>
      </c>
      <c r="R15" s="667" t="s">
        <v>18</v>
      </c>
      <c r="S15" s="668">
        <f t="shared" si="0"/>
        <v>100</v>
      </c>
      <c r="T15" s="667" t="s">
        <v>18</v>
      </c>
      <c r="U15" s="668">
        <f t="shared" si="1"/>
        <v>100</v>
      </c>
      <c r="V15" s="667" t="s">
        <v>18</v>
      </c>
      <c r="W15" s="668">
        <f t="shared" si="2"/>
        <v>100</v>
      </c>
      <c r="X15" s="1265"/>
      <c r="Y15" s="349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501"/>
      <c r="Q16" s="1263"/>
      <c r="R16" s="667"/>
      <c r="S16" s="668"/>
      <c r="T16" s="667"/>
      <c r="U16" s="668"/>
      <c r="V16" s="667"/>
      <c r="W16" s="668"/>
      <c r="X16" s="1265"/>
      <c r="Y16" s="349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501"/>
      <c r="Q17" s="1263" t="str">
        <f>B17</f>
        <v>交通便捷度</v>
      </c>
      <c r="R17" s="667" t="s">
        <v>18</v>
      </c>
      <c r="S17" s="668">
        <f>F17</f>
        <v>100</v>
      </c>
      <c r="T17" s="667" t="s">
        <v>18</v>
      </c>
      <c r="U17" s="668">
        <f>H17</f>
        <v>100</v>
      </c>
      <c r="V17" s="667" t="s">
        <v>18</v>
      </c>
      <c r="W17" s="668">
        <f>J17</f>
        <v>100</v>
      </c>
      <c r="X17" s="1265"/>
      <c r="Y17" s="349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501"/>
      <c r="Q18" s="1263"/>
      <c r="R18" s="667"/>
      <c r="S18" s="668"/>
      <c r="T18" s="667"/>
      <c r="U18" s="668"/>
      <c r="V18" s="667"/>
      <c r="W18" s="668"/>
      <c r="X18" s="1265"/>
      <c r="Y18" s="349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501"/>
      <c r="Q19" s="1263" t="str">
        <f>B19</f>
        <v>公共配套设施</v>
      </c>
      <c r="R19" s="667" t="s">
        <v>18</v>
      </c>
      <c r="S19" s="668">
        <f>F19</f>
        <v>100</v>
      </c>
      <c r="T19" s="667" t="s">
        <v>18</v>
      </c>
      <c r="U19" s="668">
        <f>H19</f>
        <v>100</v>
      </c>
      <c r="V19" s="667" t="s">
        <v>18</v>
      </c>
      <c r="W19" s="668">
        <f>J19</f>
        <v>100</v>
      </c>
      <c r="X19" s="1265"/>
      <c r="Y19" s="349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501"/>
      <c r="Q20" s="1263"/>
      <c r="R20" s="667"/>
      <c r="S20" s="668"/>
      <c r="T20" s="667"/>
      <c r="U20" s="668"/>
      <c r="V20" s="667"/>
      <c r="W20" s="668"/>
      <c r="X20" s="1265"/>
      <c r="Y20" s="349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501"/>
      <c r="Q22" s="1263"/>
      <c r="R22" s="667"/>
      <c r="S22" s="668"/>
      <c r="T22" s="667"/>
      <c r="U22" s="668"/>
      <c r="V22" s="667"/>
      <c r="W22" s="668"/>
      <c r="X22" s="1265"/>
      <c r="Y22" s="349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501"/>
      <c r="Q23" s="1263" t="str">
        <f>B23</f>
        <v>自然及人文环境</v>
      </c>
      <c r="R23" s="667" t="s">
        <v>18</v>
      </c>
      <c r="S23" s="668">
        <f>F23</f>
        <v>100</v>
      </c>
      <c r="T23" s="667" t="s">
        <v>18</v>
      </c>
      <c r="U23" s="668">
        <f>H23</f>
        <v>100</v>
      </c>
      <c r="V23" s="667" t="s">
        <v>18</v>
      </c>
      <c r="W23" s="668">
        <f>J23</f>
        <v>100</v>
      </c>
      <c r="X23" s="1265"/>
      <c r="Y23" s="349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501"/>
      <c r="Q24" s="1263"/>
      <c r="R24" s="667"/>
      <c r="S24" s="668"/>
      <c r="T24" s="667"/>
      <c r="U24" s="668"/>
      <c r="V24" s="667"/>
      <c r="W24" s="668"/>
      <c r="X24" s="1265"/>
      <c r="Y24" s="349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50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9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501"/>
      <c r="Q26" s="1263" t="str">
        <f t="shared" si="11"/>
        <v>朝向</v>
      </c>
      <c r="R26" s="667" t="s">
        <v>18</v>
      </c>
      <c r="S26" s="668">
        <f t="shared" si="12"/>
        <v>100</v>
      </c>
      <c r="T26" s="667" t="s">
        <v>18</v>
      </c>
      <c r="U26" s="668">
        <f t="shared" si="13"/>
        <v>100</v>
      </c>
      <c r="V26" s="667" t="s">
        <v>18</v>
      </c>
      <c r="W26" s="668">
        <f t="shared" si="14"/>
        <v>100</v>
      </c>
      <c r="X26" s="1265"/>
      <c r="Y26" s="349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501"/>
      <c r="Q27" s="530">
        <f t="shared" si="11"/>
        <v>111</v>
      </c>
      <c r="R27" s="664" t="s">
        <v>18</v>
      </c>
      <c r="S27" s="665">
        <f t="shared" si="12"/>
        <v>100</v>
      </c>
      <c r="T27" s="664" t="s">
        <v>18</v>
      </c>
      <c r="U27" s="665">
        <f t="shared" si="13"/>
        <v>100</v>
      </c>
      <c r="V27" s="664" t="s">
        <v>18</v>
      </c>
      <c r="W27" s="665">
        <f t="shared" si="14"/>
        <v>100</v>
      </c>
      <c r="X27" s="666"/>
      <c r="Y27" s="349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501"/>
      <c r="Q28" s="1263">
        <f t="shared" si="11"/>
        <v>111</v>
      </c>
      <c r="R28" s="667" t="s">
        <v>18</v>
      </c>
      <c r="S28" s="668">
        <f t="shared" si="12"/>
        <v>100</v>
      </c>
      <c r="T28" s="667" t="s">
        <v>18</v>
      </c>
      <c r="U28" s="668">
        <f t="shared" si="13"/>
        <v>100</v>
      </c>
      <c r="V28" s="667" t="s">
        <v>18</v>
      </c>
      <c r="W28" s="668">
        <f t="shared" si="14"/>
        <v>100</v>
      </c>
      <c r="X28" s="1265"/>
      <c r="Y28" s="349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501"/>
      <c r="Q29" s="1263">
        <f t="shared" si="11"/>
        <v>111</v>
      </c>
      <c r="R29" s="667" t="s">
        <v>18</v>
      </c>
      <c r="S29" s="668">
        <f t="shared" si="12"/>
        <v>100</v>
      </c>
      <c r="T29" s="667" t="s">
        <v>18</v>
      </c>
      <c r="U29" s="668">
        <f t="shared" si="13"/>
        <v>100</v>
      </c>
      <c r="V29" s="667" t="s">
        <v>18</v>
      </c>
      <c r="W29" s="668">
        <f t="shared" si="14"/>
        <v>100</v>
      </c>
      <c r="X29" s="1265"/>
      <c r="Y29" s="349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501"/>
      <c r="Q30" s="1263">
        <f t="shared" si="11"/>
        <v>111</v>
      </c>
      <c r="R30" s="667" t="s">
        <v>18</v>
      </c>
      <c r="S30" s="668">
        <f t="shared" si="12"/>
        <v>100</v>
      </c>
      <c r="T30" s="667" t="s">
        <v>18</v>
      </c>
      <c r="U30" s="668">
        <f t="shared" si="13"/>
        <v>100</v>
      </c>
      <c r="V30" s="667" t="s">
        <v>18</v>
      </c>
      <c r="W30" s="668">
        <f t="shared" si="14"/>
        <v>100</v>
      </c>
      <c r="X30" s="1265"/>
      <c r="Y30" s="349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501"/>
      <c r="Q31" s="1263">
        <f t="shared" si="11"/>
        <v>111</v>
      </c>
      <c r="R31" s="667" t="s">
        <v>18</v>
      </c>
      <c r="S31" s="668">
        <f t="shared" si="12"/>
        <v>100</v>
      </c>
      <c r="T31" s="667" t="s">
        <v>18</v>
      </c>
      <c r="U31" s="668">
        <f t="shared" si="13"/>
        <v>100</v>
      </c>
      <c r="V31" s="667" t="s">
        <v>18</v>
      </c>
      <c r="W31" s="668">
        <f t="shared" si="14"/>
        <v>100</v>
      </c>
      <c r="X31" s="1265"/>
      <c r="Y31" s="349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95" t="s">
        <v>1696</v>
      </c>
      <c r="Q32" s="1263" t="str">
        <f t="shared" si="11"/>
        <v>建筑类型</v>
      </c>
      <c r="R32" s="667" t="s">
        <v>18</v>
      </c>
      <c r="S32" s="668">
        <f t="shared" si="12"/>
        <v>100</v>
      </c>
      <c r="T32" s="667" t="s">
        <v>18</v>
      </c>
      <c r="U32" s="668">
        <f t="shared" si="13"/>
        <v>100</v>
      </c>
      <c r="V32" s="667" t="s">
        <v>18</v>
      </c>
      <c r="W32" s="668">
        <f t="shared" si="14"/>
        <v>100</v>
      </c>
      <c r="X32" s="1265"/>
      <c r="Y32" s="349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96"/>
      <c r="Q33" s="531" t="str">
        <f t="shared" si="11"/>
        <v>项目建筑规模</v>
      </c>
      <c r="R33" s="669" t="s">
        <v>18</v>
      </c>
      <c r="S33" s="670" t="e">
        <f t="shared" si="12"/>
        <v>#N/A</v>
      </c>
      <c r="T33" s="669" t="s">
        <v>18</v>
      </c>
      <c r="U33" s="670" t="e">
        <f t="shared" si="13"/>
        <v>#N/A</v>
      </c>
      <c r="V33" s="669" t="s">
        <v>18</v>
      </c>
      <c r="W33" s="670" t="e">
        <f t="shared" si="14"/>
        <v>#N/A</v>
      </c>
      <c r="X33" s="671"/>
      <c r="Y33" s="349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96"/>
      <c r="Q34" s="1263" t="str">
        <f t="shared" si="11"/>
        <v>建筑结构</v>
      </c>
      <c r="R34" s="667" t="s">
        <v>18</v>
      </c>
      <c r="S34" s="668">
        <f t="shared" si="12"/>
        <v>100</v>
      </c>
      <c r="T34" s="667" t="s">
        <v>18</v>
      </c>
      <c r="U34" s="668">
        <f t="shared" si="13"/>
        <v>100</v>
      </c>
      <c r="V34" s="667" t="s">
        <v>18</v>
      </c>
      <c r="W34" s="668">
        <f t="shared" si="14"/>
        <v>100</v>
      </c>
      <c r="X34" s="1265"/>
      <c r="Y34" s="349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96"/>
      <c r="Q35" s="1263" t="str">
        <f t="shared" si="11"/>
        <v>建筑品质</v>
      </c>
      <c r="R35" s="667" t="s">
        <v>18</v>
      </c>
      <c r="S35" s="668">
        <f t="shared" si="12"/>
        <v>100</v>
      </c>
      <c r="T35" s="667" t="s">
        <v>18</v>
      </c>
      <c r="U35" s="668">
        <f t="shared" si="13"/>
        <v>100</v>
      </c>
      <c r="V35" s="667" t="s">
        <v>18</v>
      </c>
      <c r="W35" s="668">
        <f t="shared" si="14"/>
        <v>100</v>
      </c>
      <c r="X35" s="1265"/>
      <c r="Y35" s="349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96"/>
      <c r="Q36" s="1263" t="str">
        <f t="shared" si="11"/>
        <v>公共部分装修</v>
      </c>
      <c r="R36" s="667" t="s">
        <v>18</v>
      </c>
      <c r="S36" s="668">
        <f t="shared" si="12"/>
        <v>100</v>
      </c>
      <c r="T36" s="667" t="s">
        <v>18</v>
      </c>
      <c r="U36" s="668">
        <f t="shared" si="13"/>
        <v>100</v>
      </c>
      <c r="V36" s="667" t="s">
        <v>18</v>
      </c>
      <c r="W36" s="668">
        <f t="shared" si="14"/>
        <v>100</v>
      </c>
      <c r="X36" s="1265"/>
      <c r="Y36" s="349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96"/>
      <c r="Q37" s="530" t="str">
        <f t="shared" si="11"/>
        <v>成新度</v>
      </c>
      <c r="R37" s="664" t="s">
        <v>18</v>
      </c>
      <c r="S37" s="665" t="e">
        <f t="shared" si="12"/>
        <v>#N/A</v>
      </c>
      <c r="T37" s="664" t="s">
        <v>18</v>
      </c>
      <c r="U37" s="665" t="e">
        <f t="shared" si="13"/>
        <v>#N/A</v>
      </c>
      <c r="V37" s="664" t="s">
        <v>18</v>
      </c>
      <c r="W37" s="665" t="e">
        <f t="shared" si="14"/>
        <v>#N/A</v>
      </c>
      <c r="X37" s="666"/>
      <c r="Y37" s="349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96" t="s">
        <v>1696</v>
      </c>
      <c r="Q38" s="1263" t="str">
        <f t="shared" si="11"/>
        <v>物业管理</v>
      </c>
      <c r="R38" s="667" t="s">
        <v>18</v>
      </c>
      <c r="S38" s="668">
        <f t="shared" si="12"/>
        <v>100</v>
      </c>
      <c r="T38" s="667" t="s">
        <v>18</v>
      </c>
      <c r="U38" s="668">
        <f t="shared" si="13"/>
        <v>100</v>
      </c>
      <c r="V38" s="667" t="s">
        <v>18</v>
      </c>
      <c r="W38" s="668">
        <f t="shared" si="14"/>
        <v>100</v>
      </c>
      <c r="X38" s="1265"/>
      <c r="Y38" s="349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96"/>
      <c r="Q39" s="1263" t="str">
        <f t="shared" si="11"/>
        <v>市政基础设施</v>
      </c>
      <c r="R39" s="667" t="s">
        <v>18</v>
      </c>
      <c r="S39" s="668">
        <f t="shared" si="12"/>
        <v>100</v>
      </c>
      <c r="T39" s="667" t="s">
        <v>18</v>
      </c>
      <c r="U39" s="668">
        <f t="shared" si="13"/>
        <v>100</v>
      </c>
      <c r="V39" s="667" t="s">
        <v>18</v>
      </c>
      <c r="W39" s="668">
        <f t="shared" si="14"/>
        <v>100</v>
      </c>
      <c r="X39" s="1265"/>
      <c r="Y39" s="349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96"/>
      <c r="Q40" s="1263" t="str">
        <f t="shared" si="11"/>
        <v>房型</v>
      </c>
      <c r="R40" s="667" t="s">
        <v>18</v>
      </c>
      <c r="S40" s="668">
        <f t="shared" si="12"/>
        <v>100</v>
      </c>
      <c r="T40" s="667" t="s">
        <v>18</v>
      </c>
      <c r="U40" s="668">
        <f t="shared" si="13"/>
        <v>100</v>
      </c>
      <c r="V40" s="667" t="s">
        <v>18</v>
      </c>
      <c r="W40" s="668">
        <f t="shared" si="14"/>
        <v>100</v>
      </c>
      <c r="X40" s="1265"/>
      <c r="Y40" s="349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96"/>
      <c r="Q41" s="531" t="str">
        <f t="shared" si="11"/>
        <v>单套/主力户型建筑面积</v>
      </c>
      <c r="R41" s="669" t="s">
        <v>18</v>
      </c>
      <c r="S41" s="670">
        <f t="shared" si="12"/>
        <v>100</v>
      </c>
      <c r="T41" s="669" t="s">
        <v>18</v>
      </c>
      <c r="U41" s="670">
        <f t="shared" si="13"/>
        <v>100</v>
      </c>
      <c r="V41" s="669" t="s">
        <v>18</v>
      </c>
      <c r="W41" s="670">
        <f t="shared" si="14"/>
        <v>100</v>
      </c>
      <c r="X41" s="671"/>
      <c r="Y41" s="349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96"/>
      <c r="Q42" s="1263" t="str">
        <f t="shared" si="11"/>
        <v>内部装修</v>
      </c>
      <c r="R42" s="667" t="s">
        <v>18</v>
      </c>
      <c r="S42" s="668">
        <f t="shared" si="12"/>
        <v>100</v>
      </c>
      <c r="T42" s="667" t="s">
        <v>18</v>
      </c>
      <c r="U42" s="668">
        <f t="shared" si="13"/>
        <v>100</v>
      </c>
      <c r="V42" s="667" t="s">
        <v>18</v>
      </c>
      <c r="W42" s="668">
        <f t="shared" si="14"/>
        <v>100</v>
      </c>
      <c r="X42" s="1265"/>
      <c r="Y42" s="349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96"/>
      <c r="Q43" s="1263" t="str">
        <f t="shared" si="11"/>
        <v>内部装修维护情况</v>
      </c>
      <c r="R43" s="667" t="s">
        <v>18</v>
      </c>
      <c r="S43" s="668">
        <f t="shared" si="12"/>
        <v>100</v>
      </c>
      <c r="T43" s="667" t="s">
        <v>18</v>
      </c>
      <c r="U43" s="668">
        <f t="shared" si="13"/>
        <v>100</v>
      </c>
      <c r="V43" s="667" t="s">
        <v>18</v>
      </c>
      <c r="W43" s="668">
        <f t="shared" si="14"/>
        <v>100</v>
      </c>
      <c r="X43" s="1265"/>
      <c r="Y43" s="349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96"/>
      <c r="Q44" s="530">
        <f t="shared" si="11"/>
        <v>111</v>
      </c>
      <c r="R44" s="664" t="s">
        <v>18</v>
      </c>
      <c r="S44" s="665">
        <f t="shared" si="12"/>
        <v>100</v>
      </c>
      <c r="T44" s="664" t="s">
        <v>18</v>
      </c>
      <c r="U44" s="665">
        <f t="shared" si="13"/>
        <v>100</v>
      </c>
      <c r="V44" s="664" t="s">
        <v>18</v>
      </c>
      <c r="W44" s="665">
        <f t="shared" si="14"/>
        <v>100</v>
      </c>
      <c r="X44" s="666"/>
      <c r="Y44" s="34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96"/>
      <c r="Q45" s="1263">
        <f t="shared" si="11"/>
        <v>111</v>
      </c>
      <c r="R45" s="667" t="s">
        <v>18</v>
      </c>
      <c r="S45" s="668">
        <f t="shared" si="12"/>
        <v>100</v>
      </c>
      <c r="T45" s="667" t="s">
        <v>18</v>
      </c>
      <c r="U45" s="668">
        <f t="shared" si="13"/>
        <v>100</v>
      </c>
      <c r="V45" s="667" t="s">
        <v>18</v>
      </c>
      <c r="W45" s="668">
        <f t="shared" si="14"/>
        <v>100</v>
      </c>
      <c r="X45" s="1265"/>
      <c r="Y45" s="349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97"/>
      <c r="Q46" s="1263">
        <f t="shared" si="11"/>
        <v>111</v>
      </c>
      <c r="R46" s="667" t="s">
        <v>17</v>
      </c>
      <c r="S46" s="668">
        <f t="shared" si="12"/>
        <v>100</v>
      </c>
      <c r="T46" s="667" t="s">
        <v>17</v>
      </c>
      <c r="U46" s="668">
        <f t="shared" si="13"/>
        <v>100</v>
      </c>
      <c r="V46" s="667" t="s">
        <v>17</v>
      </c>
      <c r="W46" s="668">
        <f t="shared" si="14"/>
        <v>100</v>
      </c>
      <c r="X46" s="1265"/>
      <c r="Y46" s="349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92" t="str">
        <f>A47</f>
        <v>成交单价（元/平方米）</v>
      </c>
      <c r="Q47" s="3492"/>
      <c r="R47" s="3487">
        <f>E47</f>
        <v>0</v>
      </c>
      <c r="S47" s="3487"/>
      <c r="T47" s="3487">
        <f>G47</f>
        <v>0</v>
      </c>
      <c r="U47" s="3487"/>
      <c r="V47" s="3487">
        <f>I47</f>
        <v>0</v>
      </c>
      <c r="W47" s="348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92" t="str">
        <f>A48</f>
        <v>比较价值（元/平方米）</v>
      </c>
      <c r="Q48" s="3492"/>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6" priority="14"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J52:J54">
    <cfRule type="containsText" dxfId="131" priority="15" stopIfTrue="1" operator="containsText" text="超过">
      <formula>NOT(ISERROR(SEARCH("超过",F52)))</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G54">
    <cfRule type="expression" dxfId="128" priority="12"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E28" sqref="E2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763.36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175</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Ⅵ-空港B</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3259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2292</v>
      </c>
      <c r="C3" s="1846" t="s">
        <v>1941</v>
      </c>
      <c r="D3" s="162" t="s">
        <v>1942</v>
      </c>
      <c r="E3" s="3119" t="s">
        <v>2470</v>
      </c>
      <c r="F3" s="1848" t="s">
        <v>3421</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2569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509"/>
      <c r="B4" s="3510"/>
      <c r="C4" s="3510"/>
      <c r="D4" s="3511"/>
      <c r="E4" s="3511"/>
      <c r="F4" s="3511"/>
      <c r="G4" s="3511"/>
      <c r="H4" s="3511"/>
      <c r="I4" s="3511"/>
      <c r="J4" s="351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2171</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1915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1840</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25.5">
      <c r="A8" s="3010"/>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506" t="s">
        <v>1960</v>
      </c>
      <c r="X8" s="350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508"/>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50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13" t="s">
        <v>3245</v>
      </c>
      <c r="B20" s="159" t="s">
        <v>1994</v>
      </c>
      <c r="C20" s="3032">
        <f>ROUND(IF(F21="与级别开发程度一致",0,(G21-E21)/C21),0)</f>
        <v>0</v>
      </c>
      <c r="D20" s="3047" t="s">
        <v>1998</v>
      </c>
      <c r="E20" s="3048"/>
      <c r="F20" s="3519" t="s">
        <v>1995</v>
      </c>
      <c r="G20" s="352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514"/>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6" t="s">
        <v>2002</v>
      </c>
      <c r="E23" s="717">
        <v>44197</v>
      </c>
      <c r="F23" s="1896" t="s">
        <v>2003</v>
      </c>
      <c r="G23" s="718">
        <f>'数据-取费表'!B2</f>
        <v>45922</v>
      </c>
      <c r="H23" s="3049" t="s">
        <v>3424</v>
      </c>
      <c r="I23" s="3050" t="str">
        <f>IF(H23="季度增幅（自定义）",SUMIF(N25:N28,E2,O25:O28),"")</f>
        <v/>
      </c>
      <c r="J23" s="3140" t="s">
        <v>3425</v>
      </c>
      <c r="K23" s="1061"/>
      <c r="L23" s="1897" t="s">
        <v>2004</v>
      </c>
      <c r="M23" s="1241">
        <f>ROUND(SUMIF(地价!B2:G2,E2,地价!B16:G16),0)</f>
        <v>318</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0.85150000000000003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30.78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175</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2297</v>
      </c>
      <c r="D33" s="1940">
        <f>'数据-汇总表'!D19</f>
        <v>763.36</v>
      </c>
      <c r="E33" s="727">
        <f>ROUND(C33*D33/10000,0)</f>
        <v>175</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345</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1">
        <f ca="1">'数据-取费表'!B40</f>
        <v>3.0599999999999999E-2</v>
      </c>
      <c r="M36" s="2366">
        <f ca="1">ROUND($L$36*(1+M31),3)</f>
        <v>3.7999999999999999E-2</v>
      </c>
      <c r="N36" s="2366">
        <f ca="1">ROUND($L$36*(1+N31),3)</f>
        <v>3.6999999999999998E-2</v>
      </c>
      <c r="O36" s="2366">
        <f ca="1">ROUND($L$36*(1+O31),3)</f>
        <v>3.5000000000000003E-2</v>
      </c>
      <c r="P36" s="2366">
        <f ca="1">ROUND($L$36*(1+P31),3)</f>
        <v>3.4000000000000002E-2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17"/>
      <c r="B37" s="1955" t="s">
        <v>2036</v>
      </c>
      <c r="C37" s="167">
        <f>ROUND(D5*C22*C23*C24*C28*F37,0)</f>
        <v>1302</v>
      </c>
      <c r="D37" s="1940"/>
      <c r="E37" s="163">
        <f>ROUND(C37*D37/10000,0)</f>
        <v>0</v>
      </c>
      <c r="F37" s="163">
        <f>SUMIF(修正!A59:A70,G2,修正!B59:B70)</f>
        <v>0.6</v>
      </c>
      <c r="G37" s="163">
        <f>ROUND(IF(E2="工业",C37*$M$42,C37*$M$41),0)</f>
        <v>195</v>
      </c>
      <c r="H37" s="163">
        <f>D37</f>
        <v>0</v>
      </c>
      <c r="I37" s="163">
        <f>ROUND(G37*H37/10000,0)</f>
        <v>0</v>
      </c>
      <c r="J37" s="2755"/>
      <c r="K37" s="3062" t="s">
        <v>3255</v>
      </c>
      <c r="L37" s="1964">
        <f ca="1">L36+K38</f>
        <v>3.56E-2</v>
      </c>
      <c r="M37" s="2366">
        <f ca="1">ROUND($L$37*(1+M31),3)</f>
        <v>4.4999999999999998E-2</v>
      </c>
      <c r="N37" s="2366">
        <f t="shared" ref="N37:Q37" ca="1" si="3">ROUND($L$37*(1+N31),3)</f>
        <v>4.2999999999999997E-2</v>
      </c>
      <c r="O37" s="2366">
        <f t="shared" ca="1" si="3"/>
        <v>4.1000000000000002E-2</v>
      </c>
      <c r="P37" s="2366">
        <f t="shared" ca="1" si="3"/>
        <v>3.9E-2</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18"/>
      <c r="B38" s="1884" t="s">
        <v>2037</v>
      </c>
      <c r="C38" s="167">
        <f>ROUND(D5*C22*C23*C24*C28*F38,0)</f>
        <v>651</v>
      </c>
      <c r="D38" s="1940"/>
      <c r="E38" s="163">
        <f t="shared" ref="E38:E42" si="4">ROUND(C38*D38/10000,0)</f>
        <v>0</v>
      </c>
      <c r="F38" s="163">
        <f>SUMIF(修正!A59:A70,G2,修正!C59:C70)</f>
        <v>0.3</v>
      </c>
      <c r="G38" s="163">
        <f>ROUND(IF(E2="工业",C38*$M$42,C38*$M$41),0)</f>
        <v>98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18"/>
      <c r="B39" s="1884" t="s">
        <v>3248</v>
      </c>
      <c r="C39" s="167">
        <f>ROUND(D5*C22*C23*C24*C28*F39,0)</f>
        <v>543</v>
      </c>
      <c r="D39" s="1940"/>
      <c r="E39" s="163">
        <f t="shared" si="4"/>
        <v>0</v>
      </c>
      <c r="F39" s="163">
        <f>SUMIF(修正!A59:A70,G2,修正!D59:D70)</f>
        <v>0.25</v>
      </c>
      <c r="G39" s="163">
        <f>ROUND(IF(E2="工业",C39*$M$42,C39*$M$41),0)</f>
        <v>81</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543</v>
      </c>
      <c r="D40" s="1940"/>
      <c r="E40" s="163">
        <f t="shared" si="4"/>
        <v>0</v>
      </c>
      <c r="F40" s="167">
        <f>SUMIF(修正!A59:A70,G2,修正!E59:E70)</f>
        <v>0.25</v>
      </c>
      <c r="G40" s="163">
        <f>ROUND(IF(E2="工业",C40*$M$42,C40*$M$41),0)</f>
        <v>81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f>IF(E2="工业",SUMIF(L1:L12,G2,N1:N12),"——")</f>
        <v>0.05</v>
      </c>
      <c r="G83" s="1000"/>
      <c r="H83" s="1003">
        <f t="shared" ref="H83:H90" si="23">IFERROR(ROUNDDOWN($F$83*I83/2,4),"——")</f>
        <v>6.4999999999999997E-3</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f t="shared" si="23"/>
        <v>7.4999999999999997E-3</v>
      </c>
      <c r="I84" s="3069">
        <v>0.3</v>
      </c>
      <c r="J84" s="1001">
        <f t="shared" si="24"/>
        <v>0</v>
      </c>
      <c r="K84" s="1001">
        <f t="shared" si="25"/>
        <v>0</v>
      </c>
      <c r="L84" s="1001">
        <v>0</v>
      </c>
      <c r="M84" s="1001">
        <f t="shared" si="26"/>
        <v>0</v>
      </c>
      <c r="N84" s="1001">
        <f t="shared" si="26"/>
        <v>0</v>
      </c>
      <c r="Z84" s="1845"/>
      <c r="AA84" s="1895"/>
      <c r="AG84" s="1058"/>
      <c r="AK84" s="1895"/>
    </row>
    <row r="85" spans="1:37" ht="36">
      <c r="A85" s="3071" t="s">
        <v>3259</v>
      </c>
      <c r="B85" s="1262">
        <f>估价对象房地状况!G17</f>
        <v>0</v>
      </c>
      <c r="C85" s="1887"/>
      <c r="D85" s="1002">
        <f t="shared" si="22"/>
        <v>0</v>
      </c>
      <c r="E85" s="705"/>
      <c r="F85" s="1675"/>
      <c r="G85" s="1000"/>
      <c r="H85" s="1003">
        <f t="shared" si="23"/>
        <v>2.5000000000000001E-3</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1.1999999999999999E-3</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f t="shared" si="23"/>
        <v>1.5E-3</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f t="shared" si="23"/>
        <v>3.0000000000000001E-3</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1.5E-3</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f t="shared" si="23"/>
        <v>1.1999999999999999E-3</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3262</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3258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3263</v>
      </c>
      <c r="B96" s="3087" t="s">
        <v>3274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3265</v>
      </c>
      <c r="B98" s="3088" t="s">
        <v>3275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3266</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3267</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3268</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15" t="s">
        <v>3283</v>
      </c>
      <c r="B103" s="3515"/>
      <c r="C103" s="3515"/>
      <c r="D103" s="3515"/>
      <c r="E103" s="3515"/>
      <c r="F103" s="3515"/>
      <c r="G103" s="3515"/>
      <c r="H103" s="3515"/>
      <c r="I103" s="3515"/>
      <c r="J103" s="3515"/>
      <c r="K103" s="1667"/>
      <c r="L103" s="1667"/>
      <c r="M103" s="1667"/>
      <c r="N103" s="1667"/>
    </row>
    <row r="104" spans="1:14">
      <c r="A104" s="3516" t="s">
        <v>3284</v>
      </c>
      <c r="B104" s="3516" t="s">
        <v>3285</v>
      </c>
      <c r="C104" s="3091" t="s">
        <v>3286</v>
      </c>
      <c r="D104" s="3092"/>
      <c r="E104" s="3092"/>
      <c r="F104" s="3092"/>
      <c r="G104" s="3092"/>
      <c r="H104" s="3092"/>
      <c r="I104" s="3092"/>
      <c r="J104" s="3093"/>
      <c r="K104" s="3094"/>
      <c r="L104" s="3094"/>
      <c r="M104" s="3094"/>
      <c r="N104" s="3094"/>
    </row>
    <row r="105" spans="1:14">
      <c r="A105" s="3516"/>
      <c r="B105" s="3516"/>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502"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0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0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0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0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03"/>
      <c r="B111" s="3095" t="s">
        <v>3257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0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05" t="s">
        <v>3300</v>
      </c>
      <c r="B113" s="3505"/>
      <c r="C113" s="3505"/>
      <c r="D113" s="3505"/>
      <c r="E113" s="3505"/>
      <c r="F113" s="3505"/>
      <c r="G113" s="3505"/>
      <c r="H113" s="3505"/>
      <c r="I113" s="3505"/>
      <c r="J113" s="350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v>
      </c>
      <c r="C116" s="3100" t="s">
        <v>3302</v>
      </c>
      <c r="D116" s="3101">
        <f>SUMPRODUCT((A118:A122=F116)*(B117:M117=H116)*B118:M122)</f>
        <v>0.64319999999999999</v>
      </c>
      <c r="E116" s="162" t="s">
        <v>3303</v>
      </c>
      <c r="F116" s="3102" t="str">
        <f>E2</f>
        <v>工业</v>
      </c>
      <c r="G116" s="162" t="s">
        <v>3304</v>
      </c>
      <c r="H116" s="3102" t="str">
        <f>G2</f>
        <v>六级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5">I118</f>
        <v>0.8306</v>
      </c>
      <c r="K118" s="3090">
        <f t="shared" si="35"/>
        <v>0.8306</v>
      </c>
      <c r="L118" s="3090">
        <f t="shared" si="35"/>
        <v>0.8306</v>
      </c>
      <c r="M118" s="3110">
        <f t="shared" si="35"/>
        <v>0.8306</v>
      </c>
      <c r="N118" s="3098"/>
    </row>
    <row r="119" spans="1:14">
      <c r="A119" s="3058" t="s">
        <v>3318</v>
      </c>
      <c r="B119" s="3090">
        <f>ROUND(0.993-0.0112*B116,4)</f>
        <v>0.98180000000000001</v>
      </c>
      <c r="C119" s="3090">
        <f>B119</f>
        <v>0.98180000000000001</v>
      </c>
      <c r="D119" s="3090">
        <f>ROUND(0.9415-0.0142*B116,4)</f>
        <v>0.92730000000000001</v>
      </c>
      <c r="E119" s="3090">
        <f t="shared" ref="E119:H120" si="36">D119</f>
        <v>0.92730000000000001</v>
      </c>
      <c r="F119" s="3090">
        <f t="shared" si="36"/>
        <v>0.92730000000000001</v>
      </c>
      <c r="G119" s="3090">
        <f t="shared" si="36"/>
        <v>0.92730000000000001</v>
      </c>
      <c r="H119" s="3090">
        <f t="shared" si="36"/>
        <v>0.92730000000000001</v>
      </c>
      <c r="I119" s="3090">
        <f>ROUND(0.838-0.0182*B116,4)</f>
        <v>0.81979999999999997</v>
      </c>
      <c r="J119" s="3090">
        <f t="shared" si="35"/>
        <v>0.81979999999999997</v>
      </c>
      <c r="K119" s="3090">
        <f t="shared" si="35"/>
        <v>0.81979999999999997</v>
      </c>
      <c r="L119" s="3090">
        <f t="shared" si="35"/>
        <v>0.81979999999999997</v>
      </c>
      <c r="M119" s="3110">
        <f t="shared" si="35"/>
        <v>0.81979999999999997</v>
      </c>
      <c r="N119" s="3098"/>
    </row>
    <row r="120" spans="1:14">
      <c r="A120" s="3058" t="s">
        <v>3319</v>
      </c>
      <c r="B120" s="3090">
        <f>ROUND(0.9448-0.0115*B116,4)</f>
        <v>0.93330000000000002</v>
      </c>
      <c r="C120" s="3090">
        <f>B120</f>
        <v>0.93330000000000002</v>
      </c>
      <c r="D120" s="3090">
        <f>ROUND(0.937-0.0145*B116,4)</f>
        <v>0.92249999999999999</v>
      </c>
      <c r="E120" s="3090">
        <f t="shared" si="36"/>
        <v>0.92249999999999999</v>
      </c>
      <c r="F120" s="3090">
        <f t="shared" si="36"/>
        <v>0.92249999999999999</v>
      </c>
      <c r="G120" s="3090">
        <f t="shared" si="36"/>
        <v>0.92249999999999999</v>
      </c>
      <c r="H120" s="3090">
        <f t="shared" si="36"/>
        <v>0.92249999999999999</v>
      </c>
      <c r="I120" s="3090">
        <f>ROUND(0.7965-0.0185*B116,4)</f>
        <v>0.77800000000000002</v>
      </c>
      <c r="J120" s="3090">
        <f t="shared" si="35"/>
        <v>0.77800000000000002</v>
      </c>
      <c r="K120" s="3090">
        <f t="shared" si="35"/>
        <v>0.77800000000000002</v>
      </c>
      <c r="L120" s="3090">
        <f t="shared" si="35"/>
        <v>0.77800000000000002</v>
      </c>
      <c r="M120" s="3110">
        <f t="shared" si="35"/>
        <v>0.77800000000000002</v>
      </c>
      <c r="N120" s="3098"/>
    </row>
    <row r="121" spans="1:14" ht="13.5" thickBot="1">
      <c r="A121" s="3111" t="s">
        <v>3320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5"/>
        <v>0.57150000000000001</v>
      </c>
      <c r="K121" s="3112">
        <f t="shared" si="35"/>
        <v>0.57150000000000001</v>
      </c>
      <c r="L121" s="3112">
        <f t="shared" si="35"/>
        <v>0.57150000000000001</v>
      </c>
      <c r="M121" s="3113">
        <f t="shared" si="35"/>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7">D122</f>
        <v>0.88200000000000001</v>
      </c>
      <c r="F122" s="3090">
        <f t="shared" si="37"/>
        <v>0.88200000000000001</v>
      </c>
      <c r="G122" s="3090">
        <f t="shared" si="37"/>
        <v>0.88200000000000001</v>
      </c>
      <c r="H122" s="3090">
        <f t="shared" si="37"/>
        <v>0.88200000000000001</v>
      </c>
      <c r="I122" s="3090">
        <f>ROUND(0.7632-0.0166*B116,4)</f>
        <v>0.74660000000000004</v>
      </c>
      <c r="J122" s="3090">
        <f t="shared" si="35"/>
        <v>0.74660000000000004</v>
      </c>
      <c r="K122" s="3090">
        <f t="shared" si="35"/>
        <v>0.74660000000000004</v>
      </c>
      <c r="L122" s="3090">
        <f t="shared" si="35"/>
        <v>0.74660000000000004</v>
      </c>
      <c r="M122" s="3110">
        <f t="shared" si="35"/>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2" priority="6" stopIfTrue="1" operator="notEqual">
      <formula>"——"</formula>
    </cfRule>
  </conditionalFormatting>
  <conditionalFormatting sqref="F61">
    <cfRule type="cellIs" dxfId="121" priority="5" stopIfTrue="1" operator="notEqual">
      <formula>"——"</formula>
    </cfRule>
  </conditionalFormatting>
  <conditionalFormatting sqref="F72">
    <cfRule type="cellIs" dxfId="120" priority="4" stopIfTrue="1" operator="notEqual">
      <formula>"——"</formula>
    </cfRule>
  </conditionalFormatting>
  <conditionalFormatting sqref="F83">
    <cfRule type="cellIs" dxfId="119" priority="3" stopIfTrue="1" operator="notEqual">
      <formula>"——"</formula>
    </cfRule>
  </conditionalFormatting>
  <conditionalFormatting sqref="H50:H58 H61:H69 H72:H80 H83:H91">
    <cfRule type="cellIs" dxfId="118" priority="2" operator="notEqual">
      <formula>"——"</formula>
    </cfRule>
  </conditionalFormatting>
  <conditionalFormatting sqref="H93:H101">
    <cfRule type="cellIs" dxfId="117"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E0CAD-F185-46A3-B4C1-8FF014A2D598}">
  <sheetPr>
    <tabColor rgb="FF92D050"/>
    <pageSetUpPr fitToPage="1"/>
  </sheetPr>
  <dimension ref="A1:AC131"/>
  <sheetViews>
    <sheetView view="pageBreakPreview" topLeftCell="A4" zoomScaleNormal="70" zoomScaleSheetLayoutView="100" workbookViewId="0">
      <selection activeCell="L18" sqref="L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3413</v>
      </c>
      <c r="E1" s="3125" t="s">
        <v>3428</v>
      </c>
      <c r="F1" s="1735" t="s">
        <v>3519</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941.52059999999994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28881</v>
      </c>
      <c r="C3" s="344" t="s">
        <v>1665</v>
      </c>
      <c r="D3" s="343">
        <f>IF(D1="",'数据-汇总表'!E3,SUMIF('数据-汇总表'!$C19:$C33,D1,'数据-汇总表'!$E19:$E33))</f>
        <v>326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475" t="s">
        <v>1667</v>
      </c>
      <c r="D4" s="3476"/>
      <c r="E4" s="3477" t="s">
        <v>1668</v>
      </c>
      <c r="F4" s="3478"/>
      <c r="G4" s="3475" t="s">
        <v>1669</v>
      </c>
      <c r="H4" s="3476"/>
      <c r="I4" s="3475" t="s">
        <v>1670</v>
      </c>
      <c r="J4" s="3476"/>
      <c r="K4" s="537" t="s">
        <v>1671</v>
      </c>
      <c r="L4" s="2487"/>
      <c r="M4" s="2488"/>
      <c r="N4" s="2488"/>
      <c r="O4" s="2488"/>
      <c r="P4" s="3479" t="s">
        <v>1672</v>
      </c>
      <c r="Q4" s="3480"/>
      <c r="R4" s="3462" t="s">
        <v>1668</v>
      </c>
      <c r="S4" s="3463"/>
      <c r="T4" s="3462" t="s">
        <v>1669</v>
      </c>
      <c r="U4" s="3463"/>
      <c r="V4" s="3487" t="s">
        <v>1670</v>
      </c>
      <c r="W4" s="3487"/>
      <c r="X4" s="1265"/>
      <c r="Y4" s="3462" t="s">
        <v>1672</v>
      </c>
      <c r="Z4" s="3463"/>
      <c r="AA4" s="3457" t="s">
        <v>1668</v>
      </c>
      <c r="AB4" s="3487" t="s">
        <v>1669</v>
      </c>
      <c r="AC4" s="3457" t="s">
        <v>1670</v>
      </c>
    </row>
    <row r="5" spans="1:29" ht="15.75" thickBot="1">
      <c r="A5" s="348"/>
      <c r="B5" s="349"/>
      <c r="C5" s="3468" t="s">
        <v>1673</v>
      </c>
      <c r="D5" s="3469"/>
      <c r="E5" s="3521" t="s">
        <v>3592</v>
      </c>
      <c r="F5" s="3467"/>
      <c r="G5" s="3522" t="s">
        <v>3593</v>
      </c>
      <c r="H5" s="3469"/>
      <c r="I5" s="3522" t="s">
        <v>3594</v>
      </c>
      <c r="J5" s="3469"/>
      <c r="K5" s="537"/>
      <c r="L5" s="2487"/>
      <c r="M5" s="2488"/>
      <c r="N5" s="2488"/>
      <c r="O5" s="2488"/>
      <c r="P5" s="3481"/>
      <c r="Q5" s="3482"/>
      <c r="R5" s="3464"/>
      <c r="S5" s="3465"/>
      <c r="T5" s="3464"/>
      <c r="U5" s="3465"/>
      <c r="V5" s="3487"/>
      <c r="W5" s="3487"/>
      <c r="X5" s="1265"/>
      <c r="Y5" s="3464"/>
      <c r="Z5" s="3465"/>
      <c r="AA5" s="3458"/>
      <c r="AB5" s="3487"/>
      <c r="AC5" s="3458"/>
    </row>
    <row r="6" spans="1:29" ht="15.75" hidden="1" thickBot="1">
      <c r="A6" s="350"/>
      <c r="B6" s="351"/>
      <c r="C6" s="3470" t="s">
        <v>1677</v>
      </c>
      <c r="D6" s="3471"/>
      <c r="E6" s="3472" t="s">
        <v>1677</v>
      </c>
      <c r="F6" s="3473"/>
      <c r="G6" s="3470" t="s">
        <v>1677</v>
      </c>
      <c r="H6" s="3471"/>
      <c r="I6" s="3470" t="s">
        <v>1677</v>
      </c>
      <c r="J6" s="3471"/>
      <c r="K6" s="537" t="s">
        <v>1678</v>
      </c>
      <c r="L6" s="2487"/>
      <c r="M6" s="2488"/>
      <c r="N6" s="2488"/>
      <c r="O6" s="2488"/>
      <c r="P6" s="3483"/>
      <c r="Q6" s="3484"/>
      <c r="R6" s="3464"/>
      <c r="S6" s="3465"/>
      <c r="T6" s="3485"/>
      <c r="U6" s="3486"/>
      <c r="V6" s="3487"/>
      <c r="W6" s="3487"/>
      <c r="X6" s="1265"/>
      <c r="Y6" s="3485"/>
      <c r="Z6" s="3486"/>
      <c r="AA6" s="3459"/>
      <c r="AB6" s="3487"/>
      <c r="AC6" s="3459"/>
    </row>
    <row r="7" spans="1:29" s="102" customFormat="1" ht="15.75" thickBot="1">
      <c r="A7" s="352" t="s">
        <v>1679</v>
      </c>
      <c r="B7" s="353"/>
      <c r="C7" s="354">
        <f>'数据-取费表'!B2</f>
        <v>45922</v>
      </c>
      <c r="D7" s="355">
        <v>100</v>
      </c>
      <c r="E7" s="356">
        <f>C7</f>
        <v>45922</v>
      </c>
      <c r="F7" s="357">
        <f>SUMIF(58:58,YEAR(E7)&amp;"-"&amp;MONTH(E7),59:59)</f>
        <v>100</v>
      </c>
      <c r="G7" s="356">
        <f>E7</f>
        <v>45922</v>
      </c>
      <c r="H7" s="355">
        <f>SUMIF(58:58,YEAR(G7)&amp;"-"&amp;MONTH(G7),59:59)</f>
        <v>100</v>
      </c>
      <c r="I7" s="356">
        <f>G7</f>
        <v>45922</v>
      </c>
      <c r="J7" s="355">
        <f>SUMIF(58:58,YEAR(I7)&amp;"-"&amp;MONTH(I7),59:59)</f>
        <v>100</v>
      </c>
      <c r="K7" s="38"/>
      <c r="L7" s="2489"/>
      <c r="M7" s="2440"/>
      <c r="N7" s="2440"/>
      <c r="O7" s="2440"/>
      <c r="P7" s="3460" t="s">
        <v>1680</v>
      </c>
      <c r="Q7" s="3488"/>
      <c r="R7" s="664" t="s">
        <v>14</v>
      </c>
      <c r="S7" s="665">
        <f t="shared" ref="S7:S15" si="0">F7</f>
        <v>100</v>
      </c>
      <c r="T7" s="664" t="s">
        <v>14</v>
      </c>
      <c r="U7" s="665">
        <f t="shared" ref="U7:U15" si="1">H7</f>
        <v>100</v>
      </c>
      <c r="V7" s="664" t="s">
        <v>14</v>
      </c>
      <c r="W7" s="665">
        <f t="shared" ref="W7:W15" si="2">J7</f>
        <v>100</v>
      </c>
      <c r="X7" s="666"/>
      <c r="Y7" s="3460" t="s">
        <v>1680</v>
      </c>
      <c r="Z7" s="3461"/>
      <c r="AA7" s="50">
        <f>D7/F7</f>
        <v>1</v>
      </c>
      <c r="AB7" s="50">
        <f>D7/H7</f>
        <v>1</v>
      </c>
      <c r="AC7" s="50">
        <f>D7/J7</f>
        <v>1</v>
      </c>
    </row>
    <row r="8" spans="1:29" s="102" customFormat="1" ht="15.75" thickBot="1">
      <c r="A8" s="352" t="s">
        <v>1681</v>
      </c>
      <c r="B8" s="353"/>
      <c r="C8" s="358" t="s">
        <v>3565</v>
      </c>
      <c r="D8" s="355">
        <v>100</v>
      </c>
      <c r="E8" s="358" t="s">
        <v>3577</v>
      </c>
      <c r="F8" s="357">
        <f>SUMIF(61:61,E8,62:62)-SUMIF(61:61,C8,62:62)+100</f>
        <v>103</v>
      </c>
      <c r="G8" s="358" t="s">
        <v>3577</v>
      </c>
      <c r="H8" s="355">
        <f>SUMIF(61:61,G8,62:62)-SUMIF(61:61,C8,62:62)+100</f>
        <v>103</v>
      </c>
      <c r="I8" s="358" t="s">
        <v>3577</v>
      </c>
      <c r="J8" s="355">
        <f>SUMIF(61:61,I8,62:62)-SUMIF(61:61,C8,62:62)+100</f>
        <v>103</v>
      </c>
      <c r="K8" s="38"/>
      <c r="L8" s="2489"/>
      <c r="M8" s="2440"/>
      <c r="N8" s="2440"/>
      <c r="O8" s="2440"/>
      <c r="P8" s="3460" t="s">
        <v>1683</v>
      </c>
      <c r="Q8" s="3461"/>
      <c r="R8" s="664" t="s">
        <v>14</v>
      </c>
      <c r="S8" s="665">
        <f t="shared" si="0"/>
        <v>103</v>
      </c>
      <c r="T8" s="664" t="s">
        <v>14</v>
      </c>
      <c r="U8" s="665">
        <f t="shared" si="1"/>
        <v>103</v>
      </c>
      <c r="V8" s="664" t="s">
        <v>14</v>
      </c>
      <c r="W8" s="665">
        <f t="shared" si="2"/>
        <v>103</v>
      </c>
      <c r="X8" s="666"/>
      <c r="Y8" s="3460" t="s">
        <v>1683</v>
      </c>
      <c r="Z8" s="3461"/>
      <c r="AA8" s="50">
        <f t="shared" ref="AA8:AA46" si="3">D8/F8</f>
        <v>0.970873786407767</v>
      </c>
      <c r="AB8" s="50">
        <f t="shared" ref="AB8:AB46" si="4">D8/H8</f>
        <v>0.970873786407767</v>
      </c>
      <c r="AC8" s="50">
        <f t="shared" ref="AC8:AC46" si="5">D8/J8</f>
        <v>0.970873786407767</v>
      </c>
    </row>
    <row r="9" spans="1:29" s="102" customFormat="1" ht="15.75" thickBot="1">
      <c r="A9" s="359" t="s">
        <v>1684</v>
      </c>
      <c r="B9" s="60" t="s">
        <v>1685</v>
      </c>
      <c r="C9" s="3243" t="s">
        <v>2538</v>
      </c>
      <c r="D9" s="59">
        <v>100</v>
      </c>
      <c r="E9" s="361" t="s">
        <v>673</v>
      </c>
      <c r="F9" s="60">
        <f>SUMIF(63:63,E9,64:64)-SUMIF(63:63,C9,64:64)+100</f>
        <v>120</v>
      </c>
      <c r="G9" s="361" t="s">
        <v>673</v>
      </c>
      <c r="H9" s="59">
        <f>SUMIF(63:63,G9,64:64)-SUMIF(63:63,C9,64:64)+100</f>
        <v>120</v>
      </c>
      <c r="I9" s="361" t="s">
        <v>673</v>
      </c>
      <c r="J9" s="59">
        <f>SUMIF(63:63,I9,64:64)-SUMIF(63:63,C9,64:64)+100</f>
        <v>120</v>
      </c>
      <c r="K9" s="38"/>
      <c r="L9" s="2489"/>
      <c r="M9" s="2440"/>
      <c r="N9" s="2440"/>
      <c r="O9" s="2440"/>
      <c r="P9" s="3474" t="s">
        <v>1686</v>
      </c>
      <c r="Q9" s="530" t="str">
        <f t="shared" ref="Q9:Q15" si="6">B9</f>
        <v>用途</v>
      </c>
      <c r="R9" s="664" t="s">
        <v>14</v>
      </c>
      <c r="S9" s="665">
        <f t="shared" si="0"/>
        <v>120</v>
      </c>
      <c r="T9" s="664" t="s">
        <v>14</v>
      </c>
      <c r="U9" s="665">
        <f t="shared" si="1"/>
        <v>120</v>
      </c>
      <c r="V9" s="664" t="s">
        <v>14</v>
      </c>
      <c r="W9" s="665">
        <f t="shared" si="2"/>
        <v>120</v>
      </c>
      <c r="X9" s="666"/>
      <c r="Y9" s="3404" t="s">
        <v>1687</v>
      </c>
      <c r="Z9" s="50" t="str">
        <f t="shared" ref="Z9:Z15" si="7">Q9</f>
        <v>用途</v>
      </c>
      <c r="AA9" s="50">
        <f t="shared" si="3"/>
        <v>0.83333333333333337</v>
      </c>
      <c r="AB9" s="50">
        <f t="shared" si="4"/>
        <v>0.83333333333333337</v>
      </c>
      <c r="AC9" s="50">
        <f t="shared" si="5"/>
        <v>0.83333333333333337</v>
      </c>
    </row>
    <row r="10" spans="1:29" s="366" customFormat="1" ht="27.75" hidden="1" thickBot="1">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74"/>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74"/>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74"/>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74"/>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74"/>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v>3</v>
      </c>
      <c r="L15" s="2493"/>
      <c r="M15" s="2488"/>
      <c r="N15" s="2488"/>
      <c r="O15" s="2488"/>
      <c r="P15" s="3500" t="s">
        <v>1691</v>
      </c>
      <c r="Q15" s="1263" t="str">
        <f t="shared" si="6"/>
        <v>商业繁华度</v>
      </c>
      <c r="R15" s="667" t="s">
        <v>14</v>
      </c>
      <c r="S15" s="668">
        <f t="shared" si="0"/>
        <v>100</v>
      </c>
      <c r="T15" s="667" t="s">
        <v>14</v>
      </c>
      <c r="U15" s="668">
        <f t="shared" si="1"/>
        <v>100</v>
      </c>
      <c r="V15" s="667" t="s">
        <v>14</v>
      </c>
      <c r="W15" s="668">
        <f t="shared" si="2"/>
        <v>100</v>
      </c>
      <c r="X15" s="1265"/>
      <c r="Y15" s="3493" t="s">
        <v>1691</v>
      </c>
      <c r="Z15" s="1264" t="str">
        <f t="shared" si="7"/>
        <v>商业繁华度</v>
      </c>
      <c r="AA15" s="1264">
        <f t="shared" si="3"/>
        <v>1</v>
      </c>
      <c r="AB15" s="1264">
        <f t="shared" si="4"/>
        <v>1</v>
      </c>
      <c r="AC15" s="1264">
        <f t="shared" si="5"/>
        <v>1</v>
      </c>
    </row>
    <row r="16" spans="1:29" ht="15">
      <c r="A16" s="367"/>
      <c r="B16" s="385"/>
      <c r="C16" s="386" t="s">
        <v>3569</v>
      </c>
      <c r="D16" s="387"/>
      <c r="E16" s="386" t="s">
        <v>3569</v>
      </c>
      <c r="F16" s="388"/>
      <c r="G16" s="386" t="s">
        <v>3569</v>
      </c>
      <c r="H16" s="389"/>
      <c r="I16" s="386" t="s">
        <v>3569</v>
      </c>
      <c r="J16" s="387"/>
      <c r="K16" s="541"/>
      <c r="L16" s="2493"/>
      <c r="M16" s="2488"/>
      <c r="N16" s="2488"/>
      <c r="O16" s="2488"/>
      <c r="P16" s="3501"/>
      <c r="Q16" s="1263"/>
      <c r="R16" s="667"/>
      <c r="S16" s="668"/>
      <c r="T16" s="667"/>
      <c r="U16" s="668"/>
      <c r="V16" s="667"/>
      <c r="W16" s="668"/>
      <c r="X16" s="1265"/>
      <c r="Y16" s="3494"/>
      <c r="Z16" s="1264"/>
      <c r="AA16" s="1264">
        <v>1</v>
      </c>
      <c r="AB16" s="1264">
        <v>1</v>
      </c>
      <c r="AC16" s="1264">
        <v>1</v>
      </c>
    </row>
    <row r="17" spans="1:29" ht="15">
      <c r="A17" s="367"/>
      <c r="B17" s="390" t="s">
        <v>1259</v>
      </c>
      <c r="C17" s="1754">
        <f>估价对象房地状况!C6</f>
        <v>0</v>
      </c>
      <c r="D17" s="389">
        <v>100</v>
      </c>
      <c r="E17" s="391"/>
      <c r="F17" s="392">
        <f>SUMIF(78:78,E18,79:79)-SUMIF(78:78,C18,79:79)+100</f>
        <v>103</v>
      </c>
      <c r="G17" s="393"/>
      <c r="H17" s="394">
        <f>SUMIF(78:78,G18,79:79)-SUMIF(78:78,C18,79:79)+100</f>
        <v>103</v>
      </c>
      <c r="I17" s="391"/>
      <c r="J17" s="394">
        <f>SUMIF(78:78,I18,79:79)-SUMIF(78:78,C18,79:79)+100</f>
        <v>100</v>
      </c>
      <c r="K17" s="540">
        <v>3</v>
      </c>
      <c r="L17" s="2493"/>
      <c r="M17" s="2488"/>
      <c r="N17" s="2488"/>
      <c r="O17" s="2488"/>
      <c r="P17" s="3501"/>
      <c r="Q17" s="1263" t="str">
        <f>B17</f>
        <v>交通便捷度</v>
      </c>
      <c r="R17" s="667" t="s">
        <v>14</v>
      </c>
      <c r="S17" s="668">
        <f>F17</f>
        <v>103</v>
      </c>
      <c r="T17" s="667" t="s">
        <v>14</v>
      </c>
      <c r="U17" s="668">
        <f>H17</f>
        <v>103</v>
      </c>
      <c r="V17" s="667" t="s">
        <v>14</v>
      </c>
      <c r="W17" s="668">
        <f>J17</f>
        <v>100</v>
      </c>
      <c r="X17" s="1265"/>
      <c r="Y17" s="3494"/>
      <c r="Z17" s="1264" t="str">
        <f>Q17</f>
        <v>交通便捷度</v>
      </c>
      <c r="AA17" s="1264">
        <f t="shared" si="3"/>
        <v>0.970873786407767</v>
      </c>
      <c r="AB17" s="1264">
        <f t="shared" si="4"/>
        <v>0.970873786407767</v>
      </c>
      <c r="AC17" s="1264">
        <f t="shared" si="5"/>
        <v>1</v>
      </c>
    </row>
    <row r="18" spans="1:29" ht="15">
      <c r="A18" s="367"/>
      <c r="B18" s="395"/>
      <c r="C18" s="1755" t="s">
        <v>3569</v>
      </c>
      <c r="D18" s="389"/>
      <c r="E18" s="1757" t="s">
        <v>3567</v>
      </c>
      <c r="F18" s="392"/>
      <c r="G18" s="1756" t="s">
        <v>3567</v>
      </c>
      <c r="H18" s="387"/>
      <c r="I18" s="1757" t="s">
        <v>3569</v>
      </c>
      <c r="J18" s="387"/>
      <c r="K18" s="541"/>
      <c r="L18" s="2493"/>
      <c r="M18" s="2488"/>
      <c r="N18" s="2488"/>
      <c r="O18" s="2488"/>
      <c r="P18" s="3501"/>
      <c r="Q18" s="1263"/>
      <c r="R18" s="667"/>
      <c r="S18" s="668"/>
      <c r="T18" s="667"/>
      <c r="U18" s="668"/>
      <c r="V18" s="667"/>
      <c r="W18" s="668"/>
      <c r="X18" s="1265"/>
      <c r="Y18" s="349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501"/>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t="s">
        <v>3567</v>
      </c>
      <c r="D20" s="387"/>
      <c r="E20" s="1752" t="s">
        <v>3567</v>
      </c>
      <c r="F20" s="388"/>
      <c r="G20" s="1751" t="s">
        <v>3567</v>
      </c>
      <c r="H20" s="387"/>
      <c r="I20" s="1752" t="s">
        <v>3567</v>
      </c>
      <c r="J20" s="387"/>
      <c r="K20" s="541"/>
      <c r="L20" s="2493"/>
      <c r="M20" s="2488"/>
      <c r="N20" s="2488"/>
      <c r="O20" s="2488"/>
      <c r="P20" s="3501"/>
      <c r="Q20" s="1263"/>
      <c r="R20" s="667"/>
      <c r="S20" s="668"/>
      <c r="T20" s="667"/>
      <c r="U20" s="668"/>
      <c r="V20" s="667"/>
      <c r="W20" s="668"/>
      <c r="X20" s="1265"/>
      <c r="Y20" s="349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386" t="s">
        <v>3568</v>
      </c>
      <c r="F22" s="388"/>
      <c r="G22" s="386" t="s">
        <v>3568</v>
      </c>
      <c r="H22" s="387"/>
      <c r="I22" s="386" t="s">
        <v>3568</v>
      </c>
      <c r="J22" s="387"/>
      <c r="K22" s="1064"/>
      <c r="L22" s="2493"/>
      <c r="M22" s="2488"/>
      <c r="N22" s="2488"/>
      <c r="O22" s="2488"/>
      <c r="P22" s="3501"/>
      <c r="Q22" s="1263"/>
      <c r="R22" s="667"/>
      <c r="S22" s="668"/>
      <c r="T22" s="667"/>
      <c r="U22" s="668"/>
      <c r="V22" s="667"/>
      <c r="W22" s="668"/>
      <c r="X22" s="1265"/>
      <c r="Y22" s="349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501"/>
      <c r="Q23" s="1263" t="str">
        <f>B23</f>
        <v>自然及人文环境</v>
      </c>
      <c r="R23" s="667" t="s">
        <v>14</v>
      </c>
      <c r="S23" s="668">
        <f>F23</f>
        <v>100</v>
      </c>
      <c r="T23" s="667" t="s">
        <v>14</v>
      </c>
      <c r="U23" s="668">
        <f>H23</f>
        <v>100</v>
      </c>
      <c r="V23" s="667" t="s">
        <v>14</v>
      </c>
      <c r="W23" s="668">
        <f>J23</f>
        <v>100</v>
      </c>
      <c r="X23" s="1265"/>
      <c r="Y23" s="3494"/>
      <c r="Z23" s="1264" t="str">
        <f>Q23</f>
        <v>自然及人文环境</v>
      </c>
      <c r="AA23" s="1264">
        <f t="shared" si="3"/>
        <v>1</v>
      </c>
      <c r="AB23" s="1264">
        <f t="shared" si="4"/>
        <v>1</v>
      </c>
      <c r="AC23" s="1264">
        <f t="shared" si="5"/>
        <v>1</v>
      </c>
    </row>
    <row r="24" spans="1:29" ht="15">
      <c r="A24" s="367"/>
      <c r="B24" s="395"/>
      <c r="C24" s="386" t="s">
        <v>3569</v>
      </c>
      <c r="D24" s="387"/>
      <c r="E24" s="1752" t="s">
        <v>3569</v>
      </c>
      <c r="F24" s="388"/>
      <c r="G24" s="1751" t="s">
        <v>3569</v>
      </c>
      <c r="H24" s="387"/>
      <c r="I24" s="1752" t="s">
        <v>3569</v>
      </c>
      <c r="J24" s="387"/>
      <c r="K24" s="541"/>
      <c r="L24" s="2493"/>
      <c r="M24" s="2488"/>
      <c r="N24" s="2488"/>
      <c r="O24" s="2488"/>
      <c r="P24" s="3501"/>
      <c r="Q24" s="1263"/>
      <c r="R24" s="667"/>
      <c r="S24" s="668"/>
      <c r="T24" s="667"/>
      <c r="U24" s="668"/>
      <c r="V24" s="667"/>
      <c r="W24" s="668"/>
      <c r="X24" s="1265"/>
      <c r="Y24" s="3494"/>
      <c r="Z24" s="1264"/>
      <c r="AA24" s="1264">
        <v>1</v>
      </c>
      <c r="AB24" s="1264">
        <v>1</v>
      </c>
      <c r="AC24" s="1264">
        <v>1</v>
      </c>
    </row>
    <row r="25" spans="1:29" ht="15">
      <c r="A25" s="367"/>
      <c r="B25" s="364" t="s">
        <v>1780</v>
      </c>
      <c r="C25" s="542" t="s">
        <v>3570</v>
      </c>
      <c r="D25" s="374">
        <v>100</v>
      </c>
      <c r="E25" s="542" t="s">
        <v>3570</v>
      </c>
      <c r="F25" s="400">
        <f>SUMIF(86:86,E25,87:87)-SUMIF(86:86,C25,87:87)+100</f>
        <v>100</v>
      </c>
      <c r="G25" s="542" t="s">
        <v>3570</v>
      </c>
      <c r="H25" s="374">
        <f>SUMIF(86:86,G25,87:87)-SUMIF(86:86,C25,87:87)+100</f>
        <v>100</v>
      </c>
      <c r="I25" s="542" t="s">
        <v>3570</v>
      </c>
      <c r="J25" s="374">
        <f>SUMIF(86:86,I25,87:87)-SUMIF(86:86,C25,87:87)+100</f>
        <v>100</v>
      </c>
      <c r="K25" s="538">
        <v>5</v>
      </c>
      <c r="L25" s="2493"/>
      <c r="M25" s="2488"/>
      <c r="N25" s="2488"/>
      <c r="O25" s="2488"/>
      <c r="P25" s="3501"/>
      <c r="Q25" s="1263" t="str">
        <f t="shared" ref="Q25:Q46" si="11">B25</f>
        <v>临街状况</v>
      </c>
      <c r="R25" s="667" t="s">
        <v>14</v>
      </c>
      <c r="S25" s="668">
        <f>F25</f>
        <v>100</v>
      </c>
      <c r="T25" s="667" t="s">
        <v>14</v>
      </c>
      <c r="U25" s="668">
        <f>H25</f>
        <v>100</v>
      </c>
      <c r="V25" s="667" t="s">
        <v>14</v>
      </c>
      <c r="W25" s="668">
        <f>J25</f>
        <v>100</v>
      </c>
      <c r="X25" s="1265"/>
      <c r="Y25" s="3494"/>
      <c r="Z25" s="1264" t="str">
        <f>Q25</f>
        <v>临街状况</v>
      </c>
      <c r="AA25" s="1264">
        <f t="shared" si="3"/>
        <v>1</v>
      </c>
      <c r="AB25" s="1264">
        <f t="shared" si="4"/>
        <v>1</v>
      </c>
      <c r="AC25" s="1264">
        <f t="shared" si="5"/>
        <v>1</v>
      </c>
    </row>
    <row r="26" spans="1:29" ht="15">
      <c r="A26" s="367"/>
      <c r="B26" s="1066" t="s">
        <v>1781</v>
      </c>
      <c r="C26" s="373" t="s">
        <v>3567</v>
      </c>
      <c r="D26" s="374">
        <v>100</v>
      </c>
      <c r="E26" s="373" t="s">
        <v>3567</v>
      </c>
      <c r="F26" s="400">
        <f>SUMIF(88:88,E26,89:89)-SUMIF(88:88,C26,89:89)+100</f>
        <v>100</v>
      </c>
      <c r="G26" s="373" t="s">
        <v>3567</v>
      </c>
      <c r="H26" s="374">
        <f>SUMIF(88:88,G26,89:89)-SUMIF(88:88,C26,89:89)+100</f>
        <v>100</v>
      </c>
      <c r="I26" s="373" t="s">
        <v>3567</v>
      </c>
      <c r="J26" s="374">
        <f>SUMIF(88:88,I26,89:89)-SUMIF(88:88,C26,89:89)+100</f>
        <v>100</v>
      </c>
      <c r="K26" s="539"/>
      <c r="L26" s="2493"/>
      <c r="M26" s="2488"/>
      <c r="N26" s="2488"/>
      <c r="O26" s="2488"/>
      <c r="P26" s="3501"/>
      <c r="Q26" s="1263" t="str">
        <f t="shared" si="11"/>
        <v>平面位置/可视性</v>
      </c>
      <c r="R26" s="667" t="s">
        <v>14</v>
      </c>
      <c r="S26" s="668">
        <f>F26</f>
        <v>100</v>
      </c>
      <c r="T26" s="667" t="s">
        <v>14</v>
      </c>
      <c r="U26" s="668">
        <f>H26</f>
        <v>100</v>
      </c>
      <c r="V26" s="667" t="s">
        <v>14</v>
      </c>
      <c r="W26" s="668">
        <f>J26</f>
        <v>100</v>
      </c>
      <c r="X26" s="1265"/>
      <c r="Y26" s="3494"/>
      <c r="Z26" s="1264" t="str">
        <f>Q26</f>
        <v>平面位置/可视性</v>
      </c>
      <c r="AA26" s="1264">
        <f t="shared" si="3"/>
        <v>1</v>
      </c>
      <c r="AB26" s="1264">
        <f t="shared" si="4"/>
        <v>1</v>
      </c>
      <c r="AC26" s="1264">
        <f t="shared" si="5"/>
        <v>1</v>
      </c>
    </row>
    <row r="27" spans="1:29" s="102" customFormat="1" ht="15">
      <c r="A27" s="370"/>
      <c r="B27" s="390" t="s">
        <v>1782</v>
      </c>
      <c r="C27" s="1807" t="s">
        <v>3578</v>
      </c>
      <c r="D27" s="401">
        <v>100</v>
      </c>
      <c r="E27" s="1807" t="s">
        <v>3578</v>
      </c>
      <c r="F27" s="395">
        <f>SUMIF(90:90,E27,91:91)-SUMIF(90:90,C27,91:91)+100</f>
        <v>100</v>
      </c>
      <c r="G27" s="1807" t="s">
        <v>3578</v>
      </c>
      <c r="H27" s="401">
        <f>SUMIF(90:90,G27,91:91)-SUMIF(90:90,C27,91:91)+100</f>
        <v>100</v>
      </c>
      <c r="I27" s="1807" t="s">
        <v>3578</v>
      </c>
      <c r="J27" s="401">
        <f>SUMIF(90:90,I27,91:91)-SUMIF(90:90,C27,91:91)+100</f>
        <v>100</v>
      </c>
      <c r="K27" s="538">
        <v>3</v>
      </c>
      <c r="L27" s="2489"/>
      <c r="M27" s="2440"/>
      <c r="N27" s="2440"/>
      <c r="O27" s="2440"/>
      <c r="P27" s="3501"/>
      <c r="Q27" s="530" t="str">
        <f t="shared" si="11"/>
        <v>人流量</v>
      </c>
      <c r="R27" s="664" t="s">
        <v>14</v>
      </c>
      <c r="S27" s="665">
        <f>F27</f>
        <v>100</v>
      </c>
      <c r="T27" s="664" t="s">
        <v>14</v>
      </c>
      <c r="U27" s="665">
        <f>H27</f>
        <v>100</v>
      </c>
      <c r="V27" s="664" t="s">
        <v>14</v>
      </c>
      <c r="W27" s="665">
        <f>J27</f>
        <v>100</v>
      </c>
      <c r="X27" s="666"/>
      <c r="Y27" s="3494"/>
      <c r="Z27" s="50" t="str">
        <f>Q27</f>
        <v>人流量</v>
      </c>
      <c r="AA27" s="1264">
        <f>D27/F27</f>
        <v>1</v>
      </c>
      <c r="AB27" s="1264">
        <f>D27/H27</f>
        <v>1</v>
      </c>
      <c r="AC27" s="1264">
        <f>D27/J27</f>
        <v>1</v>
      </c>
    </row>
    <row r="28" spans="1:29" ht="15.75" thickBot="1">
      <c r="A28" s="367"/>
      <c r="B28" s="364" t="s">
        <v>1783</v>
      </c>
      <c r="C28" s="542" t="s">
        <v>3572</v>
      </c>
      <c r="D28" s="374">
        <v>100</v>
      </c>
      <c r="E28" s="542" t="s">
        <v>3572</v>
      </c>
      <c r="F28" s="400">
        <f>SUMIF(92:92,E28,93:93)-SUMIF(92:92,C28,93:93)+100</f>
        <v>100</v>
      </c>
      <c r="G28" s="542" t="s">
        <v>3572</v>
      </c>
      <c r="H28" s="374">
        <f>SUMIF(92:92,G28,93:93)-SUMIF(92:92,C28,93:93)+100</f>
        <v>100</v>
      </c>
      <c r="I28" s="542" t="s">
        <v>3572</v>
      </c>
      <c r="J28" s="374">
        <f>SUMIF(92:92,I28,93:93)-SUMIF(92:92,C28,93:93)+100</f>
        <v>100</v>
      </c>
      <c r="K28" s="539"/>
      <c r="L28" s="2493"/>
      <c r="M28" s="2488"/>
      <c r="N28" s="2488"/>
      <c r="O28" s="2488"/>
      <c r="P28" s="35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4"/>
      <c r="Z28" s="1264" t="str">
        <f t="shared" ref="Z28:Z46" si="15">Q28</f>
        <v>楼层</v>
      </c>
      <c r="AA28" s="1264">
        <f t="shared" si="3"/>
        <v>1</v>
      </c>
      <c r="AB28" s="1264">
        <f t="shared" si="4"/>
        <v>1</v>
      </c>
      <c r="AC28" s="1264">
        <f t="shared" si="5"/>
        <v>1</v>
      </c>
    </row>
    <row r="29" spans="1:29" ht="15.75" hidden="1" thickBot="1">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501"/>
      <c r="Q29" s="1263">
        <f t="shared" si="11"/>
        <v>0</v>
      </c>
      <c r="R29" s="667" t="s">
        <v>14</v>
      </c>
      <c r="S29" s="668">
        <f t="shared" si="12"/>
        <v>100</v>
      </c>
      <c r="T29" s="667" t="s">
        <v>14</v>
      </c>
      <c r="U29" s="668">
        <f t="shared" si="13"/>
        <v>100</v>
      </c>
      <c r="V29" s="667" t="s">
        <v>14</v>
      </c>
      <c r="W29" s="668">
        <f t="shared" si="14"/>
        <v>100</v>
      </c>
      <c r="X29" s="1265"/>
      <c r="Y29" s="3494"/>
      <c r="Z29" s="1264">
        <f t="shared" si="15"/>
        <v>0</v>
      </c>
      <c r="AA29" s="1264">
        <f t="shared" si="3"/>
        <v>1</v>
      </c>
      <c r="AB29" s="1264">
        <f t="shared" si="4"/>
        <v>1</v>
      </c>
      <c r="AC29" s="1264">
        <f t="shared" si="5"/>
        <v>1</v>
      </c>
    </row>
    <row r="30" spans="1:29" ht="15.75" hidden="1" thickBot="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01"/>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01"/>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264">
        <f t="shared" si="5"/>
        <v>1</v>
      </c>
    </row>
    <row r="32" spans="1:29" ht="15">
      <c r="A32" s="379" t="s">
        <v>1694</v>
      </c>
      <c r="B32" s="60" t="s">
        <v>1784</v>
      </c>
      <c r="C32" s="1764" t="s">
        <v>3573</v>
      </c>
      <c r="D32" s="405">
        <v>100</v>
      </c>
      <c r="E32" s="1764" t="s">
        <v>3573</v>
      </c>
      <c r="F32" s="400">
        <f>SUMIF(100:100,E32,101:101)-SUMIF(100:100,C32,101:101)+100</f>
        <v>100</v>
      </c>
      <c r="G32" s="1764" t="s">
        <v>3573</v>
      </c>
      <c r="H32" s="374">
        <f>SUMIF(100:100,G32,101:101)-SUMIF(100:100,C32,101:101)+100</f>
        <v>100</v>
      </c>
      <c r="I32" s="1764" t="s">
        <v>3573</v>
      </c>
      <c r="J32" s="405">
        <f>SUMIF(100:100,I32,101:101)-SUMIF(100:100,C32,101:101)+100</f>
        <v>100</v>
      </c>
      <c r="K32" s="538">
        <v>5</v>
      </c>
      <c r="L32" s="2493"/>
      <c r="M32" s="2488"/>
      <c r="N32" s="2488"/>
      <c r="O32" s="2488"/>
      <c r="P32" s="3495" t="s">
        <v>1696</v>
      </c>
      <c r="Q32" s="1263" t="str">
        <f t="shared" si="11"/>
        <v>商业类型</v>
      </c>
      <c r="R32" s="667" t="s">
        <v>14</v>
      </c>
      <c r="S32" s="668">
        <f t="shared" si="12"/>
        <v>100</v>
      </c>
      <c r="T32" s="667" t="s">
        <v>14</v>
      </c>
      <c r="U32" s="668">
        <f t="shared" si="13"/>
        <v>100</v>
      </c>
      <c r="V32" s="667" t="s">
        <v>14</v>
      </c>
      <c r="W32" s="668">
        <f t="shared" si="14"/>
        <v>100</v>
      </c>
      <c r="X32" s="1265"/>
      <c r="Y32" s="3498"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326</v>
      </c>
      <c r="D33" s="119">
        <v>100</v>
      </c>
      <c r="E33" s="369">
        <v>106.89</v>
      </c>
      <c r="F33" s="364">
        <f>LOOKUP(E33,103:103,104:104)-LOOKUP(C33,103:103,104:104)+100</f>
        <v>101</v>
      </c>
      <c r="G33" s="368">
        <v>363.38</v>
      </c>
      <c r="H33" s="119">
        <f>LOOKUP(G33,103:103,104:104)-LOOKUP(C33,103:103,104:104)+100</f>
        <v>100</v>
      </c>
      <c r="I33" s="368">
        <v>157.41</v>
      </c>
      <c r="J33" s="119">
        <f>LOOKUP(I33,103:103,104:104)-LOOKUP(C33,103:103,104:104)+100</f>
        <v>101</v>
      </c>
      <c r="K33" s="539"/>
      <c r="L33" s="2492"/>
      <c r="M33" s="2494"/>
      <c r="N33" s="2494"/>
      <c r="O33" s="2494"/>
      <c r="P33" s="3496"/>
      <c r="Q33" s="531" t="str">
        <f t="shared" si="11"/>
        <v>项目建筑规模</v>
      </c>
      <c r="R33" s="669" t="s">
        <v>14</v>
      </c>
      <c r="S33" s="670">
        <f t="shared" si="12"/>
        <v>101</v>
      </c>
      <c r="T33" s="669" t="s">
        <v>14</v>
      </c>
      <c r="U33" s="670">
        <f t="shared" si="13"/>
        <v>100</v>
      </c>
      <c r="V33" s="669" t="s">
        <v>14</v>
      </c>
      <c r="W33" s="670">
        <f t="shared" si="14"/>
        <v>101</v>
      </c>
      <c r="X33" s="671"/>
      <c r="Y33" s="3498"/>
      <c r="Z33" s="672" t="str">
        <f t="shared" si="15"/>
        <v>项目建筑规模</v>
      </c>
      <c r="AA33" s="1264">
        <f t="shared" si="3"/>
        <v>0.99009900990099009</v>
      </c>
      <c r="AB33" s="1264">
        <f t="shared" si="4"/>
        <v>1</v>
      </c>
      <c r="AC33" s="1264">
        <f t="shared" si="5"/>
        <v>0.99009900990099009</v>
      </c>
    </row>
    <row r="34" spans="1:29" ht="15">
      <c r="A34" s="409"/>
      <c r="B34" s="364" t="s">
        <v>1698</v>
      </c>
      <c r="C34" s="399" t="s">
        <v>3586</v>
      </c>
      <c r="D34" s="374">
        <v>100</v>
      </c>
      <c r="E34" s="399" t="s">
        <v>3574</v>
      </c>
      <c r="F34" s="400">
        <f>SUMIF(105:105,E34,106:106)-SUMIF(105:105,C34,106:106)+100</f>
        <v>102</v>
      </c>
      <c r="G34" s="399" t="s">
        <v>3574</v>
      </c>
      <c r="H34" s="374">
        <f>SUMIF(105:105,G34,106:106)-SUMIF(105:105,C34,106:106)+100</f>
        <v>102</v>
      </c>
      <c r="I34" s="399" t="s">
        <v>3574</v>
      </c>
      <c r="J34" s="374">
        <f>SUMIF(105:105,I34,106:106)-SUMIF(105:105,C34,106:106)+100</f>
        <v>102</v>
      </c>
      <c r="K34" s="538">
        <v>2</v>
      </c>
      <c r="L34" s="2493"/>
      <c r="M34" s="2488"/>
      <c r="N34" s="2488"/>
      <c r="O34" s="2488"/>
      <c r="P34" s="3496"/>
      <c r="Q34" s="1263" t="str">
        <f t="shared" si="11"/>
        <v>建筑结构</v>
      </c>
      <c r="R34" s="667" t="s">
        <v>14</v>
      </c>
      <c r="S34" s="668">
        <f t="shared" si="12"/>
        <v>102</v>
      </c>
      <c r="T34" s="667" t="s">
        <v>14</v>
      </c>
      <c r="U34" s="668">
        <f t="shared" si="13"/>
        <v>102</v>
      </c>
      <c r="V34" s="667" t="s">
        <v>14</v>
      </c>
      <c r="W34" s="668">
        <f t="shared" si="14"/>
        <v>102</v>
      </c>
      <c r="X34" s="1265"/>
      <c r="Y34" s="3498"/>
      <c r="Z34" s="1264" t="str">
        <f t="shared" si="15"/>
        <v>建筑结构</v>
      </c>
      <c r="AA34" s="1264">
        <f t="shared" si="3"/>
        <v>0.98039215686274506</v>
      </c>
      <c r="AB34" s="1264">
        <f t="shared" si="4"/>
        <v>0.98039215686274506</v>
      </c>
      <c r="AC34" s="1264">
        <f t="shared" si="5"/>
        <v>0.98039215686274506</v>
      </c>
    </row>
    <row r="35" spans="1:29" ht="15">
      <c r="A35" s="409"/>
      <c r="B35" s="364" t="s">
        <v>1785</v>
      </c>
      <c r="C35" s="1760" t="s">
        <v>3575</v>
      </c>
      <c r="D35" s="374">
        <v>100</v>
      </c>
      <c r="E35" s="1760" t="s">
        <v>3575</v>
      </c>
      <c r="F35" s="400">
        <f>SUMIF(107:107,E35,108:108)-SUMIF(107:107,C35,108:108)+100</f>
        <v>100</v>
      </c>
      <c r="G35" s="1760" t="s">
        <v>3575</v>
      </c>
      <c r="H35" s="374">
        <f>SUMIF(107:107,G35,108:108)-SUMIF(107:107,C35,108:108)+100</f>
        <v>100</v>
      </c>
      <c r="I35" s="1760" t="s">
        <v>3575</v>
      </c>
      <c r="J35" s="374">
        <f>SUMIF(107:107,I35,108:108)-SUMIF(107:107,C35,108:108)+100</f>
        <v>100</v>
      </c>
      <c r="K35" s="538">
        <v>2</v>
      </c>
      <c r="L35" s="2493"/>
      <c r="M35" s="2488"/>
      <c r="N35" s="2488"/>
      <c r="O35" s="2488"/>
      <c r="P35" s="3496"/>
      <c r="Q35" s="1263" t="str">
        <f t="shared" si="11"/>
        <v>公共部分装修</v>
      </c>
      <c r="R35" s="667" t="s">
        <v>14</v>
      </c>
      <c r="S35" s="668">
        <f t="shared" si="12"/>
        <v>100</v>
      </c>
      <c r="T35" s="667" t="s">
        <v>14</v>
      </c>
      <c r="U35" s="668">
        <f t="shared" si="13"/>
        <v>100</v>
      </c>
      <c r="V35" s="667" t="s">
        <v>14</v>
      </c>
      <c r="W35" s="668">
        <f t="shared" si="14"/>
        <v>100</v>
      </c>
      <c r="X35" s="1265"/>
      <c r="Y35" s="3498"/>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ROUND(1-(2025-E50)/60,2)</f>
        <v>0.77</v>
      </c>
      <c r="F36" s="400">
        <f>LOOKUP(E36,110:110,111:111)-LOOKUP(C36,110:110,111:111)+100</f>
        <v>100</v>
      </c>
      <c r="G36" s="411">
        <f>E36</f>
        <v>0.77</v>
      </c>
      <c r="H36" s="400">
        <f>LOOKUP(G36,110:110,111:111)-LOOKUP(C36,110:110,111:111)+100</f>
        <v>100</v>
      </c>
      <c r="I36" s="411">
        <f>ROUND(1-(2025-I50)/60,2)</f>
        <v>0.83</v>
      </c>
      <c r="J36" s="374">
        <f>LOOKUP(I36,110:110,111:111)-LOOKUP(C36,110:110,111:111)+100</f>
        <v>102</v>
      </c>
      <c r="K36" s="538">
        <v>2</v>
      </c>
      <c r="L36" s="2493"/>
      <c r="M36" s="2488"/>
      <c r="N36" s="2488"/>
      <c r="O36" s="2488"/>
      <c r="P36" s="3496"/>
      <c r="Q36" s="1263" t="str">
        <f t="shared" si="11"/>
        <v>成新度</v>
      </c>
      <c r="R36" s="667" t="s">
        <v>14</v>
      </c>
      <c r="S36" s="668">
        <f t="shared" si="12"/>
        <v>100</v>
      </c>
      <c r="T36" s="667" t="s">
        <v>14</v>
      </c>
      <c r="U36" s="668">
        <f t="shared" si="13"/>
        <v>100</v>
      </c>
      <c r="V36" s="667" t="s">
        <v>14</v>
      </c>
      <c r="W36" s="668">
        <f t="shared" si="14"/>
        <v>102</v>
      </c>
      <c r="X36" s="1265"/>
      <c r="Y36" s="3498"/>
      <c r="Z36" s="1264" t="str">
        <f t="shared" si="15"/>
        <v>成新度</v>
      </c>
      <c r="AA36" s="1264">
        <f t="shared" si="3"/>
        <v>1</v>
      </c>
      <c r="AB36" s="1264">
        <f t="shared" si="4"/>
        <v>1</v>
      </c>
      <c r="AC36" s="1264">
        <f t="shared" si="5"/>
        <v>0.98039215686274506</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96"/>
      <c r="Q37" s="530" t="str">
        <f t="shared" si="11"/>
        <v>市政基础设施</v>
      </c>
      <c r="R37" s="664" t="s">
        <v>14</v>
      </c>
      <c r="S37" s="665">
        <f t="shared" si="12"/>
        <v>100</v>
      </c>
      <c r="T37" s="664" t="s">
        <v>14</v>
      </c>
      <c r="U37" s="665">
        <f t="shared" si="13"/>
        <v>100</v>
      </c>
      <c r="V37" s="664" t="s">
        <v>14</v>
      </c>
      <c r="W37" s="665">
        <f t="shared" si="14"/>
        <v>100</v>
      </c>
      <c r="X37" s="666"/>
      <c r="Y37" s="3498"/>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96" t="s">
        <v>1696</v>
      </c>
      <c r="Q38" s="1263" t="str">
        <f t="shared" si="11"/>
        <v>业态</v>
      </c>
      <c r="R38" s="667" t="s">
        <v>14</v>
      </c>
      <c r="S38" s="668">
        <f t="shared" si="12"/>
        <v>100</v>
      </c>
      <c r="T38" s="667" t="s">
        <v>14</v>
      </c>
      <c r="U38" s="668">
        <f t="shared" si="13"/>
        <v>100</v>
      </c>
      <c r="V38" s="667" t="s">
        <v>14</v>
      </c>
      <c r="W38" s="668">
        <f t="shared" si="14"/>
        <v>100</v>
      </c>
      <c r="X38" s="1265"/>
      <c r="Y38" s="3498" t="s">
        <v>1696</v>
      </c>
      <c r="Z38" s="1264" t="str">
        <f t="shared" si="15"/>
        <v>业态</v>
      </c>
      <c r="AA38" s="1264">
        <f t="shared" si="3"/>
        <v>1</v>
      </c>
      <c r="AB38" s="1264">
        <f t="shared" si="4"/>
        <v>1</v>
      </c>
      <c r="AC38" s="1264">
        <f t="shared" si="5"/>
        <v>1</v>
      </c>
    </row>
    <row r="39" spans="1:29" ht="15">
      <c r="A39" s="409"/>
      <c r="B39" s="364" t="s">
        <v>1789</v>
      </c>
      <c r="C39" s="1760" t="s">
        <v>3576</v>
      </c>
      <c r="D39" s="374">
        <v>100</v>
      </c>
      <c r="E39" s="1760" t="s">
        <v>3576</v>
      </c>
      <c r="F39" s="400">
        <f>SUMIF(116:116,E39,117:117)-SUMIF(116:116,C39,117:117)+100</f>
        <v>100</v>
      </c>
      <c r="G39" s="1760" t="s">
        <v>3576</v>
      </c>
      <c r="H39" s="374">
        <f>SUMIF(116:116,G39,117:117)-SUMIF(116:116,C39,117:117)+100</f>
        <v>100</v>
      </c>
      <c r="I39" s="1760" t="s">
        <v>3576</v>
      </c>
      <c r="J39" s="374">
        <f>SUMIF(116:116,I39,117:117)-SUMIF(116:116,C39,117:117)+100</f>
        <v>100</v>
      </c>
      <c r="K39" s="538">
        <v>5</v>
      </c>
      <c r="L39" s="2493"/>
      <c r="M39" s="2488"/>
      <c r="N39" s="2488"/>
      <c r="O39" s="2488"/>
      <c r="P39" s="3496"/>
      <c r="Q39" s="1263" t="str">
        <f t="shared" si="11"/>
        <v>层高</v>
      </c>
      <c r="R39" s="667" t="s">
        <v>14</v>
      </c>
      <c r="S39" s="668">
        <f t="shared" si="12"/>
        <v>100</v>
      </c>
      <c r="T39" s="667" t="s">
        <v>14</v>
      </c>
      <c r="U39" s="668">
        <f t="shared" si="13"/>
        <v>100</v>
      </c>
      <c r="V39" s="667" t="s">
        <v>14</v>
      </c>
      <c r="W39" s="668">
        <f t="shared" si="14"/>
        <v>100</v>
      </c>
      <c r="X39" s="1265"/>
      <c r="Y39" s="3498"/>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96"/>
      <c r="Q40" s="1263" t="str">
        <f t="shared" si="11"/>
        <v>单套建筑面积</v>
      </c>
      <c r="R40" s="667" t="s">
        <v>14</v>
      </c>
      <c r="S40" s="668">
        <f t="shared" si="12"/>
        <v>100</v>
      </c>
      <c r="T40" s="667" t="s">
        <v>14</v>
      </c>
      <c r="U40" s="668">
        <f t="shared" si="13"/>
        <v>100</v>
      </c>
      <c r="V40" s="667" t="s">
        <v>14</v>
      </c>
      <c r="W40" s="668">
        <f t="shared" si="14"/>
        <v>100</v>
      </c>
      <c r="X40" s="1265"/>
      <c r="Y40" s="3498"/>
      <c r="Z40" s="1264" t="str">
        <f t="shared" si="15"/>
        <v>单套建筑面积</v>
      </c>
      <c r="AA40" s="1264">
        <f t="shared" si="3"/>
        <v>1</v>
      </c>
      <c r="AB40" s="1264">
        <f t="shared" si="4"/>
        <v>1</v>
      </c>
      <c r="AC40" s="1264">
        <f t="shared" si="5"/>
        <v>1</v>
      </c>
    </row>
    <row r="41" spans="1:29" s="408" customFormat="1" ht="15">
      <c r="A41" s="406"/>
      <c r="B41" s="400" t="s">
        <v>1791</v>
      </c>
      <c r="C41" s="542" t="s">
        <v>3567</v>
      </c>
      <c r="D41" s="374">
        <v>100</v>
      </c>
      <c r="E41" s="542" t="s">
        <v>3567</v>
      </c>
      <c r="F41" s="400">
        <f>SUMIF(120:120,E41,121:121)-SUMIF(120:120,C41,121:121)+100</f>
        <v>100</v>
      </c>
      <c r="G41" s="542" t="s">
        <v>3567</v>
      </c>
      <c r="H41" s="374">
        <f>SUMIF(120:120,G41,121:121)-SUMIF(120:120,C41,121:121)+100</f>
        <v>100</v>
      </c>
      <c r="I41" s="542" t="s">
        <v>3567</v>
      </c>
      <c r="J41" s="374">
        <f>SUMIF(120:120,I41,121:121)-SUMIF(120:120,C41,121:121)+100</f>
        <v>100</v>
      </c>
      <c r="K41" s="538">
        <v>2</v>
      </c>
      <c r="L41" s="2492"/>
      <c r="M41" s="2494"/>
      <c r="N41" s="2494"/>
      <c r="O41" s="2494"/>
      <c r="P41" s="3496"/>
      <c r="Q41" s="531" t="str">
        <f t="shared" si="11"/>
        <v>进深比</v>
      </c>
      <c r="R41" s="669" t="s">
        <v>14</v>
      </c>
      <c r="S41" s="670">
        <f t="shared" si="12"/>
        <v>100</v>
      </c>
      <c r="T41" s="669" t="s">
        <v>14</v>
      </c>
      <c r="U41" s="670">
        <f t="shared" si="13"/>
        <v>100</v>
      </c>
      <c r="V41" s="669" t="s">
        <v>14</v>
      </c>
      <c r="W41" s="670">
        <f t="shared" si="14"/>
        <v>100</v>
      </c>
      <c r="X41" s="671"/>
      <c r="Y41" s="3498"/>
      <c r="Z41" s="672" t="str">
        <f t="shared" si="15"/>
        <v>进深比</v>
      </c>
      <c r="AA41" s="1264">
        <f t="shared" si="3"/>
        <v>1</v>
      </c>
      <c r="AB41" s="1264">
        <f t="shared" si="4"/>
        <v>1</v>
      </c>
      <c r="AC41" s="1264">
        <f t="shared" si="5"/>
        <v>1</v>
      </c>
    </row>
    <row r="42" spans="1:29" ht="15">
      <c r="A42" s="409"/>
      <c r="B42" s="364" t="s">
        <v>1792</v>
      </c>
      <c r="C42" s="1760" t="s">
        <v>3575</v>
      </c>
      <c r="D42" s="374">
        <v>100</v>
      </c>
      <c r="E42" s="1760" t="s">
        <v>3575</v>
      </c>
      <c r="F42" s="400">
        <f>SUMIF(122:122,E42,123:123)-SUMIF(122:122,C42,123:123)+100</f>
        <v>100</v>
      </c>
      <c r="G42" s="1760" t="s">
        <v>3575</v>
      </c>
      <c r="H42" s="374">
        <f>SUMIF(122:122,G42,123:123)-SUMIF(122:122,C42,123:123)+100</f>
        <v>100</v>
      </c>
      <c r="I42" s="1760" t="s">
        <v>3575</v>
      </c>
      <c r="J42" s="374">
        <f>SUMIF(122:122,I42,123:123)-SUMIF(122:122,C42,123:123)+100</f>
        <v>100</v>
      </c>
      <c r="K42" s="538">
        <v>2</v>
      </c>
      <c r="L42" s="2493"/>
      <c r="M42" s="2488"/>
      <c r="N42" s="2488"/>
      <c r="O42" s="2488"/>
      <c r="P42" s="3496"/>
      <c r="Q42" s="1263" t="str">
        <f t="shared" si="11"/>
        <v>内部装修</v>
      </c>
      <c r="R42" s="667" t="s">
        <v>14</v>
      </c>
      <c r="S42" s="668">
        <f t="shared" si="12"/>
        <v>100</v>
      </c>
      <c r="T42" s="667" t="s">
        <v>14</v>
      </c>
      <c r="U42" s="668">
        <f t="shared" si="13"/>
        <v>100</v>
      </c>
      <c r="V42" s="667" t="s">
        <v>14</v>
      </c>
      <c r="W42" s="668">
        <f t="shared" si="14"/>
        <v>100</v>
      </c>
      <c r="X42" s="1265"/>
      <c r="Y42" s="3498"/>
      <c r="Z42" s="1264" t="str">
        <f t="shared" si="15"/>
        <v>内部装修</v>
      </c>
      <c r="AA42" s="1264">
        <f t="shared" si="3"/>
        <v>1</v>
      </c>
      <c r="AB42" s="1264">
        <f t="shared" si="4"/>
        <v>1</v>
      </c>
      <c r="AC42" s="1264">
        <f t="shared" si="5"/>
        <v>1</v>
      </c>
    </row>
    <row r="43" spans="1:29" ht="15.75" thickBot="1">
      <c r="A43" s="409"/>
      <c r="B43" s="364" t="s">
        <v>1707</v>
      </c>
      <c r="C43" s="1760" t="s">
        <v>3567</v>
      </c>
      <c r="D43" s="374">
        <v>100</v>
      </c>
      <c r="E43" s="1760" t="s">
        <v>3567</v>
      </c>
      <c r="F43" s="400">
        <f>SUMIF(124:124,E43,125:125)-SUMIF(124:124,C43,125:125)+100</f>
        <v>100</v>
      </c>
      <c r="G43" s="1760" t="s">
        <v>3567</v>
      </c>
      <c r="H43" s="374">
        <f>SUMIF(124:124,G43,125:125)-SUMIF(124:124,C43,125:125)+100</f>
        <v>100</v>
      </c>
      <c r="I43" s="1760" t="s">
        <v>3567</v>
      </c>
      <c r="J43" s="374">
        <f>SUMIF(124:124,I43,125:125)-SUMIF(124:124,C43,125:125)+100</f>
        <v>100</v>
      </c>
      <c r="K43" s="538">
        <v>2</v>
      </c>
      <c r="L43" s="2493"/>
      <c r="M43" s="2488"/>
      <c r="N43" s="2488"/>
      <c r="O43" s="2488"/>
      <c r="P43" s="3496"/>
      <c r="Q43" s="1263" t="str">
        <f t="shared" si="11"/>
        <v>内部装修维护情况</v>
      </c>
      <c r="R43" s="667" t="s">
        <v>14</v>
      </c>
      <c r="S43" s="668">
        <f t="shared" si="12"/>
        <v>100</v>
      </c>
      <c r="T43" s="667" t="s">
        <v>14</v>
      </c>
      <c r="U43" s="668">
        <f t="shared" si="13"/>
        <v>100</v>
      </c>
      <c r="V43" s="667" t="s">
        <v>14</v>
      </c>
      <c r="W43" s="668">
        <f t="shared" si="14"/>
        <v>100</v>
      </c>
      <c r="X43" s="1265"/>
      <c r="Y43" s="3498"/>
      <c r="Z43" s="1264" t="str">
        <f t="shared" si="15"/>
        <v>内部装修维护情况</v>
      </c>
      <c r="AA43" s="1264">
        <f t="shared" si="3"/>
        <v>1</v>
      </c>
      <c r="AB43" s="1264">
        <f t="shared" si="4"/>
        <v>1</v>
      </c>
      <c r="AC43" s="1264">
        <f t="shared" si="5"/>
        <v>1</v>
      </c>
    </row>
    <row r="44" spans="1:29" s="102" customFormat="1" ht="15.75" hidden="1" thickBot="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96"/>
      <c r="Q44" s="530">
        <f t="shared" si="11"/>
        <v>111</v>
      </c>
      <c r="R44" s="664" t="s">
        <v>14</v>
      </c>
      <c r="S44" s="665">
        <f t="shared" si="12"/>
        <v>100</v>
      </c>
      <c r="T44" s="664" t="s">
        <v>14</v>
      </c>
      <c r="U44" s="665">
        <f t="shared" si="13"/>
        <v>100</v>
      </c>
      <c r="V44" s="664" t="s">
        <v>14</v>
      </c>
      <c r="W44" s="665">
        <f t="shared" si="14"/>
        <v>100</v>
      </c>
      <c r="X44" s="666"/>
      <c r="Y44" s="3498"/>
      <c r="Z44" s="50">
        <f t="shared" si="15"/>
        <v>111</v>
      </c>
      <c r="AA44" s="50">
        <f t="shared" si="3"/>
        <v>1</v>
      </c>
      <c r="AB44" s="50">
        <f t="shared" si="4"/>
        <v>1</v>
      </c>
      <c r="AC44" s="50">
        <f t="shared" si="5"/>
        <v>1</v>
      </c>
    </row>
    <row r="45" spans="1:29" ht="15.75" hidden="1" thickBot="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96"/>
      <c r="Q45" s="1263">
        <f t="shared" si="11"/>
        <v>111</v>
      </c>
      <c r="R45" s="667" t="s">
        <v>14</v>
      </c>
      <c r="S45" s="668">
        <f t="shared" si="12"/>
        <v>100</v>
      </c>
      <c r="T45" s="667" t="s">
        <v>14</v>
      </c>
      <c r="U45" s="668">
        <f t="shared" si="13"/>
        <v>100</v>
      </c>
      <c r="V45" s="667" t="s">
        <v>14</v>
      </c>
      <c r="W45" s="668">
        <f t="shared" si="14"/>
        <v>100</v>
      </c>
      <c r="X45" s="1265"/>
      <c r="Y45" s="3498"/>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97"/>
      <c r="Q46" s="1263">
        <f t="shared" si="11"/>
        <v>111</v>
      </c>
      <c r="R46" s="667" t="s">
        <v>14</v>
      </c>
      <c r="S46" s="668">
        <f t="shared" si="12"/>
        <v>100</v>
      </c>
      <c r="T46" s="667" t="s">
        <v>14</v>
      </c>
      <c r="U46" s="668">
        <f t="shared" si="13"/>
        <v>100</v>
      </c>
      <c r="V46" s="667" t="s">
        <v>14</v>
      </c>
      <c r="W46" s="668">
        <f t="shared" si="14"/>
        <v>100</v>
      </c>
      <c r="X46" s="1265"/>
      <c r="Y46" s="3499"/>
      <c r="Z46" s="1264">
        <f t="shared" si="15"/>
        <v>111</v>
      </c>
      <c r="AA46" s="1264">
        <f t="shared" si="3"/>
        <v>1</v>
      </c>
      <c r="AB46" s="1264">
        <f t="shared" si="4"/>
        <v>1</v>
      </c>
      <c r="AC46" s="1264">
        <f t="shared" si="5"/>
        <v>1</v>
      </c>
    </row>
    <row r="47" spans="1:29" ht="15">
      <c r="A47" s="416" t="s">
        <v>1708</v>
      </c>
      <c r="B47" s="417"/>
      <c r="C47" s="1081" t="s">
        <v>0</v>
      </c>
      <c r="D47" s="418"/>
      <c r="E47" s="419">
        <v>35551</v>
      </c>
      <c r="F47" s="420"/>
      <c r="G47" s="421">
        <f>ROUND(G50/G51,0)</f>
        <v>40471</v>
      </c>
      <c r="H47" s="422"/>
      <c r="I47" s="419">
        <v>36847</v>
      </c>
      <c r="J47" s="422"/>
      <c r="K47" s="674"/>
      <c r="L47" s="2495"/>
      <c r="M47" s="2488"/>
      <c r="N47" s="2488"/>
      <c r="O47" s="2488"/>
      <c r="P47" s="3492" t="str">
        <f>A47</f>
        <v>成交单价（元/平方米）</v>
      </c>
      <c r="Q47" s="3492"/>
      <c r="R47" s="3487">
        <f>E47</f>
        <v>35551</v>
      </c>
      <c r="S47" s="3487"/>
      <c r="T47" s="3487">
        <f>G47</f>
        <v>40471</v>
      </c>
      <c r="U47" s="3487"/>
      <c r="V47" s="3487">
        <f>I47</f>
        <v>36847</v>
      </c>
      <c r="W47" s="3487"/>
      <c r="X47" s="385"/>
      <c r="Y47" s="673"/>
      <c r="Z47" s="385"/>
      <c r="AA47" s="385"/>
      <c r="AB47" s="385"/>
      <c r="AC47" s="385"/>
    </row>
    <row r="48" spans="1:29" ht="15.75" thickBot="1">
      <c r="A48" s="423" t="s">
        <v>1709</v>
      </c>
      <c r="B48" s="424"/>
      <c r="C48" s="1082">
        <f>R49</f>
        <v>28881</v>
      </c>
      <c r="D48" s="2141" t="s">
        <v>2138</v>
      </c>
      <c r="E48" s="1083">
        <f>R48</f>
        <v>27107</v>
      </c>
      <c r="F48" s="2142"/>
      <c r="G48" s="1082">
        <f>T48</f>
        <v>31167</v>
      </c>
      <c r="H48" s="2142"/>
      <c r="I48" s="1083">
        <f>V48</f>
        <v>28370</v>
      </c>
      <c r="J48" s="2142"/>
      <c r="K48" s="2144">
        <f>F48+H48+J48</f>
        <v>0</v>
      </c>
      <c r="L48" s="2495"/>
      <c r="M48" s="2488"/>
      <c r="N48" s="2488"/>
      <c r="O48" s="2488"/>
      <c r="P48" s="3492" t="str">
        <f>A48</f>
        <v>比较价值（元/平方米）</v>
      </c>
      <c r="Q48" s="3492"/>
      <c r="R48" s="3487">
        <f>IF(F1="售价",ROUND(PRODUCT(R47,AA7:AA46),0),ROUND(PRODUCT(R47,AA7:AA46),1))</f>
        <v>27107</v>
      </c>
      <c r="S48" s="3487"/>
      <c r="T48" s="3487">
        <f>IF(F1="售价",ROUND(PRODUCT(T47,AB7:AB46),0),ROUND(PRODUCT(T47,AB7:AB46),1))</f>
        <v>31167</v>
      </c>
      <c r="U48" s="3487"/>
      <c r="V48" s="3487">
        <f>IF(F1="售价",ROUND(PRODUCT(V47,AC7:AC46),0),ROUND(PRODUCT(V47,AC7:AC46),1))</f>
        <v>28370</v>
      </c>
      <c r="W48" s="3487"/>
      <c r="X48" s="385"/>
      <c r="Y48" s="385"/>
      <c r="Z48" s="385"/>
      <c r="AA48" s="385"/>
      <c r="AB48" s="385"/>
      <c r="AC48" s="385"/>
    </row>
    <row r="49" spans="1:29" ht="15.75" thickBot="1">
      <c r="A49" s="427" t="s">
        <v>1710</v>
      </c>
      <c r="B49" s="428"/>
      <c r="C49" s="351">
        <f>R49</f>
        <v>28881</v>
      </c>
      <c r="D49" s="351"/>
      <c r="E49" s="351"/>
      <c r="F49" s="351"/>
      <c r="G49" s="351"/>
      <c r="H49" s="351"/>
      <c r="I49" s="351"/>
      <c r="J49" s="351"/>
      <c r="K49" s="675"/>
      <c r="L49" s="2495"/>
      <c r="M49" s="2488"/>
      <c r="N49" s="2488"/>
      <c r="O49" s="2488"/>
      <c r="P49" s="3489" t="str">
        <f>A49</f>
        <v>估价对象XX用房的比较价值（楼面单价，元/平方米）</v>
      </c>
      <c r="Q49" s="3490"/>
      <c r="R49" s="3491">
        <f>IF(F1="售价",ROUND(IF(D48="简单平均",AVERAGE(R48:V48),R48*F48+T48*H48+V48*J48),0),ROUND(IF(D48="简单平均",AVERAGE(R48:V48),R48*F48+T48*H48+V48*J48),1))</f>
        <v>28881</v>
      </c>
      <c r="S49" s="3491"/>
      <c r="T49" s="3491"/>
      <c r="U49" s="3491"/>
      <c r="V49" s="3491"/>
      <c r="W49" s="3491"/>
      <c r="X49" s="385"/>
      <c r="Y49" s="385"/>
      <c r="Z49" s="385"/>
      <c r="AA49" s="385"/>
      <c r="AB49" s="385"/>
      <c r="AC49" s="385"/>
    </row>
    <row r="50" spans="1:29" ht="15">
      <c r="A50" s="2488"/>
      <c r="B50" s="2488"/>
      <c r="C50" s="2488"/>
      <c r="D50" s="2488"/>
      <c r="E50" s="2488">
        <v>2011</v>
      </c>
      <c r="F50" s="2488"/>
      <c r="G50" s="419">
        <v>34400</v>
      </c>
      <c r="H50" s="2488"/>
      <c r="I50" s="2488">
        <v>2015</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v>0.85</v>
      </c>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0.31150625299738066</v>
      </c>
      <c r="F52" s="435" t="str">
        <f>IF(OR(E52&gt;=0.3,E52&lt;=-0.3),"超过30%","")</f>
        <v>超过30%</v>
      </c>
      <c r="G52" s="434">
        <f>IF(G47&lt;G48,G48/G47-1,G47/G48-1)</f>
        <v>0.29852087143453021</v>
      </c>
      <c r="H52" s="435" t="str">
        <f>IF(OR(G52&gt;=0.3,G52&lt;=-0.3),"超过30%","")</f>
        <v/>
      </c>
      <c r="I52" s="434">
        <f>IF(I47&lt;I48,I48/I47-1,I47/I48-1)</f>
        <v>0.29880155093408534</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0.14977681041797331</v>
      </c>
      <c r="F53" s="435" t="str">
        <f>IF(OR(E53&gt;=0.2,E53&lt;=-0.2),"超过20%","")</f>
        <v/>
      </c>
      <c r="G53" s="434">
        <f>IF(G48&lt;I48,I48/G48-1,G48/I48-1)</f>
        <v>9.8590059922453399E-2</v>
      </c>
      <c r="H53" s="435" t="str">
        <f>IF(OR(G53&gt;=0.2,G53&lt;=-0.2),"超过20%","")</f>
        <v/>
      </c>
      <c r="I53" s="434">
        <f>IF(I48&lt;E48,E48/I48-1,I48/E48-1)</f>
        <v>4.6593130925591142E-2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0.13839273156873233</v>
      </c>
      <c r="F54" s="435" t="str">
        <f>IF(OR(E54&gt;=0.3,E54&lt;=-0.3),"超过30%","")</f>
        <v/>
      </c>
      <c r="G54" s="434">
        <f>IF(G47&lt;I47,I47/G47-1,G47/I47-1)</f>
        <v>9.8352647433983753E-2</v>
      </c>
      <c r="H54" s="435" t="str">
        <f>IF(OR(G54&gt;=0.3,G54&lt;=-0.3),"超过30%","")</f>
        <v/>
      </c>
      <c r="I54" s="434">
        <f>IF(I47&lt;E47,E47/I47-1,I47/E47-1)</f>
        <v>3.6454670754690444E-2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1" t="s">
        <v>3577</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工业</v>
      </c>
      <c r="D63" s="462" t="s">
        <v>673</v>
      </c>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v>120</v>
      </c>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t="s">
        <v>3581</v>
      </c>
      <c r="D86" s="485" t="s">
        <v>3582</v>
      </c>
      <c r="E86" s="485" t="s">
        <v>3570</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3567</v>
      </c>
      <c r="D88" s="485" t="s">
        <v>3569</v>
      </c>
      <c r="E88" s="485" t="s">
        <v>3583</v>
      </c>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v>96</v>
      </c>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3571</v>
      </c>
      <c r="D90" s="485" t="s">
        <v>3578</v>
      </c>
      <c r="E90" s="485" t="s">
        <v>3569</v>
      </c>
      <c r="F90" s="485" t="s">
        <v>3584</v>
      </c>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3572</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0</v>
      </c>
      <c r="C94" s="485" t="s">
        <v>3566</v>
      </c>
      <c r="D94" s="485" t="s">
        <v>3567</v>
      </c>
      <c r="E94" s="485" t="s">
        <v>3569</v>
      </c>
      <c r="F94" s="485" t="s">
        <v>3583</v>
      </c>
      <c r="G94" s="513" t="s">
        <v>3585</v>
      </c>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97</v>
      </c>
      <c r="E95" s="467">
        <v>94</v>
      </c>
      <c r="F95" s="467">
        <v>91</v>
      </c>
      <c r="G95" s="467">
        <v>88</v>
      </c>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t="s">
        <v>3573</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t="s">
        <v>3574</v>
      </c>
      <c r="D105" s="485" t="s">
        <v>3586</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t="s">
        <v>3587</v>
      </c>
      <c r="D107" s="485" t="s">
        <v>3575</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t="s">
        <v>3588</v>
      </c>
      <c r="D114" s="485" t="s">
        <v>3589</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t="s">
        <v>3576</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t="s">
        <v>3587</v>
      </c>
      <c r="D122" s="485" t="s">
        <v>3575</v>
      </c>
      <c r="E122" s="3244" t="s">
        <v>3591</v>
      </c>
      <c r="F122" s="485" t="s">
        <v>3590</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16" priority="14" stopIfTrue="1">
      <formula>$F$52="超过30%"</formula>
    </cfRule>
  </conditionalFormatting>
  <conditionalFormatting sqref="E53">
    <cfRule type="expression" dxfId="115" priority="13" stopIfTrue="1">
      <formula>$F$53="超过20%"</formula>
    </cfRule>
  </conditionalFormatting>
  <conditionalFormatting sqref="E54">
    <cfRule type="expression" dxfId="114" priority="12"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5" stopIfTrue="1" operator="containsText" text="超过">
      <formula>NOT(ISERROR(SEARCH("超过",F52)))</formula>
    </cfRule>
  </conditionalFormatting>
  <conditionalFormatting sqref="G52">
    <cfRule type="expression" dxfId="110" priority="10" stopIfTrue="1">
      <formula>$H$52="超过30%"</formula>
    </cfRule>
  </conditionalFormatting>
  <conditionalFormatting sqref="G53">
    <cfRule type="expression" dxfId="109" priority="9" stopIfTrue="1">
      <formula>$H$53="超过20%"</formula>
    </cfRule>
  </conditionalFormatting>
  <conditionalFormatting sqref="G54">
    <cfRule type="expression" dxfId="108" priority="11"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74877416-FA3A-4FBF-9733-0C732664A67A}">
      <formula1>项目类型</formula1>
    </dataValidation>
    <dataValidation type="list" allowBlank="1" showInputMessage="1" showErrorMessage="1" sqref="C43 E43 G43 I43" xr:uid="{E4669577-2179-490B-913C-3C6E0EFF19FB}">
      <formula1>内部装修维护情况</formula1>
    </dataValidation>
    <dataValidation type="list" allowBlank="1" showInputMessage="1" showErrorMessage="1" sqref="E20 I20 G20 C20" xr:uid="{2A56A3EA-861B-4C90-9EB7-F95EC93167D5}">
      <formula1>公共配套设施</formula1>
    </dataValidation>
    <dataValidation type="list" allowBlank="1" showInputMessage="1" showErrorMessage="1" sqref="E18 G18 I18 C18" xr:uid="{919A4252-9B7C-4509-B35C-31D130E6C2B6}">
      <formula1>交通便捷度</formula1>
    </dataValidation>
    <dataValidation type="list" allowBlank="1" showInputMessage="1" showErrorMessage="1" sqref="E24 G24 I24 C24" xr:uid="{7AEE5CB4-DAAC-4A71-AAA3-D5A009C64EC0}">
      <formula1>环境</formula1>
    </dataValidation>
    <dataValidation type="list" allowBlank="1" showInputMessage="1" showErrorMessage="1" sqref="C25 E25 G25 I25" xr:uid="{AAABBBB4-8FB7-4DC4-9236-F06E57D320DA}">
      <formula1>商业临街状况</formula1>
    </dataValidation>
    <dataValidation type="list" allowBlank="1" showInputMessage="1" showErrorMessage="1" sqref="C27 E27 G27 I27" xr:uid="{E545A73C-BE9E-41E8-A63C-EF6E5F3EABCA}">
      <formula1>商业人流量</formula1>
    </dataValidation>
    <dataValidation type="list" allowBlank="1" showInputMessage="1" showErrorMessage="1" sqref="C28 E28 G28 I28" xr:uid="{C466C9FE-A677-4E1B-9D3E-1D8AB3986ADA}">
      <formula1>商业楼层</formula1>
    </dataValidation>
    <dataValidation type="list" allowBlank="1" showInputMessage="1" showErrorMessage="1" sqref="C32 E32 G32 I32" xr:uid="{9612A525-B877-41A6-9DDB-25323ED9FB12}">
      <formula1>商业类型</formula1>
    </dataValidation>
    <dataValidation type="list" allowBlank="1" showInputMessage="1" showErrorMessage="1" sqref="C34 E34 G34 I34" xr:uid="{6E0EED19-D7DE-4610-94D3-5845D14A0228}">
      <formula1>商业建筑结构</formula1>
    </dataValidation>
    <dataValidation type="list" allowBlank="1" showInputMessage="1" showErrorMessage="1" sqref="C35 E35 G35 I35" xr:uid="{25BD69AE-6699-45CE-ADE4-EED7D7654A25}">
      <formula1>商业公共部分装修</formula1>
    </dataValidation>
    <dataValidation type="list" allowBlank="1" showInputMessage="1" showErrorMessage="1" sqref="C37 E37 G37 I37" xr:uid="{940DCD3A-9A5D-4C8A-81E3-EC7BA6CEED25}">
      <formula1>商业基础设施水平</formula1>
    </dataValidation>
    <dataValidation type="list" allowBlank="1" showInputMessage="1" showErrorMessage="1" sqref="C41 E41 G41 I41" xr:uid="{506C3DD4-8AEC-437A-89EC-DF048250A02C}">
      <formula1>商业进深比</formula1>
    </dataValidation>
    <dataValidation type="list" allowBlank="1" showInputMessage="1" showErrorMessage="1" sqref="C42 E42 G42 I42" xr:uid="{89D5A579-AF9E-485D-BB24-C04715B3DC6F}">
      <formula1>商业内部装修</formula1>
    </dataValidation>
    <dataValidation type="list" allowBlank="1" showInputMessage="1" showErrorMessage="1" sqref="E9 G9 I9" xr:uid="{90379A0C-2A8E-473C-97C4-A2165887E3C8}">
      <formula1>商业用途</formula1>
    </dataValidation>
    <dataValidation type="list" allowBlank="1" showInputMessage="1" showErrorMessage="1" sqref="C38 E38 G38 I38" xr:uid="{552CA597-8472-40FF-9F28-6B90FF068AC8}">
      <formula1>商业业态</formula1>
    </dataValidation>
    <dataValidation type="list" allowBlank="1" showInputMessage="1" showErrorMessage="1" sqref="C39 E39 G39 I39" xr:uid="{6DC0CA6A-0070-402B-9F70-0ABA3A086DAD}">
      <formula1>商业层高</formula1>
    </dataValidation>
    <dataValidation type="list" allowBlank="1" showInputMessage="1" showErrorMessage="1" sqref="C8 E8 G8 I8" xr:uid="{23F11EF8-DFA3-4839-AEE3-FCD56C7491AC}">
      <formula1>商业交易情况</formula1>
    </dataValidation>
    <dataValidation type="list" allowBlank="1" showInputMessage="1" showErrorMessage="1" sqref="C16 E16 G16 I16" xr:uid="{34548678-324E-40EC-9276-0F025F7FB466}">
      <formula1>商业繁华度</formula1>
    </dataValidation>
    <dataValidation type="list" allowBlank="1" showInputMessage="1" showErrorMessage="1" sqref="C22 E22 G22 I22" xr:uid="{9540B0B3-3AD2-4C79-BC1B-BFE2955DEFE1}">
      <formula1>基础设施水平</formula1>
    </dataValidation>
    <dataValidation type="list" allowBlank="1" showInputMessage="1" showErrorMessage="1" sqref="F1" xr:uid="{26326DCD-9C64-46D6-8147-4F433D06A1A2}">
      <formula1>"售价,租金"</formula1>
    </dataValidation>
    <dataValidation type="list" allowBlank="1" showInputMessage="1" showErrorMessage="1" sqref="C2" xr:uid="{A68BB1F5-E862-4BF6-9139-54EDF3DC7277}">
      <formula1>"需扣减承租人权益,——"</formula1>
    </dataValidation>
    <dataValidation type="list" allowBlank="1" showInputMessage="1" showErrorMessage="1" sqref="F2" xr:uid="{A70715AD-7081-42ED-8B45-7781EBC740DC}">
      <formula1>估价方法</formula1>
    </dataValidation>
    <dataValidation type="list" allowBlank="1" showInputMessage="1" showErrorMessage="1" sqref="D48" xr:uid="{651FCAEE-50BC-485D-860D-D62FAEFAB712}">
      <formula1>"简单平均,加权平均"</formula1>
    </dataValidation>
    <dataValidation type="list" allowBlank="1" showInputMessage="1" showErrorMessage="1" sqref="E1" xr:uid="{35029E57-2243-4D9B-B7E9-F2C951CDB97E}">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估价对象为北京市房地产，为所有。根据《国有土地使用证》[]，估价对象（分摊）出让国有建设用地使用权面积为763.36平方米，建筑面积为326平方米。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估价对象为北京市房地产,属开发建设的，该项目尚在开发建设中。根据《国有土地使用证》[]，估价对象（分摊）出让国有建设用地使用权面积为763.36平方米，规划建筑面积为326平方米。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9C43-F034-4258-8129-BC2FE41D4314}">
  <sheetPr>
    <tabColor rgb="FF92D050"/>
    <pageSetUpPr fitToPage="1"/>
  </sheetPr>
  <dimension ref="A1:AC131"/>
  <sheetViews>
    <sheetView view="pageBreakPreview" topLeftCell="A7" zoomScaleNormal="70" zoomScaleSheetLayoutView="10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3413</v>
      </c>
      <c r="E1" s="3125" t="s">
        <v>3428</v>
      </c>
      <c r="F1" s="1735" t="s">
        <v>3429</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0.27379999999999999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8.4</v>
      </c>
      <c r="C3" s="344" t="s">
        <v>1665</v>
      </c>
      <c r="D3" s="343">
        <f>IF(D1="",'数据-汇总表'!E3,SUMIF('数据-汇总表'!$C19:$C33,D1,'数据-汇总表'!$E19:$E33))</f>
        <v>326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1666</v>
      </c>
      <c r="B4" s="346"/>
      <c r="C4" s="3475" t="s">
        <v>1667</v>
      </c>
      <c r="D4" s="3476"/>
      <c r="E4" s="3477" t="s">
        <v>1668</v>
      </c>
      <c r="F4" s="3478"/>
      <c r="G4" s="3475" t="s">
        <v>1669</v>
      </c>
      <c r="H4" s="3476"/>
      <c r="I4" s="3475" t="s">
        <v>1670</v>
      </c>
      <c r="J4" s="3476"/>
      <c r="K4" s="537" t="s">
        <v>1671</v>
      </c>
      <c r="L4" s="2487"/>
      <c r="M4" s="2488"/>
      <c r="N4" s="2488"/>
      <c r="O4" s="2488"/>
      <c r="P4" s="3479" t="s">
        <v>1672</v>
      </c>
      <c r="Q4" s="3480"/>
      <c r="R4" s="3462" t="s">
        <v>1668</v>
      </c>
      <c r="S4" s="3463"/>
      <c r="T4" s="3462" t="s">
        <v>1669</v>
      </c>
      <c r="U4" s="3463"/>
      <c r="V4" s="3487" t="s">
        <v>1670</v>
      </c>
      <c r="W4" s="3487"/>
      <c r="X4" s="1265"/>
      <c r="Y4" s="3462" t="s">
        <v>1672</v>
      </c>
      <c r="Z4" s="3463"/>
      <c r="AA4" s="3457" t="s">
        <v>1668</v>
      </c>
      <c r="AB4" s="3487" t="s">
        <v>1669</v>
      </c>
      <c r="AC4" s="3457" t="s">
        <v>1670</v>
      </c>
    </row>
    <row r="5" spans="1:29" ht="15.75" thickBot="1">
      <c r="A5" s="348"/>
      <c r="B5" s="349"/>
      <c r="C5" s="3468" t="s">
        <v>1673</v>
      </c>
      <c r="D5" s="3469"/>
      <c r="E5" s="3521" t="s">
        <v>3563</v>
      </c>
      <c r="F5" s="3467"/>
      <c r="G5" s="3522" t="s">
        <v>3563</v>
      </c>
      <c r="H5" s="3469"/>
      <c r="I5" s="3522" t="s">
        <v>3564</v>
      </c>
      <c r="J5" s="3469"/>
      <c r="K5" s="537"/>
      <c r="L5" s="2487"/>
      <c r="M5" s="2488"/>
      <c r="N5" s="2488"/>
      <c r="O5" s="2488"/>
      <c r="P5" s="3481"/>
      <c r="Q5" s="3482"/>
      <c r="R5" s="3464"/>
      <c r="S5" s="3465"/>
      <c r="T5" s="3464"/>
      <c r="U5" s="3465"/>
      <c r="V5" s="3487"/>
      <c r="W5" s="3487"/>
      <c r="X5" s="1265"/>
      <c r="Y5" s="3464"/>
      <c r="Z5" s="3465"/>
      <c r="AA5" s="3458"/>
      <c r="AB5" s="3487"/>
      <c r="AC5" s="3458"/>
    </row>
    <row r="6" spans="1:29" ht="15.75" hidden="1" thickBot="1">
      <c r="A6" s="350"/>
      <c r="B6" s="351"/>
      <c r="C6" s="3470" t="s">
        <v>1677</v>
      </c>
      <c r="D6" s="3471"/>
      <c r="E6" s="3472" t="s">
        <v>1677</v>
      </c>
      <c r="F6" s="3473"/>
      <c r="G6" s="3470" t="s">
        <v>1677</v>
      </c>
      <c r="H6" s="3471"/>
      <c r="I6" s="3470" t="s">
        <v>1677</v>
      </c>
      <c r="J6" s="3471"/>
      <c r="K6" s="537" t="s">
        <v>1678</v>
      </c>
      <c r="L6" s="2487"/>
      <c r="M6" s="2488"/>
      <c r="N6" s="2488"/>
      <c r="O6" s="2488"/>
      <c r="P6" s="3483"/>
      <c r="Q6" s="3484"/>
      <c r="R6" s="3464"/>
      <c r="S6" s="3465"/>
      <c r="T6" s="3485"/>
      <c r="U6" s="3486"/>
      <c r="V6" s="3487"/>
      <c r="W6" s="3487"/>
      <c r="X6" s="1265"/>
      <c r="Y6" s="3485"/>
      <c r="Z6" s="3486"/>
      <c r="AA6" s="3459"/>
      <c r="AB6" s="3487"/>
      <c r="AC6" s="3459"/>
    </row>
    <row r="7" spans="1:29" s="102" customFormat="1" ht="15.75" thickBot="1">
      <c r="A7" s="352" t="s">
        <v>1679</v>
      </c>
      <c r="B7" s="353"/>
      <c r="C7" s="354">
        <f>'数据-取费表'!B2</f>
        <v>45922</v>
      </c>
      <c r="D7" s="355">
        <v>100</v>
      </c>
      <c r="E7" s="356">
        <f>C7</f>
        <v>45922</v>
      </c>
      <c r="F7" s="357">
        <f>SUMIF(58:58,YEAR(E7)&amp;"-"&amp;MONTH(E7),59:59)</f>
        <v>100</v>
      </c>
      <c r="G7" s="356">
        <f>E7</f>
        <v>45922</v>
      </c>
      <c r="H7" s="355">
        <f>SUMIF(58:58,YEAR(G7)&amp;"-"&amp;MONTH(G7),59:59)</f>
        <v>100</v>
      </c>
      <c r="I7" s="356">
        <f>G7</f>
        <v>45922</v>
      </c>
      <c r="J7" s="355">
        <f>SUMIF(58:58,YEAR(I7)&amp;"-"&amp;MONTH(I7),59:59)</f>
        <v>100</v>
      </c>
      <c r="K7" s="38"/>
      <c r="L7" s="2489"/>
      <c r="M7" s="2440"/>
      <c r="N7" s="2440"/>
      <c r="O7" s="2440"/>
      <c r="P7" s="3460" t="s">
        <v>1680</v>
      </c>
      <c r="Q7" s="3488"/>
      <c r="R7" s="664" t="s">
        <v>14</v>
      </c>
      <c r="S7" s="665">
        <f t="shared" ref="S7:S15" si="0">F7</f>
        <v>100</v>
      </c>
      <c r="T7" s="664" t="s">
        <v>14</v>
      </c>
      <c r="U7" s="665">
        <f t="shared" ref="U7:U15" si="1">H7</f>
        <v>100</v>
      </c>
      <c r="V7" s="664" t="s">
        <v>14</v>
      </c>
      <c r="W7" s="665">
        <f t="shared" ref="W7:W15" si="2">J7</f>
        <v>100</v>
      </c>
      <c r="X7" s="666"/>
      <c r="Y7" s="3460" t="s">
        <v>1680</v>
      </c>
      <c r="Z7" s="3461"/>
      <c r="AA7" s="50">
        <f>D7/F7</f>
        <v>1</v>
      </c>
      <c r="AB7" s="50">
        <f>D7/H7</f>
        <v>1</v>
      </c>
      <c r="AC7" s="50">
        <f>D7/J7</f>
        <v>1</v>
      </c>
    </row>
    <row r="8" spans="1:29" s="102" customFormat="1" ht="15.75" thickBot="1">
      <c r="A8" s="352" t="s">
        <v>1681</v>
      </c>
      <c r="B8" s="353"/>
      <c r="C8" s="358" t="s">
        <v>3565</v>
      </c>
      <c r="D8" s="355">
        <v>100</v>
      </c>
      <c r="E8" s="358" t="s">
        <v>3565</v>
      </c>
      <c r="F8" s="357">
        <f>SUMIF(61:61,E8,62:62)-SUMIF(61:61,C8,62:62)+100</f>
        <v>100</v>
      </c>
      <c r="G8" s="358" t="s">
        <v>3565</v>
      </c>
      <c r="H8" s="355">
        <f>SUMIF(61:61,G8,62:62)-SUMIF(61:61,C8,62:62)+100</f>
        <v>100</v>
      </c>
      <c r="I8" s="358" t="s">
        <v>3577</v>
      </c>
      <c r="J8" s="355">
        <f>SUMIF(61:61,I8,62:62)-SUMIF(61:61,C8,62:62)+100</f>
        <v>103</v>
      </c>
      <c r="K8" s="38"/>
      <c r="L8" s="2489"/>
      <c r="M8" s="2440"/>
      <c r="N8" s="2440"/>
      <c r="O8" s="2440"/>
      <c r="P8" s="3460" t="s">
        <v>1683</v>
      </c>
      <c r="Q8" s="3461"/>
      <c r="R8" s="664" t="s">
        <v>14</v>
      </c>
      <c r="S8" s="665">
        <f t="shared" si="0"/>
        <v>100</v>
      </c>
      <c r="T8" s="664" t="s">
        <v>14</v>
      </c>
      <c r="U8" s="665">
        <f t="shared" si="1"/>
        <v>100</v>
      </c>
      <c r="V8" s="664" t="s">
        <v>14</v>
      </c>
      <c r="W8" s="665">
        <f t="shared" si="2"/>
        <v>103</v>
      </c>
      <c r="X8" s="666"/>
      <c r="Y8" s="3460" t="s">
        <v>1683</v>
      </c>
      <c r="Z8" s="3461"/>
      <c r="AA8" s="50">
        <f t="shared" ref="AA8:AA46" si="3">D8/F8</f>
        <v>1</v>
      </c>
      <c r="AB8" s="50">
        <f t="shared" ref="AB8:AB46" si="4">D8/H8</f>
        <v>1</v>
      </c>
      <c r="AC8" s="50">
        <f t="shared" ref="AC8:AC46" si="5">D8/J8</f>
        <v>0.970873786407767</v>
      </c>
    </row>
    <row r="9" spans="1:29" s="102" customFormat="1" ht="15" thickBot="1">
      <c r="A9" s="359" t="s">
        <v>1684</v>
      </c>
      <c r="B9" s="60" t="s">
        <v>1685</v>
      </c>
      <c r="C9" s="3243" t="s">
        <v>3579</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474"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hidden="1">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74"/>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74"/>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74"/>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74"/>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74"/>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103</v>
      </c>
      <c r="G15" s="383"/>
      <c r="H15" s="380">
        <f>SUMIF(76:76,G16,77:77)-SUMIF(76:76,C16,77:77)+100</f>
        <v>103</v>
      </c>
      <c r="I15" s="381"/>
      <c r="J15" s="380">
        <f>SUMIF(76:76,I16,77:77)-SUMIF(76:76,C16,77:77)+100</f>
        <v>103</v>
      </c>
      <c r="K15" s="540">
        <v>3</v>
      </c>
      <c r="L15" s="2493"/>
      <c r="M15" s="2488"/>
      <c r="N15" s="2488"/>
      <c r="O15" s="2488"/>
      <c r="P15" s="3500" t="s">
        <v>1691</v>
      </c>
      <c r="Q15" s="1263" t="str">
        <f t="shared" si="6"/>
        <v>商业繁华度</v>
      </c>
      <c r="R15" s="667" t="s">
        <v>14</v>
      </c>
      <c r="S15" s="668">
        <f t="shared" si="0"/>
        <v>103</v>
      </c>
      <c r="T15" s="667" t="s">
        <v>14</v>
      </c>
      <c r="U15" s="668">
        <f t="shared" si="1"/>
        <v>103</v>
      </c>
      <c r="V15" s="667" t="s">
        <v>14</v>
      </c>
      <c r="W15" s="668">
        <f t="shared" si="2"/>
        <v>103</v>
      </c>
      <c r="X15" s="1265"/>
      <c r="Y15" s="3493" t="s">
        <v>1691</v>
      </c>
      <c r="Z15" s="1264" t="str">
        <f t="shared" si="7"/>
        <v>商业繁华度</v>
      </c>
      <c r="AA15" s="1264">
        <f t="shared" si="3"/>
        <v>0.970873786407767</v>
      </c>
      <c r="AB15" s="1264">
        <f t="shared" si="4"/>
        <v>0.970873786407767</v>
      </c>
      <c r="AC15" s="1264">
        <f t="shared" si="5"/>
        <v>0.970873786407767</v>
      </c>
    </row>
    <row r="16" spans="1:29" ht="15">
      <c r="A16" s="367"/>
      <c r="B16" s="385"/>
      <c r="C16" s="386" t="s">
        <v>3569</v>
      </c>
      <c r="D16" s="387"/>
      <c r="E16" s="386" t="s">
        <v>3567</v>
      </c>
      <c r="F16" s="388"/>
      <c r="G16" s="386" t="s">
        <v>3567</v>
      </c>
      <c r="H16" s="389"/>
      <c r="I16" s="386" t="s">
        <v>3567</v>
      </c>
      <c r="J16" s="387"/>
      <c r="K16" s="541"/>
      <c r="L16" s="2493"/>
      <c r="M16" s="2488"/>
      <c r="N16" s="2488"/>
      <c r="O16" s="2488"/>
      <c r="P16" s="3501"/>
      <c r="Q16" s="1263"/>
      <c r="R16" s="667"/>
      <c r="S16" s="668"/>
      <c r="T16" s="667"/>
      <c r="U16" s="668"/>
      <c r="V16" s="667"/>
      <c r="W16" s="668"/>
      <c r="X16" s="1265"/>
      <c r="Y16" s="3494"/>
      <c r="Z16" s="1264"/>
      <c r="AA16" s="1264">
        <v>1</v>
      </c>
      <c r="AB16" s="1264">
        <v>1</v>
      </c>
      <c r="AC16" s="1264">
        <v>1</v>
      </c>
    </row>
    <row r="17" spans="1:29" ht="15">
      <c r="A17" s="367"/>
      <c r="B17" s="390" t="s">
        <v>1259</v>
      </c>
      <c r="C17" s="1754">
        <f>估价对象房地状况!C6</f>
        <v>0</v>
      </c>
      <c r="D17" s="389">
        <v>100</v>
      </c>
      <c r="E17" s="391"/>
      <c r="F17" s="392">
        <f>SUMIF(78:78,E18,79:79)-SUMIF(78:78,C18,79:79)+100</f>
        <v>103</v>
      </c>
      <c r="G17" s="393"/>
      <c r="H17" s="394">
        <f>SUMIF(78:78,G18,79:79)-SUMIF(78:78,C18,79:79)+100</f>
        <v>103</v>
      </c>
      <c r="I17" s="391"/>
      <c r="J17" s="394">
        <f>SUMIF(78:78,I18,79:79)-SUMIF(78:78,C18,79:79)+100</f>
        <v>103</v>
      </c>
      <c r="K17" s="540">
        <v>3</v>
      </c>
      <c r="L17" s="2493"/>
      <c r="M17" s="2488"/>
      <c r="N17" s="2488"/>
      <c r="O17" s="2488"/>
      <c r="P17" s="3501"/>
      <c r="Q17" s="1263" t="str">
        <f>B17</f>
        <v>交通便捷度</v>
      </c>
      <c r="R17" s="667" t="s">
        <v>14</v>
      </c>
      <c r="S17" s="668">
        <f>F17</f>
        <v>103</v>
      </c>
      <c r="T17" s="667" t="s">
        <v>14</v>
      </c>
      <c r="U17" s="668">
        <f>H17</f>
        <v>103</v>
      </c>
      <c r="V17" s="667" t="s">
        <v>14</v>
      </c>
      <c r="W17" s="668">
        <f>J17</f>
        <v>103</v>
      </c>
      <c r="X17" s="1265"/>
      <c r="Y17" s="3494"/>
      <c r="Z17" s="1264" t="str">
        <f>Q17</f>
        <v>交通便捷度</v>
      </c>
      <c r="AA17" s="1264">
        <f t="shared" si="3"/>
        <v>0.970873786407767</v>
      </c>
      <c r="AB17" s="1264">
        <f t="shared" si="4"/>
        <v>0.970873786407767</v>
      </c>
      <c r="AC17" s="1264">
        <f t="shared" si="5"/>
        <v>0.970873786407767</v>
      </c>
    </row>
    <row r="18" spans="1:29" ht="15">
      <c r="A18" s="367"/>
      <c r="B18" s="395"/>
      <c r="C18" s="1755" t="s">
        <v>3569</v>
      </c>
      <c r="D18" s="389"/>
      <c r="E18" s="1757" t="s">
        <v>3567</v>
      </c>
      <c r="F18" s="392"/>
      <c r="G18" s="1756" t="s">
        <v>3567</v>
      </c>
      <c r="H18" s="387"/>
      <c r="I18" s="1757" t="s">
        <v>3567</v>
      </c>
      <c r="J18" s="387"/>
      <c r="K18" s="541"/>
      <c r="L18" s="2493"/>
      <c r="M18" s="2488"/>
      <c r="N18" s="2488"/>
      <c r="O18" s="2488"/>
      <c r="P18" s="3501"/>
      <c r="Q18" s="1263"/>
      <c r="R18" s="667"/>
      <c r="S18" s="668"/>
      <c r="T18" s="667"/>
      <c r="U18" s="668"/>
      <c r="V18" s="667"/>
      <c r="W18" s="668"/>
      <c r="X18" s="1265"/>
      <c r="Y18" s="349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501"/>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t="s">
        <v>3567</v>
      </c>
      <c r="D20" s="387"/>
      <c r="E20" s="1752" t="s">
        <v>3567</v>
      </c>
      <c r="F20" s="388"/>
      <c r="G20" s="1751" t="s">
        <v>3567</v>
      </c>
      <c r="H20" s="387"/>
      <c r="I20" s="1752" t="s">
        <v>3567</v>
      </c>
      <c r="J20" s="387"/>
      <c r="K20" s="541"/>
      <c r="L20" s="2493"/>
      <c r="M20" s="2488"/>
      <c r="N20" s="2488"/>
      <c r="O20" s="2488"/>
      <c r="P20" s="3501"/>
      <c r="Q20" s="1263"/>
      <c r="R20" s="667"/>
      <c r="S20" s="668"/>
      <c r="T20" s="667"/>
      <c r="U20" s="668"/>
      <c r="V20" s="667"/>
      <c r="W20" s="668"/>
      <c r="X20" s="1265"/>
      <c r="Y20" s="349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t="s">
        <v>3568</v>
      </c>
      <c r="D22" s="387"/>
      <c r="E22" s="386" t="s">
        <v>3568</v>
      </c>
      <c r="F22" s="388"/>
      <c r="G22" s="386" t="s">
        <v>3568</v>
      </c>
      <c r="H22" s="387"/>
      <c r="I22" s="386" t="s">
        <v>3568</v>
      </c>
      <c r="J22" s="387"/>
      <c r="K22" s="1064"/>
      <c r="L22" s="2493"/>
      <c r="M22" s="2488"/>
      <c r="N22" s="2488"/>
      <c r="O22" s="2488"/>
      <c r="P22" s="3501"/>
      <c r="Q22" s="1263"/>
      <c r="R22" s="667"/>
      <c r="S22" s="668"/>
      <c r="T22" s="667"/>
      <c r="U22" s="668"/>
      <c r="V22" s="667"/>
      <c r="W22" s="668"/>
      <c r="X22" s="1265"/>
      <c r="Y22" s="349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501"/>
      <c r="Q23" s="1263" t="str">
        <f>B23</f>
        <v>自然及人文环境</v>
      </c>
      <c r="R23" s="667" t="s">
        <v>14</v>
      </c>
      <c r="S23" s="668">
        <f>F23</f>
        <v>100</v>
      </c>
      <c r="T23" s="667" t="s">
        <v>14</v>
      </c>
      <c r="U23" s="668">
        <f>H23</f>
        <v>100</v>
      </c>
      <c r="V23" s="667" t="s">
        <v>14</v>
      </c>
      <c r="W23" s="668">
        <f>J23</f>
        <v>100</v>
      </c>
      <c r="X23" s="1265"/>
      <c r="Y23" s="3494"/>
      <c r="Z23" s="1264" t="str">
        <f>Q23</f>
        <v>自然及人文环境</v>
      </c>
      <c r="AA23" s="1264">
        <f t="shared" si="3"/>
        <v>1</v>
      </c>
      <c r="AB23" s="1264">
        <f t="shared" si="4"/>
        <v>1</v>
      </c>
      <c r="AC23" s="1264">
        <f t="shared" si="5"/>
        <v>1</v>
      </c>
    </row>
    <row r="24" spans="1:29" ht="15">
      <c r="A24" s="367"/>
      <c r="B24" s="395"/>
      <c r="C24" s="386" t="s">
        <v>3569</v>
      </c>
      <c r="D24" s="387"/>
      <c r="E24" s="1752" t="s">
        <v>3569</v>
      </c>
      <c r="F24" s="388"/>
      <c r="G24" s="1751" t="s">
        <v>3569</v>
      </c>
      <c r="H24" s="387"/>
      <c r="I24" s="1752" t="s">
        <v>3569</v>
      </c>
      <c r="J24" s="387"/>
      <c r="K24" s="541"/>
      <c r="L24" s="2493"/>
      <c r="M24" s="2488"/>
      <c r="N24" s="2488"/>
      <c r="O24" s="2488"/>
      <c r="P24" s="3501"/>
      <c r="Q24" s="1263"/>
      <c r="R24" s="667"/>
      <c r="S24" s="668"/>
      <c r="T24" s="667"/>
      <c r="U24" s="668"/>
      <c r="V24" s="667"/>
      <c r="W24" s="668"/>
      <c r="X24" s="1265"/>
      <c r="Y24" s="3494"/>
      <c r="Z24" s="1264"/>
      <c r="AA24" s="1264">
        <v>1</v>
      </c>
      <c r="AB24" s="1264">
        <v>1</v>
      </c>
      <c r="AC24" s="1264">
        <v>1</v>
      </c>
    </row>
    <row r="25" spans="1:29" ht="15">
      <c r="A25" s="367"/>
      <c r="B25" s="364" t="s">
        <v>1780</v>
      </c>
      <c r="C25" s="542" t="s">
        <v>3570</v>
      </c>
      <c r="D25" s="374">
        <v>100</v>
      </c>
      <c r="E25" s="542" t="s">
        <v>3570</v>
      </c>
      <c r="F25" s="400">
        <f>SUMIF(86:86,E25,87:87)-SUMIF(86:86,C25,87:87)+100</f>
        <v>100</v>
      </c>
      <c r="G25" s="542" t="s">
        <v>3570</v>
      </c>
      <c r="H25" s="374">
        <f>SUMIF(86:86,G25,87:87)-SUMIF(86:86,C25,87:87)+100</f>
        <v>100</v>
      </c>
      <c r="I25" s="542" t="s">
        <v>3570</v>
      </c>
      <c r="J25" s="374">
        <f>SUMIF(86:86,I25,87:87)-SUMIF(86:86,C25,87:87)+100</f>
        <v>100</v>
      </c>
      <c r="K25" s="538">
        <v>5</v>
      </c>
      <c r="L25" s="2493"/>
      <c r="M25" s="2488"/>
      <c r="N25" s="2488"/>
      <c r="O25" s="2488"/>
      <c r="P25" s="3501"/>
      <c r="Q25" s="1263" t="str">
        <f t="shared" ref="Q25:Q46" si="11">B25</f>
        <v>临街状况</v>
      </c>
      <c r="R25" s="667" t="s">
        <v>14</v>
      </c>
      <c r="S25" s="668">
        <f>F25</f>
        <v>100</v>
      </c>
      <c r="T25" s="667" t="s">
        <v>14</v>
      </c>
      <c r="U25" s="668">
        <f>H25</f>
        <v>100</v>
      </c>
      <c r="V25" s="667" t="s">
        <v>14</v>
      </c>
      <c r="W25" s="668">
        <f>J25</f>
        <v>100</v>
      </c>
      <c r="X25" s="1265"/>
      <c r="Y25" s="3494"/>
      <c r="Z25" s="1264" t="str">
        <f>Q25</f>
        <v>临街状况</v>
      </c>
      <c r="AA25" s="1264">
        <f t="shared" si="3"/>
        <v>1</v>
      </c>
      <c r="AB25" s="1264">
        <f t="shared" si="4"/>
        <v>1</v>
      </c>
      <c r="AC25" s="1264">
        <f t="shared" si="5"/>
        <v>1</v>
      </c>
    </row>
    <row r="26" spans="1:29" ht="15">
      <c r="A26" s="367"/>
      <c r="B26" s="1066" t="s">
        <v>1781</v>
      </c>
      <c r="C26" s="373" t="s">
        <v>3567</v>
      </c>
      <c r="D26" s="374">
        <v>100</v>
      </c>
      <c r="E26" s="373" t="s">
        <v>3567</v>
      </c>
      <c r="F26" s="400">
        <f>SUMIF(88:88,E26,89:89)-SUMIF(88:88,C26,89:89)+100</f>
        <v>100</v>
      </c>
      <c r="G26" s="373" t="s">
        <v>3567</v>
      </c>
      <c r="H26" s="374">
        <f>SUMIF(88:88,G26,89:89)-SUMIF(88:88,C26,89:89)+100</f>
        <v>100</v>
      </c>
      <c r="I26" s="373" t="s">
        <v>3567</v>
      </c>
      <c r="J26" s="374">
        <f>SUMIF(88:88,I26,89:89)-SUMIF(88:88,C26,89:89)+100</f>
        <v>100</v>
      </c>
      <c r="K26" s="539"/>
      <c r="L26" s="2493"/>
      <c r="M26" s="2488"/>
      <c r="N26" s="2488"/>
      <c r="O26" s="2488"/>
      <c r="P26" s="3501"/>
      <c r="Q26" s="1263" t="str">
        <f t="shared" si="11"/>
        <v>平面位置/可视性</v>
      </c>
      <c r="R26" s="667" t="s">
        <v>14</v>
      </c>
      <c r="S26" s="668">
        <f>F26</f>
        <v>100</v>
      </c>
      <c r="T26" s="667" t="s">
        <v>14</v>
      </c>
      <c r="U26" s="668">
        <f>H26</f>
        <v>100</v>
      </c>
      <c r="V26" s="667" t="s">
        <v>14</v>
      </c>
      <c r="W26" s="668">
        <f>J26</f>
        <v>100</v>
      </c>
      <c r="X26" s="1265"/>
      <c r="Y26" s="3494"/>
      <c r="Z26" s="1264" t="str">
        <f>Q26</f>
        <v>平面位置/可视性</v>
      </c>
      <c r="AA26" s="1264">
        <f t="shared" si="3"/>
        <v>1</v>
      </c>
      <c r="AB26" s="1264">
        <f t="shared" si="4"/>
        <v>1</v>
      </c>
      <c r="AC26" s="1264">
        <f t="shared" si="5"/>
        <v>1</v>
      </c>
    </row>
    <row r="27" spans="1:29" s="102" customFormat="1" ht="15">
      <c r="A27" s="370"/>
      <c r="B27" s="390" t="s">
        <v>1782</v>
      </c>
      <c r="C27" s="1807" t="s">
        <v>3578</v>
      </c>
      <c r="D27" s="401">
        <v>100</v>
      </c>
      <c r="E27" s="1807" t="s">
        <v>3571</v>
      </c>
      <c r="F27" s="395">
        <f>SUMIF(90:90,E27,91:91)-SUMIF(90:90,C27,91:91)+100</f>
        <v>103</v>
      </c>
      <c r="G27" s="1807" t="s">
        <v>3571</v>
      </c>
      <c r="H27" s="401">
        <f>SUMIF(90:90,G27,91:91)-SUMIF(90:90,C27,91:91)+100</f>
        <v>103</v>
      </c>
      <c r="I27" s="1807" t="s">
        <v>3578</v>
      </c>
      <c r="J27" s="401">
        <f>SUMIF(90:90,I27,91:91)-SUMIF(90:90,C27,91:91)+100</f>
        <v>100</v>
      </c>
      <c r="K27" s="538">
        <v>3</v>
      </c>
      <c r="L27" s="2489"/>
      <c r="M27" s="2440"/>
      <c r="N27" s="2440"/>
      <c r="O27" s="2440"/>
      <c r="P27" s="3501"/>
      <c r="Q27" s="530" t="str">
        <f t="shared" si="11"/>
        <v>人流量</v>
      </c>
      <c r="R27" s="664" t="s">
        <v>14</v>
      </c>
      <c r="S27" s="665">
        <f>F27</f>
        <v>103</v>
      </c>
      <c r="T27" s="664" t="s">
        <v>14</v>
      </c>
      <c r="U27" s="665">
        <f>H27</f>
        <v>103</v>
      </c>
      <c r="V27" s="664" t="s">
        <v>14</v>
      </c>
      <c r="W27" s="665">
        <f>J27</f>
        <v>100</v>
      </c>
      <c r="X27" s="666"/>
      <c r="Y27" s="3494"/>
      <c r="Z27" s="50" t="str">
        <f>Q27</f>
        <v>人流量</v>
      </c>
      <c r="AA27" s="1264">
        <f>D27/F27</f>
        <v>0.970873786407767</v>
      </c>
      <c r="AB27" s="1264">
        <f>D27/H27</f>
        <v>0.970873786407767</v>
      </c>
      <c r="AC27" s="1264">
        <f>D27/J27</f>
        <v>1</v>
      </c>
    </row>
    <row r="28" spans="1:29" ht="15">
      <c r="A28" s="367"/>
      <c r="B28" s="364" t="s">
        <v>1783</v>
      </c>
      <c r="C28" s="542" t="s">
        <v>3572</v>
      </c>
      <c r="D28" s="374">
        <v>100</v>
      </c>
      <c r="E28" s="542" t="s">
        <v>3572</v>
      </c>
      <c r="F28" s="400">
        <f>SUMIF(92:92,E28,93:93)-SUMIF(92:92,C28,93:93)+100</f>
        <v>100</v>
      </c>
      <c r="G28" s="542" t="s">
        <v>3572</v>
      </c>
      <c r="H28" s="374">
        <f>SUMIF(92:92,G28,93:93)-SUMIF(92:92,C28,93:93)+100</f>
        <v>100</v>
      </c>
      <c r="I28" s="542" t="s">
        <v>3572</v>
      </c>
      <c r="J28" s="374">
        <f>SUMIF(92:92,I28,93:93)-SUMIF(92:92,C28,93:93)+100</f>
        <v>100</v>
      </c>
      <c r="K28" s="539"/>
      <c r="L28" s="2493"/>
      <c r="M28" s="2488"/>
      <c r="N28" s="2488"/>
      <c r="O28" s="2488"/>
      <c r="P28" s="350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94"/>
      <c r="Z28" s="1264" t="str">
        <f t="shared" ref="Z28:Z46" si="15">Q28</f>
        <v>楼层</v>
      </c>
      <c r="AA28" s="1264">
        <f t="shared" si="3"/>
        <v>1</v>
      </c>
      <c r="AB28" s="1264">
        <f t="shared" si="4"/>
        <v>1</v>
      </c>
      <c r="AC28" s="1264">
        <f t="shared" si="5"/>
        <v>1</v>
      </c>
    </row>
    <row r="29" spans="1:29" ht="15.75" thickBot="1">
      <c r="A29" s="367"/>
      <c r="B29" s="1066" t="s">
        <v>3580</v>
      </c>
      <c r="C29" s="3640" t="s">
        <v>3595</v>
      </c>
      <c r="D29" s="374">
        <v>100</v>
      </c>
      <c r="E29" s="373" t="s">
        <v>3567</v>
      </c>
      <c r="F29" s="400">
        <f>SUMIF(94:94,E29,95:95)-SUMIF(94:94,C29,95:95)+100</f>
        <v>100</v>
      </c>
      <c r="G29" s="373" t="s">
        <v>3567</v>
      </c>
      <c r="H29" s="374">
        <f>SUMIF(94:94,G29,95:95)-SUMIF(94:94,C29,95:95)+100</f>
        <v>100</v>
      </c>
      <c r="I29" s="373" t="s">
        <v>3569</v>
      </c>
      <c r="J29" s="374">
        <f>SUMIF(94:94,I29,95:95)-SUMIF(94:94,C29,95:95)+100</f>
        <v>97</v>
      </c>
      <c r="K29" s="539"/>
      <c r="L29" s="2493"/>
      <c r="M29" s="2488"/>
      <c r="N29" s="2488"/>
      <c r="O29" s="2488"/>
      <c r="P29" s="3501"/>
      <c r="Q29" s="1263" t="str">
        <f t="shared" si="11"/>
        <v>居住社区成熟度</v>
      </c>
      <c r="R29" s="667" t="s">
        <v>14</v>
      </c>
      <c r="S29" s="668">
        <f t="shared" si="12"/>
        <v>100</v>
      </c>
      <c r="T29" s="667" t="s">
        <v>14</v>
      </c>
      <c r="U29" s="668">
        <f t="shared" si="13"/>
        <v>100</v>
      </c>
      <c r="V29" s="667" t="s">
        <v>14</v>
      </c>
      <c r="W29" s="668">
        <f t="shared" si="14"/>
        <v>97</v>
      </c>
      <c r="X29" s="1265"/>
      <c r="Y29" s="3494"/>
      <c r="Z29" s="1264" t="str">
        <f t="shared" si="15"/>
        <v>居住社区成熟度</v>
      </c>
      <c r="AA29" s="1264">
        <f t="shared" si="3"/>
        <v>1</v>
      </c>
      <c r="AB29" s="1264">
        <f t="shared" si="4"/>
        <v>1</v>
      </c>
      <c r="AC29" s="1264">
        <f t="shared" si="5"/>
        <v>1.0309278350515463</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501"/>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501"/>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264">
        <f t="shared" si="5"/>
        <v>1</v>
      </c>
    </row>
    <row r="32" spans="1:29" ht="15">
      <c r="A32" s="379" t="s">
        <v>1694</v>
      </c>
      <c r="B32" s="60" t="s">
        <v>1784</v>
      </c>
      <c r="C32" s="1764" t="s">
        <v>3573</v>
      </c>
      <c r="D32" s="405">
        <v>100</v>
      </c>
      <c r="E32" s="1764" t="s">
        <v>3573</v>
      </c>
      <c r="F32" s="400">
        <f>SUMIF(100:100,E32,101:101)-SUMIF(100:100,C32,101:101)+100</f>
        <v>100</v>
      </c>
      <c r="G32" s="1764" t="s">
        <v>3573</v>
      </c>
      <c r="H32" s="374">
        <f>SUMIF(100:100,G32,101:101)-SUMIF(100:100,C32,101:101)+100</f>
        <v>100</v>
      </c>
      <c r="I32" s="1764" t="s">
        <v>3573</v>
      </c>
      <c r="J32" s="405">
        <f>SUMIF(100:100,I32,101:101)-SUMIF(100:100,C32,101:101)+100</f>
        <v>100</v>
      </c>
      <c r="K32" s="538">
        <v>5</v>
      </c>
      <c r="L32" s="2493"/>
      <c r="M32" s="2488"/>
      <c r="N32" s="2488"/>
      <c r="O32" s="2488"/>
      <c r="P32" s="3495" t="s">
        <v>1696</v>
      </c>
      <c r="Q32" s="1263" t="str">
        <f t="shared" si="11"/>
        <v>商业类型</v>
      </c>
      <c r="R32" s="667" t="s">
        <v>14</v>
      </c>
      <c r="S32" s="668">
        <f t="shared" si="12"/>
        <v>100</v>
      </c>
      <c r="T32" s="667" t="s">
        <v>14</v>
      </c>
      <c r="U32" s="668">
        <f t="shared" si="13"/>
        <v>100</v>
      </c>
      <c r="V32" s="667" t="s">
        <v>14</v>
      </c>
      <c r="W32" s="668">
        <f t="shared" si="14"/>
        <v>100</v>
      </c>
      <c r="X32" s="1265"/>
      <c r="Y32" s="3498"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326</v>
      </c>
      <c r="D33" s="119">
        <v>100</v>
      </c>
      <c r="E33" s="369">
        <v>269.83999999999997</v>
      </c>
      <c r="F33" s="364">
        <f>LOOKUP(E33,103:103,104:104)-LOOKUP(C33,103:103,104:104)+100</f>
        <v>100</v>
      </c>
      <c r="G33" s="368">
        <v>412.64</v>
      </c>
      <c r="H33" s="119">
        <f>LOOKUP(G33,103:103,104:104)-LOOKUP(C33,103:103,104:104)+100</f>
        <v>100</v>
      </c>
      <c r="I33" s="368">
        <v>85</v>
      </c>
      <c r="J33" s="119">
        <f>LOOKUP(I33,103:103,104:104)-LOOKUP(C33,103:103,104:104)+100</f>
        <v>102</v>
      </c>
      <c r="K33" s="539"/>
      <c r="L33" s="2492"/>
      <c r="M33" s="2494"/>
      <c r="N33" s="2494"/>
      <c r="O33" s="2494"/>
      <c r="P33" s="3496"/>
      <c r="Q33" s="531" t="str">
        <f t="shared" si="11"/>
        <v>项目建筑规模</v>
      </c>
      <c r="R33" s="669" t="s">
        <v>14</v>
      </c>
      <c r="S33" s="670">
        <f t="shared" si="12"/>
        <v>100</v>
      </c>
      <c r="T33" s="669" t="s">
        <v>14</v>
      </c>
      <c r="U33" s="670">
        <f t="shared" si="13"/>
        <v>100</v>
      </c>
      <c r="V33" s="669" t="s">
        <v>14</v>
      </c>
      <c r="W33" s="670">
        <f t="shared" si="14"/>
        <v>102</v>
      </c>
      <c r="X33" s="671"/>
      <c r="Y33" s="3498"/>
      <c r="Z33" s="672" t="str">
        <f t="shared" si="15"/>
        <v>项目建筑规模</v>
      </c>
      <c r="AA33" s="1264">
        <f t="shared" si="3"/>
        <v>1</v>
      </c>
      <c r="AB33" s="1264">
        <f t="shared" si="4"/>
        <v>1</v>
      </c>
      <c r="AC33" s="1264">
        <f t="shared" si="5"/>
        <v>0.98039215686274506</v>
      </c>
    </row>
    <row r="34" spans="1:29" ht="15">
      <c r="A34" s="409"/>
      <c r="B34" s="364" t="s">
        <v>1698</v>
      </c>
      <c r="C34" s="399" t="s">
        <v>3586</v>
      </c>
      <c r="D34" s="374">
        <v>100</v>
      </c>
      <c r="E34" s="399" t="s">
        <v>3574</v>
      </c>
      <c r="F34" s="400">
        <f>SUMIF(105:105,E34,106:106)-SUMIF(105:105,C34,106:106)+100</f>
        <v>102</v>
      </c>
      <c r="G34" s="399" t="s">
        <v>3574</v>
      </c>
      <c r="H34" s="374">
        <f>SUMIF(105:105,G34,106:106)-SUMIF(105:105,C34,106:106)+100</f>
        <v>102</v>
      </c>
      <c r="I34" s="399" t="s">
        <v>3574</v>
      </c>
      <c r="J34" s="374">
        <f>SUMIF(105:105,I34,106:106)-SUMIF(105:105,C34,106:106)+100</f>
        <v>102</v>
      </c>
      <c r="K34" s="538">
        <v>2</v>
      </c>
      <c r="L34" s="2493"/>
      <c r="M34" s="2488"/>
      <c r="N34" s="2488"/>
      <c r="O34" s="2488"/>
      <c r="P34" s="3496"/>
      <c r="Q34" s="1263" t="str">
        <f t="shared" si="11"/>
        <v>建筑结构</v>
      </c>
      <c r="R34" s="667" t="s">
        <v>14</v>
      </c>
      <c r="S34" s="668">
        <f t="shared" si="12"/>
        <v>102</v>
      </c>
      <c r="T34" s="667" t="s">
        <v>14</v>
      </c>
      <c r="U34" s="668">
        <f t="shared" si="13"/>
        <v>102</v>
      </c>
      <c r="V34" s="667" t="s">
        <v>14</v>
      </c>
      <c r="W34" s="668">
        <f t="shared" si="14"/>
        <v>102</v>
      </c>
      <c r="X34" s="1265"/>
      <c r="Y34" s="3498"/>
      <c r="Z34" s="1264" t="str">
        <f t="shared" si="15"/>
        <v>建筑结构</v>
      </c>
      <c r="AA34" s="1264">
        <f t="shared" si="3"/>
        <v>0.98039215686274506</v>
      </c>
      <c r="AB34" s="1264">
        <f t="shared" si="4"/>
        <v>0.98039215686274506</v>
      </c>
      <c r="AC34" s="1264">
        <f t="shared" si="5"/>
        <v>0.98039215686274506</v>
      </c>
    </row>
    <row r="35" spans="1:29" ht="15">
      <c r="A35" s="409"/>
      <c r="B35" s="364" t="s">
        <v>1785</v>
      </c>
      <c r="C35" s="1760" t="s">
        <v>3575</v>
      </c>
      <c r="D35" s="374">
        <v>100</v>
      </c>
      <c r="E35" s="1760" t="s">
        <v>3575</v>
      </c>
      <c r="F35" s="400">
        <f>SUMIF(107:107,E35,108:108)-SUMIF(107:107,C35,108:108)+100</f>
        <v>100</v>
      </c>
      <c r="G35" s="1760" t="s">
        <v>3575</v>
      </c>
      <c r="H35" s="374">
        <f>SUMIF(107:107,G35,108:108)-SUMIF(107:107,C35,108:108)+100</f>
        <v>100</v>
      </c>
      <c r="I35" s="1760" t="s">
        <v>3575</v>
      </c>
      <c r="J35" s="374">
        <f>SUMIF(107:107,I35,108:108)-SUMIF(107:107,C35,108:108)+100</f>
        <v>100</v>
      </c>
      <c r="K35" s="538">
        <v>2</v>
      </c>
      <c r="L35" s="2493"/>
      <c r="M35" s="2488"/>
      <c r="N35" s="2488"/>
      <c r="O35" s="2488"/>
      <c r="P35" s="3496"/>
      <c r="Q35" s="1263" t="str">
        <f t="shared" si="11"/>
        <v>公共部分装修</v>
      </c>
      <c r="R35" s="667" t="s">
        <v>14</v>
      </c>
      <c r="S35" s="668">
        <f t="shared" si="12"/>
        <v>100</v>
      </c>
      <c r="T35" s="667" t="s">
        <v>14</v>
      </c>
      <c r="U35" s="668">
        <f t="shared" si="13"/>
        <v>100</v>
      </c>
      <c r="V35" s="667" t="s">
        <v>14</v>
      </c>
      <c r="W35" s="668">
        <f t="shared" si="14"/>
        <v>100</v>
      </c>
      <c r="X35" s="1265"/>
      <c r="Y35" s="3498"/>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ROUND(1-(2025-E50)/60,2)</f>
        <v>0.82</v>
      </c>
      <c r="F36" s="400">
        <f>LOOKUP(E36,110:110,111:111)-LOOKUP(C36,110:110,111:111)+100</f>
        <v>102</v>
      </c>
      <c r="G36" s="411">
        <f>ROUND(1-(2025-E50)/60,2)</f>
        <v>0.82</v>
      </c>
      <c r="H36" s="400">
        <f>LOOKUP(G36,110:110,111:111)-LOOKUP(C36,110:110,111:111)+100</f>
        <v>102</v>
      </c>
      <c r="I36" s="411">
        <f>ROUND(1-(2025-I50)/60,2)</f>
        <v>0.88</v>
      </c>
      <c r="J36" s="374">
        <f>LOOKUP(I36,110:110,111:111)-LOOKUP(C36,110:110,111:111)+100</f>
        <v>102</v>
      </c>
      <c r="K36" s="538">
        <v>2</v>
      </c>
      <c r="L36" s="2493"/>
      <c r="M36" s="2488"/>
      <c r="N36" s="2488"/>
      <c r="O36" s="2488"/>
      <c r="P36" s="3496"/>
      <c r="Q36" s="1263" t="str">
        <f t="shared" si="11"/>
        <v>成新度</v>
      </c>
      <c r="R36" s="667" t="s">
        <v>14</v>
      </c>
      <c r="S36" s="668">
        <f t="shared" si="12"/>
        <v>102</v>
      </c>
      <c r="T36" s="667" t="s">
        <v>14</v>
      </c>
      <c r="U36" s="668">
        <f t="shared" si="13"/>
        <v>102</v>
      </c>
      <c r="V36" s="667" t="s">
        <v>14</v>
      </c>
      <c r="W36" s="668">
        <f t="shared" si="14"/>
        <v>102</v>
      </c>
      <c r="X36" s="1265"/>
      <c r="Y36" s="3498"/>
      <c r="Z36" s="1264" t="str">
        <f t="shared" si="15"/>
        <v>成新度</v>
      </c>
      <c r="AA36" s="1264">
        <f t="shared" si="3"/>
        <v>0.98039215686274506</v>
      </c>
      <c r="AB36" s="1264">
        <f t="shared" si="4"/>
        <v>0.98039215686274506</v>
      </c>
      <c r="AC36" s="1264">
        <f t="shared" si="5"/>
        <v>0.98039215686274506</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96"/>
      <c r="Q37" s="530" t="str">
        <f t="shared" si="11"/>
        <v>市政基础设施</v>
      </c>
      <c r="R37" s="664" t="s">
        <v>14</v>
      </c>
      <c r="S37" s="665">
        <f t="shared" si="12"/>
        <v>100</v>
      </c>
      <c r="T37" s="664" t="s">
        <v>14</v>
      </c>
      <c r="U37" s="665">
        <f t="shared" si="13"/>
        <v>100</v>
      </c>
      <c r="V37" s="664" t="s">
        <v>14</v>
      </c>
      <c r="W37" s="665">
        <f t="shared" si="14"/>
        <v>100</v>
      </c>
      <c r="X37" s="666"/>
      <c r="Y37" s="3498"/>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96" t="s">
        <v>1696</v>
      </c>
      <c r="Q38" s="1263" t="str">
        <f t="shared" si="11"/>
        <v>业态</v>
      </c>
      <c r="R38" s="667" t="s">
        <v>14</v>
      </c>
      <c r="S38" s="668">
        <f t="shared" si="12"/>
        <v>100</v>
      </c>
      <c r="T38" s="667" t="s">
        <v>14</v>
      </c>
      <c r="U38" s="668">
        <f t="shared" si="13"/>
        <v>100</v>
      </c>
      <c r="V38" s="667" t="s">
        <v>14</v>
      </c>
      <c r="W38" s="668">
        <f t="shared" si="14"/>
        <v>100</v>
      </c>
      <c r="X38" s="1265"/>
      <c r="Y38" s="3498" t="s">
        <v>1696</v>
      </c>
      <c r="Z38" s="1264" t="str">
        <f t="shared" si="15"/>
        <v>业态</v>
      </c>
      <c r="AA38" s="1264">
        <f t="shared" si="3"/>
        <v>1</v>
      </c>
      <c r="AB38" s="1264">
        <f t="shared" si="4"/>
        <v>1</v>
      </c>
      <c r="AC38" s="1264">
        <f t="shared" si="5"/>
        <v>1</v>
      </c>
    </row>
    <row r="39" spans="1:29" ht="15">
      <c r="A39" s="409"/>
      <c r="B39" s="364" t="s">
        <v>1789</v>
      </c>
      <c r="C39" s="1760" t="s">
        <v>3576</v>
      </c>
      <c r="D39" s="374">
        <v>100</v>
      </c>
      <c r="E39" s="1760" t="s">
        <v>3576</v>
      </c>
      <c r="F39" s="400">
        <f>SUMIF(116:116,E39,117:117)-SUMIF(116:116,C39,117:117)+100</f>
        <v>100</v>
      </c>
      <c r="G39" s="1760" t="s">
        <v>3576</v>
      </c>
      <c r="H39" s="374">
        <f>SUMIF(116:116,G39,117:117)-SUMIF(116:116,C39,117:117)+100</f>
        <v>100</v>
      </c>
      <c r="I39" s="1760" t="s">
        <v>3576</v>
      </c>
      <c r="J39" s="374">
        <f>SUMIF(116:116,I39,117:117)-SUMIF(116:116,C39,117:117)+100</f>
        <v>100</v>
      </c>
      <c r="K39" s="538">
        <v>5</v>
      </c>
      <c r="L39" s="2493"/>
      <c r="M39" s="2488"/>
      <c r="N39" s="2488"/>
      <c r="O39" s="2488"/>
      <c r="P39" s="3496"/>
      <c r="Q39" s="1263" t="str">
        <f t="shared" si="11"/>
        <v>层高</v>
      </c>
      <c r="R39" s="667" t="s">
        <v>14</v>
      </c>
      <c r="S39" s="668">
        <f t="shared" si="12"/>
        <v>100</v>
      </c>
      <c r="T39" s="667" t="s">
        <v>14</v>
      </c>
      <c r="U39" s="668">
        <f t="shared" si="13"/>
        <v>100</v>
      </c>
      <c r="V39" s="667" t="s">
        <v>14</v>
      </c>
      <c r="W39" s="668">
        <f t="shared" si="14"/>
        <v>100</v>
      </c>
      <c r="X39" s="1265"/>
      <c r="Y39" s="3498"/>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96"/>
      <c r="Q40" s="1263" t="str">
        <f t="shared" si="11"/>
        <v>单套建筑面积</v>
      </c>
      <c r="R40" s="667" t="s">
        <v>14</v>
      </c>
      <c r="S40" s="668">
        <f t="shared" si="12"/>
        <v>100</v>
      </c>
      <c r="T40" s="667" t="s">
        <v>14</v>
      </c>
      <c r="U40" s="668">
        <f t="shared" si="13"/>
        <v>100</v>
      </c>
      <c r="V40" s="667" t="s">
        <v>14</v>
      </c>
      <c r="W40" s="668">
        <f t="shared" si="14"/>
        <v>100</v>
      </c>
      <c r="X40" s="1265"/>
      <c r="Y40" s="3498"/>
      <c r="Z40" s="1264" t="str">
        <f t="shared" si="15"/>
        <v>单套建筑面积</v>
      </c>
      <c r="AA40" s="1264">
        <f t="shared" si="3"/>
        <v>1</v>
      </c>
      <c r="AB40" s="1264">
        <f t="shared" si="4"/>
        <v>1</v>
      </c>
      <c r="AC40" s="1264">
        <f t="shared" si="5"/>
        <v>1</v>
      </c>
    </row>
    <row r="41" spans="1:29" s="408" customFormat="1" ht="15">
      <c r="A41" s="406"/>
      <c r="B41" s="400" t="s">
        <v>1791</v>
      </c>
      <c r="C41" s="542" t="s">
        <v>3567</v>
      </c>
      <c r="D41" s="374">
        <v>100</v>
      </c>
      <c r="E41" s="542" t="s">
        <v>3567</v>
      </c>
      <c r="F41" s="400">
        <f>SUMIF(120:120,E41,121:121)-SUMIF(120:120,C41,121:121)+100</f>
        <v>100</v>
      </c>
      <c r="G41" s="542" t="s">
        <v>3567</v>
      </c>
      <c r="H41" s="374">
        <f>SUMIF(120:120,G41,121:121)-SUMIF(120:120,C41,121:121)+100</f>
        <v>100</v>
      </c>
      <c r="I41" s="542" t="s">
        <v>3567</v>
      </c>
      <c r="J41" s="374">
        <f>SUMIF(120:120,I41,121:121)-SUMIF(120:120,C41,121:121)+100</f>
        <v>100</v>
      </c>
      <c r="K41" s="538">
        <v>2</v>
      </c>
      <c r="L41" s="2492"/>
      <c r="M41" s="2494"/>
      <c r="N41" s="2494"/>
      <c r="O41" s="2494"/>
      <c r="P41" s="3496"/>
      <c r="Q41" s="531" t="str">
        <f t="shared" si="11"/>
        <v>进深比</v>
      </c>
      <c r="R41" s="669" t="s">
        <v>14</v>
      </c>
      <c r="S41" s="670">
        <f t="shared" si="12"/>
        <v>100</v>
      </c>
      <c r="T41" s="669" t="s">
        <v>14</v>
      </c>
      <c r="U41" s="670">
        <f t="shared" si="13"/>
        <v>100</v>
      </c>
      <c r="V41" s="669" t="s">
        <v>14</v>
      </c>
      <c r="W41" s="670">
        <f t="shared" si="14"/>
        <v>100</v>
      </c>
      <c r="X41" s="671"/>
      <c r="Y41" s="3498"/>
      <c r="Z41" s="672" t="str">
        <f t="shared" si="15"/>
        <v>进深比</v>
      </c>
      <c r="AA41" s="1264">
        <f t="shared" si="3"/>
        <v>1</v>
      </c>
      <c r="AB41" s="1264">
        <f t="shared" si="4"/>
        <v>1</v>
      </c>
      <c r="AC41" s="1264">
        <f t="shared" si="5"/>
        <v>1</v>
      </c>
    </row>
    <row r="42" spans="1:29" ht="15">
      <c r="A42" s="409"/>
      <c r="B42" s="364" t="s">
        <v>1792</v>
      </c>
      <c r="C42" s="1760" t="s">
        <v>3575</v>
      </c>
      <c r="D42" s="374">
        <v>100</v>
      </c>
      <c r="E42" s="1760" t="s">
        <v>3575</v>
      </c>
      <c r="F42" s="400">
        <f>SUMIF(122:122,E42,123:123)-SUMIF(122:122,C42,123:123)+100</f>
        <v>100</v>
      </c>
      <c r="G42" s="1760" t="s">
        <v>3575</v>
      </c>
      <c r="H42" s="374">
        <f>SUMIF(122:122,G42,123:123)-SUMIF(122:122,C42,123:123)+100</f>
        <v>100</v>
      </c>
      <c r="I42" s="1760" t="s">
        <v>3575</v>
      </c>
      <c r="J42" s="374">
        <f>SUMIF(122:122,I42,123:123)-SUMIF(122:122,C42,123:123)+100</f>
        <v>100</v>
      </c>
      <c r="K42" s="538">
        <v>2</v>
      </c>
      <c r="L42" s="2493"/>
      <c r="M42" s="2488"/>
      <c r="N42" s="2488"/>
      <c r="O42" s="2488"/>
      <c r="P42" s="3496"/>
      <c r="Q42" s="1263" t="str">
        <f t="shared" si="11"/>
        <v>内部装修</v>
      </c>
      <c r="R42" s="667" t="s">
        <v>14</v>
      </c>
      <c r="S42" s="668">
        <f t="shared" si="12"/>
        <v>100</v>
      </c>
      <c r="T42" s="667" t="s">
        <v>14</v>
      </c>
      <c r="U42" s="668">
        <f t="shared" si="13"/>
        <v>100</v>
      </c>
      <c r="V42" s="667" t="s">
        <v>14</v>
      </c>
      <c r="W42" s="668">
        <f t="shared" si="14"/>
        <v>100</v>
      </c>
      <c r="X42" s="1265"/>
      <c r="Y42" s="3498"/>
      <c r="Z42" s="1264" t="str">
        <f t="shared" si="15"/>
        <v>内部装修</v>
      </c>
      <c r="AA42" s="1264">
        <f t="shared" si="3"/>
        <v>1</v>
      </c>
      <c r="AB42" s="1264">
        <f t="shared" si="4"/>
        <v>1</v>
      </c>
      <c r="AC42" s="1264">
        <f t="shared" si="5"/>
        <v>1</v>
      </c>
    </row>
    <row r="43" spans="1:29" ht="15.75" thickBot="1">
      <c r="A43" s="409"/>
      <c r="B43" s="364" t="s">
        <v>1707</v>
      </c>
      <c r="C43" s="1760" t="s">
        <v>3567</v>
      </c>
      <c r="D43" s="374">
        <v>100</v>
      </c>
      <c r="E43" s="1760" t="s">
        <v>3567</v>
      </c>
      <c r="F43" s="400">
        <f>SUMIF(124:124,E43,125:125)-SUMIF(124:124,C43,125:125)+100</f>
        <v>100</v>
      </c>
      <c r="G43" s="1760" t="s">
        <v>3567</v>
      </c>
      <c r="H43" s="374">
        <f>SUMIF(124:124,G43,125:125)-SUMIF(124:124,C43,125:125)+100</f>
        <v>100</v>
      </c>
      <c r="I43" s="1760" t="s">
        <v>3567</v>
      </c>
      <c r="J43" s="374">
        <f>SUMIF(124:124,I43,125:125)-SUMIF(124:124,C43,125:125)+100</f>
        <v>100</v>
      </c>
      <c r="K43" s="538">
        <v>2</v>
      </c>
      <c r="L43" s="2493"/>
      <c r="M43" s="2488"/>
      <c r="N43" s="2488"/>
      <c r="O43" s="2488"/>
      <c r="P43" s="3496"/>
      <c r="Q43" s="1263" t="str">
        <f t="shared" si="11"/>
        <v>内部装修维护情况</v>
      </c>
      <c r="R43" s="667" t="s">
        <v>14</v>
      </c>
      <c r="S43" s="668">
        <f t="shared" si="12"/>
        <v>100</v>
      </c>
      <c r="T43" s="667" t="s">
        <v>14</v>
      </c>
      <c r="U43" s="668">
        <f t="shared" si="13"/>
        <v>100</v>
      </c>
      <c r="V43" s="667" t="s">
        <v>14</v>
      </c>
      <c r="W43" s="668">
        <f t="shared" si="14"/>
        <v>100</v>
      </c>
      <c r="X43" s="1265"/>
      <c r="Y43" s="3498"/>
      <c r="Z43" s="1264" t="str">
        <f t="shared" si="15"/>
        <v>内部装修维护情况</v>
      </c>
      <c r="AA43" s="1264">
        <f t="shared" si="3"/>
        <v>1</v>
      </c>
      <c r="AB43" s="1264">
        <f t="shared" si="4"/>
        <v>1</v>
      </c>
      <c r="AC43" s="1264">
        <f t="shared" si="5"/>
        <v>1</v>
      </c>
    </row>
    <row r="44" spans="1:29" s="102" customFormat="1" ht="15.75" hidden="1" thickBot="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96"/>
      <c r="Q44" s="530">
        <f t="shared" si="11"/>
        <v>111</v>
      </c>
      <c r="R44" s="664" t="s">
        <v>14</v>
      </c>
      <c r="S44" s="665">
        <f t="shared" si="12"/>
        <v>100</v>
      </c>
      <c r="T44" s="664" t="s">
        <v>14</v>
      </c>
      <c r="U44" s="665">
        <f t="shared" si="13"/>
        <v>100</v>
      </c>
      <c r="V44" s="664" t="s">
        <v>14</v>
      </c>
      <c r="W44" s="665">
        <f t="shared" si="14"/>
        <v>100</v>
      </c>
      <c r="X44" s="666"/>
      <c r="Y44" s="3498"/>
      <c r="Z44" s="50">
        <f t="shared" si="15"/>
        <v>111</v>
      </c>
      <c r="AA44" s="50">
        <f t="shared" si="3"/>
        <v>1</v>
      </c>
      <c r="AB44" s="50">
        <f t="shared" si="4"/>
        <v>1</v>
      </c>
      <c r="AC44" s="50">
        <f t="shared" si="5"/>
        <v>1</v>
      </c>
    </row>
    <row r="45" spans="1:29" ht="15.75" hidden="1" thickBot="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96"/>
      <c r="Q45" s="1263">
        <f t="shared" si="11"/>
        <v>111</v>
      </c>
      <c r="R45" s="667" t="s">
        <v>14</v>
      </c>
      <c r="S45" s="668">
        <f t="shared" si="12"/>
        <v>100</v>
      </c>
      <c r="T45" s="667" t="s">
        <v>14</v>
      </c>
      <c r="U45" s="668">
        <f t="shared" si="13"/>
        <v>100</v>
      </c>
      <c r="V45" s="667" t="s">
        <v>14</v>
      </c>
      <c r="W45" s="668">
        <f t="shared" si="14"/>
        <v>100</v>
      </c>
      <c r="X45" s="1265"/>
      <c r="Y45" s="3498"/>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97"/>
      <c r="Q46" s="1263">
        <f t="shared" si="11"/>
        <v>111</v>
      </c>
      <c r="R46" s="667" t="s">
        <v>14</v>
      </c>
      <c r="S46" s="668">
        <f t="shared" si="12"/>
        <v>100</v>
      </c>
      <c r="T46" s="667" t="s">
        <v>14</v>
      </c>
      <c r="U46" s="668">
        <f t="shared" si="13"/>
        <v>100</v>
      </c>
      <c r="V46" s="667" t="s">
        <v>14</v>
      </c>
      <c r="W46" s="668">
        <f t="shared" si="14"/>
        <v>100</v>
      </c>
      <c r="X46" s="1265"/>
      <c r="Y46" s="3499"/>
      <c r="Z46" s="1264">
        <f t="shared" si="15"/>
        <v>111</v>
      </c>
      <c r="AA46" s="1264">
        <f t="shared" si="3"/>
        <v>1</v>
      </c>
      <c r="AB46" s="1264">
        <f t="shared" si="4"/>
        <v>1</v>
      </c>
      <c r="AC46" s="1264">
        <f t="shared" si="5"/>
        <v>1</v>
      </c>
    </row>
    <row r="47" spans="1:29" ht="15">
      <c r="A47" s="416" t="s">
        <v>1708</v>
      </c>
      <c r="B47" s="417"/>
      <c r="C47" s="1081" t="s">
        <v>0</v>
      </c>
      <c r="D47" s="418"/>
      <c r="E47" s="419">
        <v>10.5</v>
      </c>
      <c r="F47" s="420"/>
      <c r="G47" s="421">
        <v>9</v>
      </c>
      <c r="H47" s="422"/>
      <c r="I47" s="419">
        <v>9</v>
      </c>
      <c r="J47" s="422"/>
      <c r="K47" s="674"/>
      <c r="L47" s="2495"/>
      <c r="M47" s="2488"/>
      <c r="N47" s="2488"/>
      <c r="O47" s="2488"/>
      <c r="P47" s="3492" t="str">
        <f>A47</f>
        <v>成交单价（元/平方米）</v>
      </c>
      <c r="Q47" s="3492"/>
      <c r="R47" s="3487">
        <f>E47</f>
        <v>10.5</v>
      </c>
      <c r="S47" s="3487"/>
      <c r="T47" s="3487">
        <f>G47</f>
        <v>9</v>
      </c>
      <c r="U47" s="3487"/>
      <c r="V47" s="3487">
        <f>I47</f>
        <v>9</v>
      </c>
      <c r="W47" s="3487"/>
      <c r="X47" s="385"/>
      <c r="Y47" s="673"/>
      <c r="Z47" s="385"/>
      <c r="AA47" s="385"/>
      <c r="AB47" s="385"/>
      <c r="AC47" s="385"/>
    </row>
    <row r="48" spans="1:29" ht="15.75" thickBot="1">
      <c r="A48" s="423" t="s">
        <v>1709</v>
      </c>
      <c r="B48" s="424"/>
      <c r="C48" s="1082">
        <f>R49</f>
        <v>8.4</v>
      </c>
      <c r="D48" s="2141" t="s">
        <v>2138</v>
      </c>
      <c r="E48" s="1083">
        <f>R48</f>
        <v>9.1999999999999993</v>
      </c>
      <c r="F48" s="2142"/>
      <c r="G48" s="1082">
        <f>T48</f>
        <v>7.9</v>
      </c>
      <c r="H48" s="2142"/>
      <c r="I48" s="1083">
        <f>V48</f>
        <v>8</v>
      </c>
      <c r="J48" s="2142"/>
      <c r="K48" s="2144">
        <f>F48+H48+J48</f>
        <v>0</v>
      </c>
      <c r="L48" s="2495"/>
      <c r="M48" s="2488"/>
      <c r="N48" s="2488"/>
      <c r="O48" s="2488"/>
      <c r="P48" s="3492" t="str">
        <f>A48</f>
        <v>比较价值（元/平方米）</v>
      </c>
      <c r="Q48" s="3492"/>
      <c r="R48" s="3487">
        <f>IF(F1="售价",ROUND(PRODUCT(R47,AA7:AA46),0),ROUND(PRODUCT(R47,AA7:AA46),1))</f>
        <v>9.1999999999999993</v>
      </c>
      <c r="S48" s="3487"/>
      <c r="T48" s="3487">
        <f>IF(F1="售价",ROUND(PRODUCT(T47,AB7:AB46),0),ROUND(PRODUCT(T47,AB7:AB46),1))</f>
        <v>7.9</v>
      </c>
      <c r="U48" s="3487"/>
      <c r="V48" s="3487">
        <f>IF(F1="售价",ROUND(PRODUCT(V47,AC7:AC46),0),ROUND(PRODUCT(V47,AC7:AC46),1))</f>
        <v>8</v>
      </c>
      <c r="W48" s="3487"/>
      <c r="X48" s="385"/>
      <c r="Y48" s="385"/>
      <c r="Z48" s="385"/>
      <c r="AA48" s="385"/>
      <c r="AB48" s="385"/>
      <c r="AC48" s="385"/>
    </row>
    <row r="49" spans="1:29" ht="15.75" thickBot="1">
      <c r="A49" s="427" t="s">
        <v>1710</v>
      </c>
      <c r="B49" s="428"/>
      <c r="C49" s="351">
        <f>R49</f>
        <v>8.4</v>
      </c>
      <c r="D49" s="351"/>
      <c r="E49" s="351"/>
      <c r="F49" s="351"/>
      <c r="G49" s="351"/>
      <c r="H49" s="351"/>
      <c r="I49" s="351"/>
      <c r="J49" s="351"/>
      <c r="K49" s="675"/>
      <c r="L49" s="2495"/>
      <c r="M49" s="2488"/>
      <c r="N49" s="2488"/>
      <c r="O49" s="2488"/>
      <c r="P49" s="3489" t="str">
        <f>A49</f>
        <v>估价对象XX用房的比较价值（楼面单价，元/平方米）</v>
      </c>
      <c r="Q49" s="3490"/>
      <c r="R49" s="3491">
        <f>IF(F1="售价",ROUND(IF(D48="简单平均",AVERAGE(R48:V48),R48*F48+T48*H48+V48*J48),0),ROUND(IF(D48="简单平均",AVERAGE(R48:V48),R48*F48+T48*H48+V48*J48),1))</f>
        <v>8.4</v>
      </c>
      <c r="S49" s="3491"/>
      <c r="T49" s="3491"/>
      <c r="U49" s="3491"/>
      <c r="V49" s="3491"/>
      <c r="W49" s="3491"/>
      <c r="X49" s="385"/>
      <c r="Y49" s="385"/>
      <c r="Z49" s="385"/>
      <c r="AA49" s="385"/>
      <c r="AB49" s="385"/>
      <c r="AC49" s="385"/>
    </row>
    <row r="50" spans="1:29">
      <c r="A50" s="2488"/>
      <c r="B50" s="2488"/>
      <c r="C50" s="2488"/>
      <c r="D50" s="2488"/>
      <c r="E50" s="2488">
        <v>2014</v>
      </c>
      <c r="F50" s="2488"/>
      <c r="G50" s="2488">
        <v>2014</v>
      </c>
      <c r="H50" s="2488"/>
      <c r="I50" s="2488">
        <v>2018</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1711</v>
      </c>
      <c r="D52" s="433"/>
      <c r="E52" s="434">
        <f>IF(E47&lt;E48,E48/E47-1,E47/E48-1)</f>
        <v>0.14130434782608714</v>
      </c>
      <c r="F52" s="435" t="str">
        <f>IF(OR(E52&gt;=0.3,E52&lt;=-0.3),"超过30%","")</f>
        <v/>
      </c>
      <c r="G52" s="434">
        <f>IF(G47&lt;G48,G48/G47-1,G47/G48-1)</f>
        <v>0.13924050632911378</v>
      </c>
      <c r="H52" s="435" t="str">
        <f>IF(OR(G52&gt;=0.3,G52&lt;=-0.3),"超过30%","")</f>
        <v/>
      </c>
      <c r="I52" s="434">
        <f>IF(I47&lt;I48,I48/I47-1,I47/I48-1)</f>
        <v>0.125</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1712</v>
      </c>
      <c r="D53" s="436"/>
      <c r="E53" s="434">
        <f>IF(E48&lt;G48,G48/E48-1,E48/G48-1)</f>
        <v>0.16455696202531622</v>
      </c>
      <c r="F53" s="435" t="str">
        <f>IF(OR(E53&gt;=0.2,E53&lt;=-0.2),"超过20%","")</f>
        <v/>
      </c>
      <c r="G53" s="434">
        <f>IF(G48&lt;I48,I48/G48-1,G48/I48-1)</f>
        <v>1.2658227848101111E-2</v>
      </c>
      <c r="H53" s="435" t="str">
        <f>IF(OR(G53&gt;=0.2,G53&lt;=-0.2),"超过20%","")</f>
        <v/>
      </c>
      <c r="I53" s="434">
        <f>IF(I48&lt;E48,E48/I48-1,I48/E48-1)</f>
        <v>0.14999999999999991</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1713</v>
      </c>
      <c r="D54" s="436"/>
      <c r="E54" s="434">
        <f>IF(E47&lt;G47,G47/E47-1,E47/G47-1)</f>
        <v>0.16666666666666674</v>
      </c>
      <c r="F54" s="435" t="str">
        <f>IF(OR(E54&gt;=0.3,E54&lt;=-0.3),"超过30%","")</f>
        <v/>
      </c>
      <c r="G54" s="434">
        <f>IF(G47&lt;I47,I47/G47-1,G47/I47-1)</f>
        <v>0</v>
      </c>
      <c r="H54" s="435" t="str">
        <f>IF(OR(G54&gt;=0.3,G54&lt;=-0.3),"超过30%","")</f>
        <v/>
      </c>
      <c r="I54" s="434">
        <f>IF(I47&lt;E47,E47/I47-1,I47/E47-1)</f>
        <v>0.16666666666666674</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1714</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1718</v>
      </c>
      <c r="D61" s="31" t="s">
        <v>3577</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t="s">
        <v>673</v>
      </c>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v>105</v>
      </c>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t="s">
        <v>3581</v>
      </c>
      <c r="D86" s="485" t="s">
        <v>3582</v>
      </c>
      <c r="E86" s="485" t="s">
        <v>3570</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3567</v>
      </c>
      <c r="D88" s="485" t="s">
        <v>3569</v>
      </c>
      <c r="E88" s="485" t="s">
        <v>3583</v>
      </c>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v>96</v>
      </c>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3571</v>
      </c>
      <c r="D90" s="485" t="s">
        <v>3578</v>
      </c>
      <c r="E90" s="485" t="s">
        <v>3569</v>
      </c>
      <c r="F90" s="485" t="s">
        <v>3584</v>
      </c>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3572</v>
      </c>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t="str">
        <f>B29</f>
        <v>居住社区成熟度</v>
      </c>
      <c r="C94" s="485" t="s">
        <v>3566</v>
      </c>
      <c r="D94" s="485" t="s">
        <v>3567</v>
      </c>
      <c r="E94" s="485" t="s">
        <v>3569</v>
      </c>
      <c r="F94" s="485" t="s">
        <v>3583</v>
      </c>
      <c r="G94" s="513" t="s">
        <v>3585</v>
      </c>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v>100</v>
      </c>
      <c r="D95" s="467">
        <v>97</v>
      </c>
      <c r="E95" s="467">
        <v>94</v>
      </c>
      <c r="F95" s="467">
        <v>91</v>
      </c>
      <c r="G95" s="467">
        <v>88</v>
      </c>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t="s">
        <v>3573</v>
      </c>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v>96</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t="s">
        <v>3574</v>
      </c>
      <c r="D105" s="485" t="s">
        <v>3586</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t="s">
        <v>3587</v>
      </c>
      <c r="D107" s="485" t="s">
        <v>3575</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t="s">
        <v>3588</v>
      </c>
      <c r="D114" s="485" t="s">
        <v>3589</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t="s">
        <v>3576</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t="s">
        <v>3587</v>
      </c>
      <c r="D122" s="485" t="s">
        <v>3575</v>
      </c>
      <c r="E122" s="3244" t="s">
        <v>3591</v>
      </c>
      <c r="F122" s="485" t="s">
        <v>3590</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01" priority="14" stopIfTrue="1">
      <formula>$F$52="超过30%"</formula>
    </cfRule>
  </conditionalFormatting>
  <conditionalFormatting sqref="E53">
    <cfRule type="expression" dxfId="100" priority="13" stopIfTrue="1">
      <formula>$F$53="超过20%"</formula>
    </cfRule>
  </conditionalFormatting>
  <conditionalFormatting sqref="E54">
    <cfRule type="expression" dxfId="99" priority="12"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5" stopIfTrue="1" operator="containsText" text="超过">
      <formula>NOT(ISERROR(SEARCH("超过",F52)))</formula>
    </cfRule>
  </conditionalFormatting>
  <conditionalFormatting sqref="G52">
    <cfRule type="expression" dxfId="95" priority="10" stopIfTrue="1">
      <formula>$H$52="超过30%"</formula>
    </cfRule>
  </conditionalFormatting>
  <conditionalFormatting sqref="G53">
    <cfRule type="expression" dxfId="94" priority="9" stopIfTrue="1">
      <formula>$H$53="超过20%"</formula>
    </cfRule>
  </conditionalFormatting>
  <conditionalFormatting sqref="G54">
    <cfRule type="expression" dxfId="93" priority="11"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E1" xr:uid="{C4C5CDF4-5962-4FD5-A303-CFC0BEA5E43F}">
      <formula1>"项目模式,单套模式"</formula1>
    </dataValidation>
    <dataValidation type="list" allowBlank="1" showInputMessage="1" showErrorMessage="1" sqref="D48" xr:uid="{8588C7B4-B3F5-478A-8074-3C5C85CC606B}">
      <formula1>"简单平均,加权平均"</formula1>
    </dataValidation>
    <dataValidation type="list" allowBlank="1" showInputMessage="1" showErrorMessage="1" sqref="F2" xr:uid="{A0C0819C-8623-4676-A38D-AAC0B85672D9}">
      <formula1>估价方法</formula1>
    </dataValidation>
    <dataValidation type="list" allowBlank="1" showInputMessage="1" showErrorMessage="1" sqref="C2" xr:uid="{81246AA1-E80E-4583-8AC5-D0DACA24763E}">
      <formula1>"需扣减承租人权益,——"</formula1>
    </dataValidation>
    <dataValidation type="list" allowBlank="1" showInputMessage="1" showErrorMessage="1" sqref="F1" xr:uid="{10E769B3-78A0-4BE2-9627-EC87DDA78CD3}">
      <formula1>"售价,租金"</formula1>
    </dataValidation>
    <dataValidation type="list" allowBlank="1" showInputMessage="1" showErrorMessage="1" sqref="C22 E22 G22 I22" xr:uid="{24034020-3A8B-42CA-B8C2-291F86B7AA47}">
      <formula1>基础设施水平</formula1>
    </dataValidation>
    <dataValidation type="list" allowBlank="1" showInputMessage="1" showErrorMessage="1" sqref="C16 E16 G16 I16" xr:uid="{E44B4BA0-5423-482C-9383-4DF840300E4D}">
      <formula1>商业繁华度</formula1>
    </dataValidation>
    <dataValidation type="list" allowBlank="1" showInputMessage="1" showErrorMessage="1" sqref="C8 E8 G8 I8" xr:uid="{6DE0762A-B332-4857-B5C5-0EC61D87CE4C}">
      <formula1>商业交易情况</formula1>
    </dataValidation>
    <dataValidation type="list" allowBlank="1" showInputMessage="1" showErrorMessage="1" sqref="C39 E39 G39 I39" xr:uid="{211B2B65-E177-4DB8-A1AE-396F84714053}">
      <formula1>商业层高</formula1>
    </dataValidation>
    <dataValidation type="list" allowBlank="1" showInputMessage="1" showErrorMessage="1" sqref="C38 E38 G38 I38" xr:uid="{84F8087E-F6C3-4F84-BC22-36D9B63C9DD8}">
      <formula1>商业业态</formula1>
    </dataValidation>
    <dataValidation type="list" allowBlank="1" showInputMessage="1" showErrorMessage="1" sqref="E9 G9 I9" xr:uid="{365FCB16-A5E5-441D-89A5-C8A476F7C975}">
      <formula1>商业用途</formula1>
    </dataValidation>
    <dataValidation type="list" allowBlank="1" showInputMessage="1" showErrorMessage="1" sqref="C42 E42 G42 I42" xr:uid="{31C26965-764C-4F0E-8C09-11B656AE0A09}">
      <formula1>商业内部装修</formula1>
    </dataValidation>
    <dataValidation type="list" allowBlank="1" showInputMessage="1" showErrorMessage="1" sqref="C41 E41 G41 I41" xr:uid="{0BF40442-2E81-4F28-A3DB-E3D8A14B6C37}">
      <formula1>商业进深比</formula1>
    </dataValidation>
    <dataValidation type="list" allowBlank="1" showInputMessage="1" showErrorMessage="1" sqref="C37 E37 G37 I37" xr:uid="{61FE88F3-4B13-494F-B04C-2E411D0EB65C}">
      <formula1>商业基础设施水平</formula1>
    </dataValidation>
    <dataValidation type="list" allowBlank="1" showInputMessage="1" showErrorMessage="1" sqref="C35 E35 G35 I35" xr:uid="{87E8DA45-F075-4C40-968C-081324395F34}">
      <formula1>商业公共部分装修</formula1>
    </dataValidation>
    <dataValidation type="list" allowBlank="1" showInputMessage="1" showErrorMessage="1" sqref="C34 E34 G34 I34" xr:uid="{A5D97975-5722-4A6F-A28E-64257F896A4D}">
      <formula1>商业建筑结构</formula1>
    </dataValidation>
    <dataValidation type="list" allowBlank="1" showInputMessage="1" showErrorMessage="1" sqref="C32 E32 G32 I32" xr:uid="{543CD721-0DAA-43B8-8817-71BE2FD7D196}">
      <formula1>商业类型</formula1>
    </dataValidation>
    <dataValidation type="list" allowBlank="1" showInputMessage="1" showErrorMessage="1" sqref="C28 E28 G28 I28" xr:uid="{F3C48BB6-D40D-486F-827A-499646F5D6F8}">
      <formula1>商业楼层</formula1>
    </dataValidation>
    <dataValidation type="list" allowBlank="1" showInputMessage="1" showErrorMessage="1" sqref="C27 E27 G27 I27" xr:uid="{038B7713-F4C5-43E5-89DB-97B94D82A4FC}">
      <formula1>商业人流量</formula1>
    </dataValidation>
    <dataValidation type="list" allowBlank="1" showInputMessage="1" showErrorMessage="1" sqref="C25 E25 G25 I25" xr:uid="{487365A6-61C8-4EC0-BD27-DE31A36B6B21}">
      <formula1>商业临街状况</formula1>
    </dataValidation>
    <dataValidation type="list" allowBlank="1" showInputMessage="1" showErrorMessage="1" sqref="E24 G24 I24 C24" xr:uid="{EBC92FD7-2E64-4EB3-A9A4-8099476AED64}">
      <formula1>环境</formula1>
    </dataValidation>
    <dataValidation type="list" allowBlank="1" showInputMessage="1" showErrorMessage="1" sqref="E18 G18 I18 C18" xr:uid="{9401C446-C454-46D4-B400-DFB473CFA7BD}">
      <formula1>交通便捷度</formula1>
    </dataValidation>
    <dataValidation type="list" allowBlank="1" showInputMessage="1" showErrorMessage="1" sqref="E20 I20 G20 C20" xr:uid="{DEBF0D6A-E771-410C-8A57-D143059DAEEC}">
      <formula1>公共配套设施</formula1>
    </dataValidation>
    <dataValidation type="list" allowBlank="1" showInputMessage="1" showErrorMessage="1" sqref="C43 E43 G43 I43" xr:uid="{8FB1847D-A6E2-4EA3-8664-BAB06C0EBD53}">
      <formula1>内部装修维护情况</formula1>
    </dataValidation>
    <dataValidation type="list" allowBlank="1" showInputMessage="1" showErrorMessage="1" sqref="D1" xr:uid="{08FF9CF2-645E-4DF9-9CC6-2BDD54FE2BA7}">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D7AA-4656-4BF6-87E9-DCA35EF46075}">
  <sheetPr>
    <tabColor theme="9" tint="-0.249977111117893"/>
  </sheetPr>
  <dimension ref="A1:U43"/>
  <sheetViews>
    <sheetView tabSelected="1" view="pageBreakPreview" topLeftCell="A19" zoomScaleNormal="100" workbookViewId="0">
      <selection activeCell="M33" sqref="M33"/>
    </sheetView>
  </sheetViews>
  <sheetFormatPr defaultColWidth="9" defaultRowHeight="13.5"/>
  <cols>
    <col min="1" max="1" width="6.375" style="3174" customWidth="1"/>
    <col min="2" max="2" width="19.375" style="3227" customWidth="1"/>
    <col min="3" max="3" width="10.125" style="3174" customWidth="1"/>
    <col min="4" max="4" width="6.375" style="3174" customWidth="1"/>
    <col min="5" max="5" width="7.375" style="3174" customWidth="1"/>
    <col min="6" max="6" width="6.5" style="3174" customWidth="1"/>
    <col min="7" max="7" width="19.375" style="3228" customWidth="1"/>
    <col min="8" max="8" width="19.5" style="3174" customWidth="1"/>
    <col min="9" max="9" width="8.625" style="3174" customWidth="1"/>
    <col min="10" max="10" width="10.5" style="3170" customWidth="1"/>
    <col min="11" max="11" width="7.75" style="3170" customWidth="1"/>
    <col min="12" max="12" width="16.375" style="3170" customWidth="1"/>
    <col min="13" max="16" width="8.125" style="3174" customWidth="1"/>
    <col min="17" max="17" width="9" style="3174"/>
    <col min="18" max="18" width="12" style="3174" customWidth="1"/>
    <col min="19" max="20" width="9" style="3174"/>
    <col min="21" max="21" width="10.25" style="3174" customWidth="1"/>
    <col min="22" max="16384" width="9" style="3174"/>
  </cols>
  <sheetData>
    <row r="1" spans="1:16">
      <c r="A1" s="3523" t="s">
        <v>3430</v>
      </c>
      <c r="B1" s="3523"/>
      <c r="C1" s="3523"/>
      <c r="D1" s="3523"/>
      <c r="E1" s="3523"/>
      <c r="F1" s="3523"/>
      <c r="G1" s="3523"/>
      <c r="H1" s="3523"/>
      <c r="I1" s="3523"/>
      <c r="K1" s="3524" t="s">
        <v>3431</v>
      </c>
      <c r="L1" s="3171" t="s">
        <v>3432</v>
      </c>
      <c r="M1" s="3172">
        <v>0</v>
      </c>
      <c r="N1" s="3173"/>
      <c r="O1" s="3173"/>
    </row>
    <row r="2" spans="1:16" ht="15.75" customHeight="1">
      <c r="A2" s="3175" t="s">
        <v>3433</v>
      </c>
      <c r="B2" s="3176" t="s">
        <v>3434</v>
      </c>
      <c r="C2" s="3525" t="s">
        <v>3435</v>
      </c>
      <c r="D2" s="3526"/>
      <c r="E2" s="3526"/>
      <c r="F2" s="3527"/>
      <c r="G2" s="3179" t="s">
        <v>3436</v>
      </c>
      <c r="H2" s="3528" t="s">
        <v>3437</v>
      </c>
      <c r="I2" s="3528"/>
      <c r="K2" s="3524"/>
      <c r="L2" s="3171" t="s">
        <v>3438</v>
      </c>
      <c r="M2" s="3180" t="s">
        <v>3439</v>
      </c>
      <c r="N2" s="3181"/>
      <c r="O2" s="3181"/>
    </row>
    <row r="3" spans="1:16">
      <c r="A3" s="3179" t="s">
        <v>3440</v>
      </c>
      <c r="B3" s="3182" t="s">
        <v>3441</v>
      </c>
      <c r="C3" s="3529">
        <f ca="1">'成本法 (元)'!B2*10000</f>
        <v>3559869</v>
      </c>
      <c r="D3" s="3530"/>
      <c r="E3" s="3530"/>
      <c r="F3" s="3531"/>
      <c r="G3" s="3179" t="s">
        <v>3442</v>
      </c>
      <c r="H3" s="3182" t="s">
        <v>3443</v>
      </c>
      <c r="I3" s="3183">
        <f>'数据-汇总表'!F19</f>
        <v>326</v>
      </c>
      <c r="J3" s="3170">
        <f ca="1">C3/I3</f>
        <v>10919.843558282209</v>
      </c>
      <c r="K3" s="3524"/>
      <c r="L3" s="3171" t="s">
        <v>3444</v>
      </c>
      <c r="M3" s="3180" t="s">
        <v>3445</v>
      </c>
      <c r="N3" s="3181"/>
      <c r="O3" s="3181"/>
    </row>
    <row r="4" spans="1:16">
      <c r="A4" s="3528" t="s">
        <v>3446</v>
      </c>
      <c r="B4" s="3532" t="s">
        <v>3447</v>
      </c>
      <c r="C4" s="3533">
        <f ca="1">ROUND(C3*(I4-I6)/(1-((1+I6)/(1+I4))^I5),0)</f>
        <v>180930</v>
      </c>
      <c r="D4" s="3534"/>
      <c r="E4" s="3534"/>
      <c r="F4" s="3535"/>
      <c r="G4" s="3528" t="s">
        <v>3448</v>
      </c>
      <c r="H4" s="3184" t="s">
        <v>3449</v>
      </c>
      <c r="I4" s="3185">
        <v>0.05</v>
      </c>
      <c r="J4" s="3170">
        <f ca="1">'[1]比较法-商业'!C49*365/J3</f>
        <v>0.64510997455243435</v>
      </c>
      <c r="K4" s="3524"/>
      <c r="L4" s="3171" t="s">
        <v>3450</v>
      </c>
      <c r="M4" s="3186">
        <f>ROUND(1-(1-M1)*M2/M3,2)</f>
        <v>0.57999999999999996</v>
      </c>
      <c r="N4" s="3181"/>
      <c r="O4" s="3181"/>
    </row>
    <row r="5" spans="1:16" s="3190" customFormat="1" ht="18" customHeight="1">
      <c r="A5" s="3528"/>
      <c r="B5" s="3532"/>
      <c r="C5" s="3536"/>
      <c r="D5" s="3537"/>
      <c r="E5" s="3537"/>
      <c r="F5" s="3538"/>
      <c r="G5" s="3528"/>
      <c r="H5" s="3182" t="s">
        <v>3451</v>
      </c>
      <c r="I5" s="3187">
        <f>项目基本情况!H15</f>
        <v>30.78</v>
      </c>
      <c r="J5" s="3188"/>
      <c r="K5" s="3524"/>
      <c r="L5" s="3171" t="s">
        <v>3452</v>
      </c>
      <c r="M5" s="3189">
        <v>0.5</v>
      </c>
      <c r="N5" s="3181"/>
      <c r="O5" s="3181"/>
    </row>
    <row r="6" spans="1:16" s="3190" customFormat="1" ht="18" customHeight="1">
      <c r="A6" s="3528"/>
      <c r="B6" s="3532"/>
      <c r="C6" s="3539"/>
      <c r="D6" s="3540"/>
      <c r="E6" s="3540"/>
      <c r="F6" s="3541"/>
      <c r="G6" s="3528"/>
      <c r="H6" s="3182" t="s">
        <v>3453</v>
      </c>
      <c r="I6" s="3185">
        <v>0.02</v>
      </c>
      <c r="J6" s="3191"/>
      <c r="K6" s="3542" t="s">
        <v>3454</v>
      </c>
      <c r="L6" s="3192" t="s">
        <v>3455</v>
      </c>
      <c r="M6" s="3193" t="s">
        <v>3456</v>
      </c>
      <c r="N6" s="3193" t="s">
        <v>3457</v>
      </c>
      <c r="O6" s="3193" t="s">
        <v>3458</v>
      </c>
      <c r="P6" s="3193" t="s">
        <v>3452</v>
      </c>
    </row>
    <row r="7" spans="1:16" s="3190" customFormat="1" ht="17.25" customHeight="1">
      <c r="A7" s="3179" t="s">
        <v>3459</v>
      </c>
      <c r="B7" s="3182" t="s">
        <v>3460</v>
      </c>
      <c r="C7" s="3525">
        <f ca="1">ROUND(C23*I7,0)</f>
        <v>1140470</v>
      </c>
      <c r="D7" s="3526"/>
      <c r="E7" s="3526"/>
      <c r="F7" s="3527"/>
      <c r="G7" s="3179" t="s">
        <v>3461</v>
      </c>
      <c r="H7" s="3182" t="s">
        <v>3462</v>
      </c>
      <c r="I7" s="3194">
        <f>'数据-取费表'!N6</f>
        <v>0.7</v>
      </c>
      <c r="K7" s="3542"/>
      <c r="L7" s="3192" t="s">
        <v>3463</v>
      </c>
      <c r="M7" s="3193">
        <v>100</v>
      </c>
      <c r="N7" s="3193" t="s">
        <v>3464</v>
      </c>
      <c r="O7" s="3193">
        <v>60</v>
      </c>
      <c r="P7" s="3195">
        <v>0.3</v>
      </c>
    </row>
    <row r="8" spans="1:16" s="3190" customFormat="1" ht="23.25" customHeight="1">
      <c r="A8" s="3175" t="s">
        <v>3465</v>
      </c>
      <c r="B8" s="3182" t="s">
        <v>3466</v>
      </c>
      <c r="C8" s="3525">
        <f>ROUND(I8*I3,0)</f>
        <v>1141000</v>
      </c>
      <c r="D8" s="3526"/>
      <c r="E8" s="3526"/>
      <c r="F8" s="3527"/>
      <c r="G8" s="3179" t="s">
        <v>3467</v>
      </c>
      <c r="H8" s="3182" t="s">
        <v>3468</v>
      </c>
      <c r="I8" s="3196">
        <f>'数据-取费表'!L6</f>
        <v>3500</v>
      </c>
      <c r="J8" s="3197">
        <f t="shared" ref="J8:J10" si="0">D36</f>
        <v>8.4</v>
      </c>
      <c r="K8" s="3542"/>
      <c r="L8" s="3192" t="s">
        <v>3469</v>
      </c>
      <c r="M8" s="3193">
        <v>100</v>
      </c>
      <c r="N8" s="3193" t="s">
        <v>3464</v>
      </c>
      <c r="O8" s="3193">
        <v>60</v>
      </c>
      <c r="P8" s="3195">
        <v>0.5</v>
      </c>
    </row>
    <row r="9" spans="1:16" s="3190" customFormat="1" ht="18" customHeight="1">
      <c r="A9" s="3175" t="s">
        <v>3470</v>
      </c>
      <c r="B9" s="3182" t="s">
        <v>3471</v>
      </c>
      <c r="C9" s="3525">
        <f>ROUND(C8*H9,0)</f>
        <v>57050</v>
      </c>
      <c r="D9" s="3526"/>
      <c r="E9" s="3526"/>
      <c r="F9" s="3527"/>
      <c r="G9" s="3179" t="s">
        <v>3472</v>
      </c>
      <c r="H9" s="3543">
        <f>'数据-取费表'!B33</f>
        <v>0.05</v>
      </c>
      <c r="I9" s="3543"/>
      <c r="J9" s="3197">
        <f t="shared" si="0"/>
        <v>5.5</v>
      </c>
      <c r="K9" s="3542"/>
      <c r="L9" s="3192" t="s">
        <v>3473</v>
      </c>
      <c r="M9" s="3193">
        <v>100</v>
      </c>
      <c r="N9" s="3193" t="s">
        <v>3464</v>
      </c>
      <c r="O9" s="3193">
        <v>60</v>
      </c>
      <c r="P9" s="3195">
        <f>1-P7-P8</f>
        <v>0.19999999999999996</v>
      </c>
    </row>
    <row r="10" spans="1:16" s="3190" customFormat="1" ht="18" customHeight="1">
      <c r="A10" s="3175" t="s">
        <v>3474</v>
      </c>
      <c r="B10" s="3182" t="s">
        <v>3475</v>
      </c>
      <c r="C10" s="3525">
        <f>ROUND(C8*H10,0)</f>
        <v>0</v>
      </c>
      <c r="D10" s="3526"/>
      <c r="E10" s="3526"/>
      <c r="F10" s="3527"/>
      <c r="G10" s="3179" t="s">
        <v>3472</v>
      </c>
      <c r="H10" s="3543">
        <v>0</v>
      </c>
      <c r="I10" s="3543"/>
      <c r="J10" s="3197">
        <f t="shared" si="0"/>
        <v>7.5</v>
      </c>
      <c r="K10" s="3542"/>
      <c r="L10" s="3198" t="s">
        <v>3452</v>
      </c>
      <c r="M10" s="3199">
        <f>1-M5</f>
        <v>0.5</v>
      </c>
      <c r="N10" s="3193" t="s">
        <v>3450</v>
      </c>
      <c r="O10" s="3200">
        <f>ROUND((O7*P7+O8*P8+O9*P9)/100,2)</f>
        <v>0.6</v>
      </c>
      <c r="P10" s="3201"/>
    </row>
    <row r="11" spans="1:16" s="3190" customFormat="1" ht="29.25" customHeight="1">
      <c r="A11" s="3175" t="s">
        <v>3476</v>
      </c>
      <c r="B11" s="3182" t="s">
        <v>3477</v>
      </c>
      <c r="C11" s="3525">
        <f>ROUND(I11*I3,0)</f>
        <v>65200</v>
      </c>
      <c r="D11" s="3526"/>
      <c r="E11" s="3526"/>
      <c r="F11" s="3527"/>
      <c r="G11" s="3179" t="s">
        <v>3478</v>
      </c>
      <c r="H11" s="3182" t="s">
        <v>3479</v>
      </c>
      <c r="I11" s="3179">
        <f>'数据-取费表'!B28</f>
        <v>200</v>
      </c>
      <c r="J11" s="3188"/>
      <c r="K11" s="3170"/>
      <c r="L11" s="3170"/>
      <c r="N11" s="3190">
        <f>(M4+O10)/2</f>
        <v>0.59</v>
      </c>
    </row>
    <row r="12" spans="1:16" s="3190" customFormat="1" ht="18" customHeight="1">
      <c r="A12" s="3175" t="s">
        <v>3480</v>
      </c>
      <c r="B12" s="3182" t="s">
        <v>3481</v>
      </c>
      <c r="C12" s="3525">
        <f>ROUND(C8*H12,0)</f>
        <v>22820</v>
      </c>
      <c r="D12" s="3526"/>
      <c r="E12" s="3526"/>
      <c r="F12" s="3527"/>
      <c r="G12" s="3179" t="s">
        <v>3472</v>
      </c>
      <c r="H12" s="3543">
        <f>'数据-取费表'!B36</f>
        <v>0.02</v>
      </c>
      <c r="I12" s="3543"/>
      <c r="J12" s="3202" t="s">
        <v>3482</v>
      </c>
      <c r="L12" s="3203"/>
    </row>
    <row r="13" spans="1:16" s="3190" customFormat="1" ht="18" customHeight="1">
      <c r="A13" s="3175" t="s">
        <v>3483</v>
      </c>
      <c r="B13" s="3182" t="s">
        <v>3484</v>
      </c>
      <c r="C13" s="3525">
        <f>SUM(C8:F12)</f>
        <v>1286070</v>
      </c>
      <c r="D13" s="3526"/>
      <c r="E13" s="3526"/>
      <c r="F13" s="3527"/>
      <c r="G13" s="3528" t="s">
        <v>3485</v>
      </c>
      <c r="H13" s="3528"/>
      <c r="I13" s="3528"/>
      <c r="J13" s="3202" t="s">
        <v>3486</v>
      </c>
      <c r="L13" s="3203"/>
    </row>
    <row r="14" spans="1:16" s="3190" customFormat="1" ht="18" customHeight="1">
      <c r="A14" s="3175" t="s">
        <v>3487</v>
      </c>
      <c r="B14" s="3182" t="s">
        <v>3488</v>
      </c>
      <c r="C14" s="3525">
        <f>ROUND(C13*H14,0)</f>
        <v>38582</v>
      </c>
      <c r="D14" s="3526"/>
      <c r="E14" s="3526"/>
      <c r="F14" s="3527"/>
      <c r="G14" s="3179" t="s">
        <v>3489</v>
      </c>
      <c r="H14" s="3543">
        <f>'数据-取费表'!B37</f>
        <v>0.03</v>
      </c>
      <c r="I14" s="3543"/>
      <c r="J14" s="3188"/>
      <c r="L14" s="3203"/>
    </row>
    <row r="15" spans="1:16" s="3190" customFormat="1" ht="18" customHeight="1">
      <c r="A15" s="3175" t="s">
        <v>3490</v>
      </c>
      <c r="B15" s="3182" t="s">
        <v>3491</v>
      </c>
      <c r="C15" s="3548">
        <f>H15</f>
        <v>0.03</v>
      </c>
      <c r="D15" s="3549"/>
      <c r="E15" s="3546" t="str">
        <f>E18</f>
        <v>V</v>
      </c>
      <c r="F15" s="3547"/>
      <c r="G15" s="3179" t="s">
        <v>3492</v>
      </c>
      <c r="H15" s="3543">
        <f>'数据-取费表'!B38</f>
        <v>0.03</v>
      </c>
      <c r="I15" s="3543"/>
      <c r="J15" s="3206"/>
      <c r="K15" s="3207"/>
    </row>
    <row r="16" spans="1:16" s="3190" customFormat="1" ht="18" customHeight="1">
      <c r="A16" s="3208" t="s">
        <v>3493</v>
      </c>
      <c r="B16" s="3209" t="s">
        <v>3494</v>
      </c>
      <c r="C16" s="3177">
        <f ca="1">C17</f>
        <v>30401</v>
      </c>
      <c r="D16" s="3178" t="s">
        <v>3495</v>
      </c>
      <c r="E16" s="3210">
        <f ca="1">C18</f>
        <v>6.8849999999999998E-4</v>
      </c>
      <c r="F16" s="3205" t="str">
        <f>E18</f>
        <v>V</v>
      </c>
      <c r="G16" s="3525" t="s">
        <v>3496</v>
      </c>
      <c r="H16" s="3526"/>
      <c r="I16" s="3527"/>
      <c r="J16" s="3188"/>
      <c r="K16" s="3170"/>
    </row>
    <row r="17" spans="1:21" s="3190" customFormat="1" ht="18" customHeight="1">
      <c r="A17" s="3175" t="s">
        <v>3497</v>
      </c>
      <c r="B17" s="3182" t="s">
        <v>3498</v>
      </c>
      <c r="C17" s="3525">
        <f ca="1">ROUND((C13+C14)*I18*(I17/2),0)</f>
        <v>30401</v>
      </c>
      <c r="D17" s="3526"/>
      <c r="E17" s="3526"/>
      <c r="F17" s="3527"/>
      <c r="G17" s="3177" t="s">
        <v>3499</v>
      </c>
      <c r="H17" s="3182" t="s">
        <v>3500</v>
      </c>
      <c r="I17" s="3179">
        <f>'数据-取费表'!B20</f>
        <v>1.5</v>
      </c>
      <c r="J17" s="3202" t="s">
        <v>3501</v>
      </c>
      <c r="K17" s="3170"/>
      <c r="L17" s="3170"/>
    </row>
    <row r="18" spans="1:21" s="3190" customFormat="1" ht="18" customHeight="1">
      <c r="A18" s="3175" t="s">
        <v>3502</v>
      </c>
      <c r="B18" s="3182" t="s">
        <v>3503</v>
      </c>
      <c r="C18" s="3544">
        <f ca="1">H15*I18*I17/2</f>
        <v>6.8849999999999998E-4</v>
      </c>
      <c r="D18" s="3545"/>
      <c r="E18" s="3546" t="s">
        <v>3504</v>
      </c>
      <c r="F18" s="3547"/>
      <c r="G18" s="3177" t="s">
        <v>3505</v>
      </c>
      <c r="H18" s="3182" t="s">
        <v>3506</v>
      </c>
      <c r="I18" s="3211">
        <f ca="1">'数据-取费表'!B40</f>
        <v>3.0599999999999999E-2</v>
      </c>
      <c r="J18" s="3202" t="s">
        <v>3507</v>
      </c>
      <c r="K18" s="3170"/>
      <c r="L18" s="3170"/>
    </row>
    <row r="19" spans="1:21" s="3190" customFormat="1" ht="27" customHeight="1">
      <c r="A19" s="3175" t="s">
        <v>3508</v>
      </c>
      <c r="B19" s="3182" t="s">
        <v>3509</v>
      </c>
      <c r="C19" s="3177">
        <f>C20</f>
        <v>132465</v>
      </c>
      <c r="D19" s="3178" t="s">
        <v>3495</v>
      </c>
      <c r="E19" s="3178">
        <f>C21</f>
        <v>3.0000000000000001E-3</v>
      </c>
      <c r="F19" s="3205" t="str">
        <f>E21</f>
        <v>V</v>
      </c>
      <c r="G19" s="3525" t="s">
        <v>3510</v>
      </c>
      <c r="H19" s="3526"/>
      <c r="I19" s="3527"/>
      <c r="J19" s="3188"/>
      <c r="K19" s="3170"/>
      <c r="L19" s="3170"/>
      <c r="U19" s="3190" t="s">
        <v>3511</v>
      </c>
    </row>
    <row r="20" spans="1:21" s="3190" customFormat="1" ht="26.25" customHeight="1">
      <c r="A20" s="3175" t="s">
        <v>3512</v>
      </c>
      <c r="B20" s="3182" t="s">
        <v>3513</v>
      </c>
      <c r="C20" s="3525">
        <f>ROUND((C13+C14)*I20,0)</f>
        <v>132465</v>
      </c>
      <c r="D20" s="3526"/>
      <c r="E20" s="3526"/>
      <c r="F20" s="3527"/>
      <c r="G20" s="3179" t="s">
        <v>3514</v>
      </c>
      <c r="H20" s="3552" t="s">
        <v>3515</v>
      </c>
      <c r="I20" s="3554">
        <f>'数据-取费表'!Q6</f>
        <v>0.1</v>
      </c>
      <c r="J20" s="3202" t="s">
        <v>3516</v>
      </c>
      <c r="K20" s="3170"/>
      <c r="L20" s="3170"/>
      <c r="R20" s="3213" t="s">
        <v>3429</v>
      </c>
      <c r="S20" s="3213">
        <v>15</v>
      </c>
      <c r="T20" s="3213">
        <v>10</v>
      </c>
      <c r="U20" s="3214">
        <f>ROUND(U21*U22/365,1)</f>
        <v>5.5</v>
      </c>
    </row>
    <row r="21" spans="1:21" s="3190" customFormat="1" ht="27" customHeight="1">
      <c r="A21" s="3175" t="s">
        <v>3512</v>
      </c>
      <c r="B21" s="3182" t="s">
        <v>3517</v>
      </c>
      <c r="C21" s="3548">
        <f>H15*I20</f>
        <v>3.0000000000000001E-3</v>
      </c>
      <c r="D21" s="3549"/>
      <c r="E21" s="3546" t="s">
        <v>3504</v>
      </c>
      <c r="F21" s="3547"/>
      <c r="G21" s="3179" t="s">
        <v>3518</v>
      </c>
      <c r="H21" s="3553"/>
      <c r="I21" s="3554"/>
      <c r="J21" s="3188"/>
      <c r="K21" s="3170"/>
      <c r="L21" s="3170"/>
      <c r="R21" s="3213" t="s">
        <v>3519</v>
      </c>
      <c r="S21" s="3213">
        <f>S20*365*0.8/S22</f>
        <v>87600</v>
      </c>
      <c r="T21" s="3213">
        <v>50000</v>
      </c>
      <c r="U21" s="3213">
        <f>'比较法-商业-售价'!C48</f>
        <v>28881</v>
      </c>
    </row>
    <row r="22" spans="1:21" s="3190" customFormat="1" ht="18" customHeight="1">
      <c r="A22" s="3175" t="s">
        <v>3520</v>
      </c>
      <c r="B22" s="3182" t="s">
        <v>3521</v>
      </c>
      <c r="C22" s="3548">
        <f>ROUND(H22/1.05,4)</f>
        <v>5.33E-2</v>
      </c>
      <c r="D22" s="3549"/>
      <c r="E22" s="3546" t="s">
        <v>3504</v>
      </c>
      <c r="F22" s="3547"/>
      <c r="G22" s="3179" t="s">
        <v>3522</v>
      </c>
      <c r="H22" s="3543">
        <f>'数据-取费表'!B41</f>
        <v>5.6000000000000001E-2</v>
      </c>
      <c r="I22" s="3543"/>
      <c r="J22" s="3215"/>
      <c r="K22" s="3170"/>
      <c r="L22" s="3170"/>
      <c r="R22" s="3213" t="s">
        <v>3523</v>
      </c>
      <c r="S22" s="3216">
        <v>0.05</v>
      </c>
      <c r="T22" s="3216">
        <f>T20*365*0.8/T21</f>
        <v>5.8400000000000001E-2</v>
      </c>
      <c r="U22" s="3217">
        <v>7.0000000000000007E-2</v>
      </c>
    </row>
    <row r="23" spans="1:21" s="3190" customFormat="1" ht="18" customHeight="1">
      <c r="A23" s="3175" t="s">
        <v>3524</v>
      </c>
      <c r="B23" s="3182" t="s">
        <v>3525</v>
      </c>
      <c r="C23" s="3525">
        <f ca="1">ROUND((C13+C14+C17+C20)/(1-H15-C18-C21-C22),0)</f>
        <v>1629243</v>
      </c>
      <c r="D23" s="3526"/>
      <c r="E23" s="3526"/>
      <c r="F23" s="3527"/>
      <c r="G23" s="3525" t="s">
        <v>3526</v>
      </c>
      <c r="H23" s="3526"/>
      <c r="I23" s="3527"/>
      <c r="J23" s="3215"/>
      <c r="K23" s="3170"/>
      <c r="L23" s="3170"/>
    </row>
    <row r="24" spans="1:21" s="3190" customFormat="1" ht="18" customHeight="1">
      <c r="A24" s="3175" t="s">
        <v>3527</v>
      </c>
      <c r="B24" s="3182" t="s">
        <v>3528</v>
      </c>
      <c r="C24" s="3204">
        <f ca="1">C27+C28</f>
        <v>4398</v>
      </c>
      <c r="D24" s="3218" t="s">
        <v>3529</v>
      </c>
      <c r="E24" s="3550">
        <f>H29+E26+H25</f>
        <v>0.18028571428571427</v>
      </c>
      <c r="F24" s="3551"/>
      <c r="G24" s="3528" t="s">
        <v>3530</v>
      </c>
      <c r="H24" s="3528"/>
      <c r="I24" s="3528"/>
      <c r="J24" s="3215"/>
      <c r="K24" s="3219">
        <f ca="1">C4/C30</f>
        <v>0.80026007457240289</v>
      </c>
      <c r="L24" s="3170"/>
    </row>
    <row r="25" spans="1:21" s="3190" customFormat="1" ht="18" customHeight="1">
      <c r="A25" s="3175" t="s">
        <v>3483</v>
      </c>
      <c r="B25" s="3182" t="s">
        <v>3531</v>
      </c>
      <c r="C25" s="3548" t="s">
        <v>3532</v>
      </c>
      <c r="D25" s="3549"/>
      <c r="E25" s="3555">
        <f>ROUND(H25/1.05,4)</f>
        <v>5.33E-2</v>
      </c>
      <c r="F25" s="3556"/>
      <c r="G25" s="3179" t="s">
        <v>3533</v>
      </c>
      <c r="H25" s="3557">
        <f>H22</f>
        <v>5.6000000000000001E-2</v>
      </c>
      <c r="I25" s="3557"/>
      <c r="J25" s="3206"/>
      <c r="K25" s="3170"/>
      <c r="L25" s="3170"/>
    </row>
    <row r="26" spans="1:21" s="3190" customFormat="1" ht="18" customHeight="1">
      <c r="A26" s="3175" t="s">
        <v>3487</v>
      </c>
      <c r="B26" s="3182" t="s">
        <v>3534</v>
      </c>
      <c r="C26" s="3548" t="s">
        <v>3532</v>
      </c>
      <c r="D26" s="3549"/>
      <c r="E26" s="3558">
        <f>H26/1.05</f>
        <v>0.11428571428571428</v>
      </c>
      <c r="F26" s="3559"/>
      <c r="G26" s="3179"/>
      <c r="H26" s="3560">
        <f>'数据-取费表'!B51</f>
        <v>0.12</v>
      </c>
      <c r="I26" s="3561"/>
      <c r="J26" s="3206"/>
      <c r="K26" s="3170"/>
      <c r="L26" s="3170"/>
      <c r="M26" s="3220"/>
    </row>
    <row r="27" spans="1:21" s="3190" customFormat="1" ht="18" customHeight="1">
      <c r="A27" s="3175" t="s">
        <v>3490</v>
      </c>
      <c r="B27" s="3182" t="s">
        <v>3535</v>
      </c>
      <c r="C27" s="3525">
        <f ca="1">ROUND(C23*H27,0)</f>
        <v>3258</v>
      </c>
      <c r="D27" s="3526"/>
      <c r="E27" s="3526"/>
      <c r="F27" s="3527"/>
      <c r="G27" s="3179" t="s">
        <v>3536</v>
      </c>
      <c r="H27" s="3557">
        <f>'数据-取费表'!AK6</f>
        <v>2E-3</v>
      </c>
      <c r="I27" s="3557"/>
      <c r="J27" s="3206"/>
      <c r="K27" s="3170"/>
      <c r="L27" s="3170"/>
      <c r="N27" s="3220"/>
    </row>
    <row r="28" spans="1:21" s="3190" customFormat="1" ht="18" customHeight="1">
      <c r="A28" s="3175" t="s">
        <v>3493</v>
      </c>
      <c r="B28" s="3182" t="s">
        <v>3537</v>
      </c>
      <c r="C28" s="3525">
        <f ca="1">ROUND(C7*H28,0)</f>
        <v>1140</v>
      </c>
      <c r="D28" s="3526"/>
      <c r="E28" s="3526"/>
      <c r="F28" s="3527"/>
      <c r="G28" s="3179" t="s">
        <v>3538</v>
      </c>
      <c r="H28" s="3562">
        <f>'数据-取费表'!AL6</f>
        <v>1E-3</v>
      </c>
      <c r="I28" s="3562"/>
      <c r="J28" s="3188"/>
      <c r="K28" s="3170"/>
      <c r="L28" s="3170"/>
      <c r="M28" s="3221"/>
    </row>
    <row r="29" spans="1:21" s="3190" customFormat="1" ht="18" customHeight="1">
      <c r="A29" s="3175" t="s">
        <v>3508</v>
      </c>
      <c r="B29" s="3182" t="s">
        <v>3488</v>
      </c>
      <c r="C29" s="3548" t="s">
        <v>3532</v>
      </c>
      <c r="D29" s="3549"/>
      <c r="E29" s="3563">
        <f>H29</f>
        <v>0.01</v>
      </c>
      <c r="F29" s="3551"/>
      <c r="G29" s="3179" t="s">
        <v>3539</v>
      </c>
      <c r="H29" s="3557">
        <f>'数据-取费表'!AM6</f>
        <v>0.01</v>
      </c>
      <c r="I29" s="3557"/>
      <c r="J29" s="3222"/>
      <c r="K29" s="3170"/>
      <c r="L29" s="3170"/>
    </row>
    <row r="30" spans="1:21" s="3190" customFormat="1" ht="18" customHeight="1">
      <c r="A30" s="3179" t="s">
        <v>3540</v>
      </c>
      <c r="B30" s="3182" t="s">
        <v>3541</v>
      </c>
      <c r="C30" s="3525">
        <f ca="1">ROUND((C4+C24)/(1-E24),0)</f>
        <v>226089</v>
      </c>
      <c r="D30" s="3526"/>
      <c r="E30" s="3526"/>
      <c r="F30" s="3527"/>
      <c r="G30" s="3528" t="s">
        <v>3542</v>
      </c>
      <c r="H30" s="3528"/>
      <c r="I30" s="3528"/>
      <c r="J30" s="3223" t="s">
        <v>3543</v>
      </c>
      <c r="K30" s="3170"/>
      <c r="L30" s="3170"/>
    </row>
    <row r="31" spans="1:21" s="3190" customFormat="1" ht="18" customHeight="1">
      <c r="A31" s="3528" t="s">
        <v>3544</v>
      </c>
      <c r="B31" s="3532" t="s">
        <v>3545</v>
      </c>
      <c r="C31" s="3564">
        <f ca="1">ROUND(C30/I31/I32/I3,2)</f>
        <v>2.11</v>
      </c>
      <c r="D31" s="3565"/>
      <c r="E31" s="3565"/>
      <c r="F31" s="3566"/>
      <c r="G31" s="3528" t="s">
        <v>3546</v>
      </c>
      <c r="H31" s="3182" t="s">
        <v>3547</v>
      </c>
      <c r="I31" s="3179">
        <v>365</v>
      </c>
      <c r="J31" s="3224"/>
      <c r="K31" s="3170"/>
      <c r="L31" s="3170"/>
    </row>
    <row r="32" spans="1:21" s="3190" customFormat="1" ht="18" customHeight="1">
      <c r="A32" s="3528"/>
      <c r="B32" s="3532"/>
      <c r="C32" s="3567"/>
      <c r="D32" s="3568"/>
      <c r="E32" s="3568"/>
      <c r="F32" s="3569"/>
      <c r="G32" s="3528"/>
      <c r="H32" s="3182" t="s">
        <v>3548</v>
      </c>
      <c r="I32" s="3212">
        <v>0.9</v>
      </c>
      <c r="J32" s="3225" t="s">
        <v>3549</v>
      </c>
      <c r="K32" s="3170"/>
      <c r="L32" s="3226"/>
    </row>
    <row r="33" spans="1:14" s="3190" customFormat="1" ht="18" customHeight="1">
      <c r="A33" s="3174"/>
      <c r="B33" s="3227"/>
      <c r="C33" s="3174"/>
      <c r="D33" s="3174"/>
      <c r="E33" s="3174"/>
      <c r="F33" s="3174"/>
      <c r="G33" s="3228"/>
      <c r="H33" s="3174"/>
      <c r="I33" s="3174"/>
      <c r="J33" s="3188" t="s">
        <v>3549</v>
      </c>
      <c r="K33" s="3170"/>
      <c r="L33" s="3226"/>
    </row>
    <row r="34" spans="1:14" s="3190" customFormat="1" ht="18" customHeight="1">
      <c r="A34" s="3174"/>
      <c r="B34" s="3572" t="s">
        <v>3550</v>
      </c>
      <c r="C34" s="3572"/>
      <c r="D34" s="3572"/>
      <c r="E34" s="3572"/>
      <c r="F34" s="3572"/>
      <c r="G34" s="3229"/>
      <c r="H34" s="3230"/>
      <c r="I34" s="3231"/>
      <c r="J34" s="3188"/>
      <c r="K34" s="3170"/>
      <c r="L34" s="3170"/>
      <c r="M34" s="3174"/>
    </row>
    <row r="35" spans="1:14" s="3190" customFormat="1" ht="18" customHeight="1">
      <c r="A35" s="3174"/>
      <c r="B35" s="3232" t="s">
        <v>3551</v>
      </c>
      <c r="C35" s="3232" t="s">
        <v>3452</v>
      </c>
      <c r="D35" s="3573" t="s">
        <v>3552</v>
      </c>
      <c r="E35" s="3573"/>
      <c r="F35" s="3573"/>
      <c r="G35" s="3229"/>
      <c r="H35" s="3230"/>
      <c r="I35" s="3174"/>
      <c r="J35" s="3215"/>
      <c r="K35" s="3174"/>
      <c r="L35" s="3174"/>
      <c r="M35" s="3174"/>
    </row>
    <row r="36" spans="1:14">
      <c r="B36" s="3232" t="s">
        <v>3553</v>
      </c>
      <c r="C36" s="3233">
        <v>0.7</v>
      </c>
      <c r="D36" s="3574">
        <f>'比较法-商业-租金'!C48</f>
        <v>8.4</v>
      </c>
      <c r="E36" s="3574"/>
      <c r="F36" s="3574"/>
      <c r="G36" s="3229"/>
      <c r="H36" s="3230"/>
      <c r="K36" s="3174"/>
      <c r="L36" s="3174"/>
    </row>
    <row r="37" spans="1:14" ht="20.100000000000001" customHeight="1">
      <c r="B37" s="3232" t="s">
        <v>3430</v>
      </c>
      <c r="C37" s="3233">
        <f>1-C36</f>
        <v>0.30000000000000004</v>
      </c>
      <c r="D37" s="3574">
        <f>U20</f>
        <v>5.5</v>
      </c>
      <c r="E37" s="3574"/>
      <c r="F37" s="3574"/>
      <c r="G37" s="3234">
        <f>(D37-D36)/D37</f>
        <v>-0.52727272727272734</v>
      </c>
      <c r="H37" s="3235"/>
      <c r="I37" s="3236"/>
      <c r="J37" s="3174"/>
      <c r="K37" s="3174"/>
      <c r="L37" s="3174"/>
    </row>
    <row r="38" spans="1:14" ht="22.5" customHeight="1">
      <c r="B38" s="3573" t="s">
        <v>3554</v>
      </c>
      <c r="C38" s="3573"/>
      <c r="D38" s="3575">
        <f>ROUND(D36*C36+D37*C37,1)</f>
        <v>7.5</v>
      </c>
      <c r="E38" s="3576"/>
      <c r="F38" s="3577"/>
      <c r="G38" s="3229">
        <f>ROUND(D38*365/12,0)</f>
        <v>228</v>
      </c>
      <c r="H38" s="3235"/>
      <c r="I38" s="3236"/>
      <c r="J38" s="3174"/>
      <c r="K38" s="3174"/>
      <c r="L38" s="3174"/>
    </row>
    <row r="39" spans="1:14" ht="22.5" customHeight="1">
      <c r="B39" s="3232" t="s">
        <v>3555</v>
      </c>
      <c r="C39" s="3237">
        <f>ROUND(D38*0.9,2)</f>
        <v>6.75</v>
      </c>
      <c r="D39" s="3237" t="s">
        <v>3556</v>
      </c>
      <c r="E39" s="3570">
        <f>ROUND(D38*1.1,2)</f>
        <v>8.25</v>
      </c>
      <c r="F39" s="3570"/>
      <c r="G39" s="3229"/>
      <c r="H39" s="3238"/>
      <c r="J39" s="3174"/>
      <c r="K39" s="3174"/>
      <c r="L39" s="3174"/>
    </row>
    <row r="40" spans="1:14" ht="18" customHeight="1">
      <c r="B40" s="3232" t="s">
        <v>3557</v>
      </c>
      <c r="C40" s="3239">
        <f>ROUND(C39*365/12,0)</f>
        <v>205</v>
      </c>
      <c r="D40" s="3237" t="s">
        <v>3556</v>
      </c>
      <c r="E40" s="3571">
        <f>ROUND(E39*365/12,0)</f>
        <v>251</v>
      </c>
      <c r="F40" s="3571"/>
      <c r="G40" s="3240" t="s">
        <v>3558</v>
      </c>
      <c r="H40" s="3240"/>
      <c r="J40" s="3174"/>
      <c r="K40" s="3174"/>
      <c r="L40" s="3174"/>
    </row>
    <row r="41" spans="1:14" ht="18" customHeight="1">
      <c r="B41" s="3241"/>
      <c r="C41" s="3242"/>
      <c r="D41" s="3230"/>
      <c r="E41" s="3230"/>
      <c r="F41" s="3230"/>
      <c r="G41" s="3229"/>
      <c r="H41" s="3230"/>
      <c r="J41" s="3174"/>
    </row>
    <row r="42" spans="1:14" ht="18" customHeight="1">
      <c r="B42" s="3229" t="s">
        <v>3559</v>
      </c>
      <c r="C42" s="3230"/>
      <c r="D42" s="3230"/>
      <c r="E42" s="3229" t="s">
        <v>3560</v>
      </c>
      <c r="F42" s="3230"/>
      <c r="G42" s="3229"/>
      <c r="H42" s="3229" t="s">
        <v>3561</v>
      </c>
      <c r="J42" s="3174"/>
    </row>
    <row r="43" spans="1:14" ht="29.25" customHeight="1">
      <c r="N43" s="3174" t="s">
        <v>3562</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ECA12-4361-49D6-A7C4-4EB1A6657329}">
  <dimension ref="A1"/>
  <sheetViews>
    <sheetView workbookViewId="0">
      <selection activeCell="U78" sqref="U78"/>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35BF3-41E0-4D27-A6BB-D42911601F51}">
  <dimension ref="A1"/>
  <sheetViews>
    <sheetView topLeftCell="A22" workbookViewId="0">
      <selection activeCell="S57" sqref="S57"/>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75" t="s">
        <v>1770</v>
      </c>
      <c r="D4" s="3476"/>
      <c r="E4" s="3477" t="s">
        <v>1771</v>
      </c>
      <c r="F4" s="3478"/>
      <c r="G4" s="3475" t="s">
        <v>1772</v>
      </c>
      <c r="H4" s="3476"/>
      <c r="I4" s="3475" t="s">
        <v>1773</v>
      </c>
      <c r="J4" s="3476"/>
      <c r="K4" s="537" t="s">
        <v>1774</v>
      </c>
      <c r="L4" s="2487"/>
      <c r="M4" s="2488"/>
      <c r="N4" s="2488"/>
      <c r="O4" s="2488"/>
      <c r="P4" s="3584" t="s">
        <v>1775</v>
      </c>
      <c r="Q4" s="3585"/>
      <c r="R4" s="3579" t="s">
        <v>1771</v>
      </c>
      <c r="S4" s="3580"/>
      <c r="T4" s="3579" t="s">
        <v>1772</v>
      </c>
      <c r="U4" s="3580"/>
      <c r="V4" s="3588" t="s">
        <v>1773</v>
      </c>
      <c r="W4" s="3588"/>
      <c r="X4" s="1809"/>
      <c r="Y4" s="3579" t="s">
        <v>1775</v>
      </c>
      <c r="Z4" s="3580"/>
      <c r="AA4" s="3578" t="s">
        <v>1771</v>
      </c>
      <c r="AB4" s="3578" t="s">
        <v>1772</v>
      </c>
      <c r="AC4" s="3581" t="s">
        <v>1773</v>
      </c>
    </row>
    <row r="5" spans="1:29" ht="15">
      <c r="A5" s="348"/>
      <c r="B5" s="349"/>
      <c r="C5" s="3468" t="s">
        <v>1673</v>
      </c>
      <c r="D5" s="3469"/>
      <c r="E5" s="3466" t="s">
        <v>1674</v>
      </c>
      <c r="F5" s="3467"/>
      <c r="G5" s="3468" t="s">
        <v>1675</v>
      </c>
      <c r="H5" s="3469"/>
      <c r="I5" s="3468" t="s">
        <v>1676</v>
      </c>
      <c r="J5" s="3469"/>
      <c r="K5" s="537"/>
      <c r="L5" s="2487"/>
      <c r="M5" s="2488"/>
      <c r="N5" s="2488"/>
      <c r="O5" s="2488"/>
      <c r="P5" s="3586"/>
      <c r="Q5" s="3482"/>
      <c r="R5" s="3464"/>
      <c r="S5" s="3465"/>
      <c r="T5" s="3464"/>
      <c r="U5" s="3465"/>
      <c r="V5" s="3487"/>
      <c r="W5" s="3487"/>
      <c r="X5" s="1265"/>
      <c r="Y5" s="3464"/>
      <c r="Z5" s="3465"/>
      <c r="AA5" s="3458"/>
      <c r="AB5" s="3458"/>
      <c r="AC5" s="3582"/>
    </row>
    <row r="6" spans="1:29" ht="15.75" thickBot="1">
      <c r="A6" s="350"/>
      <c r="B6" s="351"/>
      <c r="C6" s="3470" t="s">
        <v>1677</v>
      </c>
      <c r="D6" s="3471"/>
      <c r="E6" s="3472" t="s">
        <v>1677</v>
      </c>
      <c r="F6" s="3473"/>
      <c r="G6" s="3470" t="s">
        <v>1677</v>
      </c>
      <c r="H6" s="3471"/>
      <c r="I6" s="3470" t="s">
        <v>1677</v>
      </c>
      <c r="J6" s="3471"/>
      <c r="K6" s="537" t="s">
        <v>1678</v>
      </c>
      <c r="L6" s="2487"/>
      <c r="M6" s="2488"/>
      <c r="N6" s="2488"/>
      <c r="O6" s="2488"/>
      <c r="P6" s="3587"/>
      <c r="Q6" s="3484"/>
      <c r="R6" s="3464"/>
      <c r="S6" s="3465"/>
      <c r="T6" s="3485"/>
      <c r="U6" s="3486"/>
      <c r="V6" s="3487"/>
      <c r="W6" s="3487"/>
      <c r="X6" s="1265"/>
      <c r="Y6" s="3485"/>
      <c r="Z6" s="3486"/>
      <c r="AA6" s="3459"/>
      <c r="AB6" s="3459"/>
      <c r="AC6" s="3583"/>
    </row>
    <row r="7" spans="1:29" s="102" customFormat="1" ht="15.75" thickBot="1">
      <c r="A7" s="352" t="s">
        <v>1679</v>
      </c>
      <c r="B7" s="353"/>
      <c r="C7" s="354">
        <f>'数据-取费表'!B2</f>
        <v>45922</v>
      </c>
      <c r="D7" s="355">
        <v>100</v>
      </c>
      <c r="E7" s="356"/>
      <c r="F7" s="357">
        <f>SUMIF(59:59,YEAR(E7)&amp;"-"&amp;MONTH(E7),60:60)</f>
        <v>0</v>
      </c>
      <c r="G7" s="356"/>
      <c r="H7" s="355">
        <f>SUMIF(59:59,YEAR(G7)&amp;"-"&amp;MONTH(G7),60:60)</f>
        <v>0</v>
      </c>
      <c r="I7" s="356"/>
      <c r="J7" s="355">
        <f>SUMIF(59:59,YEAR(I7)&amp;"-"&amp;MONTH(I7),60:60)</f>
        <v>0</v>
      </c>
      <c r="K7" s="38"/>
      <c r="L7" s="2489"/>
      <c r="M7" s="2440"/>
      <c r="N7" s="2440"/>
      <c r="O7" s="2440"/>
      <c r="P7" s="3589" t="s">
        <v>1680</v>
      </c>
      <c r="Q7" s="3488"/>
      <c r="R7" s="664" t="s">
        <v>14</v>
      </c>
      <c r="S7" s="665">
        <f t="shared" ref="S7:S15" si="0">F7</f>
        <v>0</v>
      </c>
      <c r="T7" s="664" t="s">
        <v>14</v>
      </c>
      <c r="U7" s="665">
        <f t="shared" ref="U7:U15" si="1">H7</f>
        <v>0</v>
      </c>
      <c r="V7" s="664" t="s">
        <v>14</v>
      </c>
      <c r="W7" s="665">
        <f t="shared" ref="W7:W15" si="2">J7</f>
        <v>0</v>
      </c>
      <c r="X7" s="666"/>
      <c r="Y7" s="3460" t="s">
        <v>1680</v>
      </c>
      <c r="Z7" s="346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89" t="s">
        <v>1683</v>
      </c>
      <c r="Q8" s="3461"/>
      <c r="R8" s="664" t="s">
        <v>14</v>
      </c>
      <c r="S8" s="665">
        <f t="shared" si="0"/>
        <v>100</v>
      </c>
      <c r="T8" s="664" t="s">
        <v>14</v>
      </c>
      <c r="U8" s="665">
        <f t="shared" si="1"/>
        <v>100</v>
      </c>
      <c r="V8" s="664" t="s">
        <v>14</v>
      </c>
      <c r="W8" s="665">
        <f t="shared" si="2"/>
        <v>100</v>
      </c>
      <c r="X8" s="666"/>
      <c r="Y8" s="3460" t="s">
        <v>1683</v>
      </c>
      <c r="Z8" s="346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74"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74"/>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74"/>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74"/>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74"/>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74"/>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500" t="s">
        <v>1691</v>
      </c>
      <c r="Q15" s="1263" t="str">
        <f t="shared" si="6"/>
        <v>办公集聚程度</v>
      </c>
      <c r="R15" s="667" t="s">
        <v>14</v>
      </c>
      <c r="S15" s="668">
        <f t="shared" si="0"/>
        <v>100</v>
      </c>
      <c r="T15" s="667" t="s">
        <v>14</v>
      </c>
      <c r="U15" s="668">
        <f t="shared" si="1"/>
        <v>100</v>
      </c>
      <c r="V15" s="667" t="s">
        <v>14</v>
      </c>
      <c r="W15" s="668">
        <f t="shared" si="2"/>
        <v>100</v>
      </c>
      <c r="X15" s="1265"/>
      <c r="Y15" s="349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501"/>
      <c r="Q16" s="1263"/>
      <c r="R16" s="667"/>
      <c r="S16" s="668"/>
      <c r="T16" s="667"/>
      <c r="U16" s="668"/>
      <c r="V16" s="667"/>
      <c r="W16" s="668"/>
      <c r="X16" s="1265"/>
      <c r="Y16" s="349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501"/>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501"/>
      <c r="Q18" s="1263"/>
      <c r="R18" s="667"/>
      <c r="S18" s="668"/>
      <c r="T18" s="667"/>
      <c r="U18" s="668"/>
      <c r="V18" s="667"/>
      <c r="W18" s="668"/>
      <c r="X18" s="1265"/>
      <c r="Y18" s="349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501"/>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501"/>
      <c r="Q20" s="1263"/>
      <c r="R20" s="667"/>
      <c r="S20" s="668"/>
      <c r="T20" s="667"/>
      <c r="U20" s="668"/>
      <c r="V20" s="667"/>
      <c r="W20" s="668"/>
      <c r="X20" s="1265"/>
      <c r="Y20" s="349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501"/>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501"/>
      <c r="Q22" s="1263"/>
      <c r="R22" s="667"/>
      <c r="S22" s="668"/>
      <c r="T22" s="667"/>
      <c r="U22" s="668"/>
      <c r="V22" s="667"/>
      <c r="W22" s="668"/>
      <c r="X22" s="1265"/>
      <c r="Y22" s="349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501"/>
      <c r="Q23" s="1263" t="str">
        <f>B23</f>
        <v>环境质量</v>
      </c>
      <c r="R23" s="667" t="s">
        <v>14</v>
      </c>
      <c r="S23" s="668">
        <f>F23</f>
        <v>100</v>
      </c>
      <c r="T23" s="667" t="s">
        <v>14</v>
      </c>
      <c r="U23" s="668">
        <f>H23</f>
        <v>100</v>
      </c>
      <c r="V23" s="667" t="s">
        <v>14</v>
      </c>
      <c r="W23" s="668">
        <f>J23</f>
        <v>100</v>
      </c>
      <c r="X23" s="1265"/>
      <c r="Y23" s="349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501"/>
      <c r="Q24" s="1263"/>
      <c r="R24" s="667"/>
      <c r="S24" s="668"/>
      <c r="T24" s="667"/>
      <c r="U24" s="668"/>
      <c r="V24" s="667"/>
      <c r="W24" s="668"/>
      <c r="X24" s="1265"/>
      <c r="Y24" s="349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501"/>
      <c r="Q25" s="1263" t="str">
        <f>B25</f>
        <v>毗邻道路的类型与等级</v>
      </c>
      <c r="R25" s="667" t="s">
        <v>14</v>
      </c>
      <c r="S25" s="668">
        <f>F25</f>
        <v>100</v>
      </c>
      <c r="T25" s="667" t="s">
        <v>14</v>
      </c>
      <c r="U25" s="668">
        <f>H25</f>
        <v>100</v>
      </c>
      <c r="V25" s="667" t="s">
        <v>14</v>
      </c>
      <c r="W25" s="668">
        <f>J25</f>
        <v>100</v>
      </c>
      <c r="X25" s="1265"/>
      <c r="Y25" s="349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501"/>
      <c r="Q26" s="1263"/>
      <c r="R26" s="667"/>
      <c r="S26" s="668"/>
      <c r="T26" s="667"/>
      <c r="U26" s="668"/>
      <c r="V26" s="667"/>
      <c r="W26" s="668"/>
      <c r="X26" s="1265"/>
      <c r="Y26" s="349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501"/>
      <c r="Q27" s="1263" t="str">
        <f t="shared" ref="Q27:Q47" si="11">B27</f>
        <v>楼层</v>
      </c>
      <c r="R27" s="667" t="s">
        <v>14</v>
      </c>
      <c r="S27" s="668">
        <f>F27</f>
        <v>100</v>
      </c>
      <c r="T27" s="667" t="s">
        <v>14</v>
      </c>
      <c r="U27" s="668">
        <f>H27</f>
        <v>100</v>
      </c>
      <c r="V27" s="667" t="s">
        <v>14</v>
      </c>
      <c r="W27" s="668">
        <f>J27</f>
        <v>100</v>
      </c>
      <c r="X27" s="1265"/>
      <c r="Y27" s="349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501"/>
      <c r="Q28" s="530" t="str">
        <f t="shared" si="11"/>
        <v>朝向</v>
      </c>
      <c r="R28" s="664" t="s">
        <v>14</v>
      </c>
      <c r="S28" s="665">
        <f>F28</f>
        <v>100</v>
      </c>
      <c r="T28" s="664" t="s">
        <v>14</v>
      </c>
      <c r="U28" s="665">
        <f>H28</f>
        <v>100</v>
      </c>
      <c r="V28" s="664" t="s">
        <v>14</v>
      </c>
      <c r="W28" s="665">
        <f>J28</f>
        <v>100</v>
      </c>
      <c r="X28" s="666"/>
      <c r="Y28" s="349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501"/>
      <c r="Q29" s="1263">
        <f t="shared" si="11"/>
        <v>111</v>
      </c>
      <c r="R29" s="667" t="s">
        <v>14</v>
      </c>
      <c r="S29" s="668">
        <f t="shared" ref="S29:S47" si="12">F29</f>
        <v>100</v>
      </c>
      <c r="T29" s="667" t="s">
        <v>14</v>
      </c>
      <c r="U29" s="668">
        <f t="shared" ref="U29:U47" si="13">H29</f>
        <v>100</v>
      </c>
      <c r="V29" s="667" t="s">
        <v>14</v>
      </c>
      <c r="W29" s="668">
        <f t="shared" ref="W29:W47" si="14">J29</f>
        <v>100</v>
      </c>
      <c r="X29" s="1265"/>
      <c r="Y29" s="349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501"/>
      <c r="Q30" s="1263">
        <f t="shared" si="11"/>
        <v>111</v>
      </c>
      <c r="R30" s="667" t="s">
        <v>14</v>
      </c>
      <c r="S30" s="668">
        <f t="shared" si="12"/>
        <v>100</v>
      </c>
      <c r="T30" s="667" t="s">
        <v>14</v>
      </c>
      <c r="U30" s="668">
        <f t="shared" si="13"/>
        <v>100</v>
      </c>
      <c r="V30" s="667" t="s">
        <v>14</v>
      </c>
      <c r="W30" s="668">
        <f t="shared" si="14"/>
        <v>100</v>
      </c>
      <c r="X30" s="1265"/>
      <c r="Y30" s="349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501"/>
      <c r="Q31" s="1263">
        <f t="shared" si="11"/>
        <v>111</v>
      </c>
      <c r="R31" s="667" t="s">
        <v>14</v>
      </c>
      <c r="S31" s="668">
        <f t="shared" si="12"/>
        <v>100</v>
      </c>
      <c r="T31" s="667" t="s">
        <v>14</v>
      </c>
      <c r="U31" s="668">
        <f t="shared" si="13"/>
        <v>100</v>
      </c>
      <c r="V31" s="667" t="s">
        <v>14</v>
      </c>
      <c r="W31" s="668">
        <f t="shared" si="14"/>
        <v>100</v>
      </c>
      <c r="X31" s="1265"/>
      <c r="Y31" s="349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501"/>
      <c r="Q32" s="1263">
        <f t="shared" si="11"/>
        <v>111</v>
      </c>
      <c r="R32" s="667" t="s">
        <v>14</v>
      </c>
      <c r="S32" s="668">
        <f t="shared" si="12"/>
        <v>100</v>
      </c>
      <c r="T32" s="667" t="s">
        <v>14</v>
      </c>
      <c r="U32" s="668">
        <f t="shared" si="13"/>
        <v>100</v>
      </c>
      <c r="V32" s="667" t="s">
        <v>14</v>
      </c>
      <c r="W32" s="668">
        <f t="shared" si="14"/>
        <v>100</v>
      </c>
      <c r="X32" s="1265"/>
      <c r="Y32" s="349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95" t="s">
        <v>1696</v>
      </c>
      <c r="Q33" s="1263" t="str">
        <f t="shared" si="11"/>
        <v>建筑类型</v>
      </c>
      <c r="R33" s="667" t="s">
        <v>14</v>
      </c>
      <c r="S33" s="668">
        <f t="shared" si="12"/>
        <v>100</v>
      </c>
      <c r="T33" s="667" t="s">
        <v>14</v>
      </c>
      <c r="U33" s="668">
        <f t="shared" si="13"/>
        <v>100</v>
      </c>
      <c r="V33" s="667" t="s">
        <v>14</v>
      </c>
      <c r="W33" s="668">
        <f t="shared" si="14"/>
        <v>100</v>
      </c>
      <c r="X33" s="1265"/>
      <c r="Y33" s="349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96"/>
      <c r="Q34" s="531" t="str">
        <f t="shared" si="11"/>
        <v>项目建筑规模</v>
      </c>
      <c r="R34" s="669" t="s">
        <v>14</v>
      </c>
      <c r="S34" s="670" t="e">
        <f t="shared" si="12"/>
        <v>#N/A</v>
      </c>
      <c r="T34" s="669" t="s">
        <v>14</v>
      </c>
      <c r="U34" s="670" t="e">
        <f t="shared" si="13"/>
        <v>#N/A</v>
      </c>
      <c r="V34" s="669" t="s">
        <v>14</v>
      </c>
      <c r="W34" s="670" t="e">
        <f t="shared" si="14"/>
        <v>#N/A</v>
      </c>
      <c r="X34" s="671"/>
      <c r="Y34" s="349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96"/>
      <c r="Q35" s="1263" t="str">
        <f t="shared" si="11"/>
        <v>建筑结构</v>
      </c>
      <c r="R35" s="667" t="s">
        <v>14</v>
      </c>
      <c r="S35" s="668">
        <f t="shared" si="12"/>
        <v>100</v>
      </c>
      <c r="T35" s="667" t="s">
        <v>14</v>
      </c>
      <c r="U35" s="668">
        <f t="shared" si="13"/>
        <v>100</v>
      </c>
      <c r="V35" s="667" t="s">
        <v>14</v>
      </c>
      <c r="W35" s="668">
        <f t="shared" si="14"/>
        <v>100</v>
      </c>
      <c r="X35" s="1265"/>
      <c r="Y35" s="349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96"/>
      <c r="Q36" s="1263" t="str">
        <f t="shared" si="11"/>
        <v>公共部分装修</v>
      </c>
      <c r="R36" s="667" t="s">
        <v>14</v>
      </c>
      <c r="S36" s="668">
        <f t="shared" si="12"/>
        <v>100</v>
      </c>
      <c r="T36" s="667" t="s">
        <v>14</v>
      </c>
      <c r="U36" s="668">
        <f t="shared" si="13"/>
        <v>100</v>
      </c>
      <c r="V36" s="667" t="s">
        <v>14</v>
      </c>
      <c r="W36" s="668">
        <f t="shared" si="14"/>
        <v>100</v>
      </c>
      <c r="X36" s="1265"/>
      <c r="Y36" s="349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96"/>
      <c r="Q37" s="1263" t="str">
        <f t="shared" si="11"/>
        <v>成新度</v>
      </c>
      <c r="R37" s="667" t="s">
        <v>14</v>
      </c>
      <c r="S37" s="668" t="e">
        <f t="shared" si="12"/>
        <v>#N/A</v>
      </c>
      <c r="T37" s="667" t="s">
        <v>14</v>
      </c>
      <c r="U37" s="668" t="e">
        <f t="shared" si="13"/>
        <v>#N/A</v>
      </c>
      <c r="V37" s="667" t="s">
        <v>14</v>
      </c>
      <c r="W37" s="668" t="e">
        <f t="shared" si="14"/>
        <v>#N/A</v>
      </c>
      <c r="X37" s="1265"/>
      <c r="Y37" s="349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96"/>
      <c r="Q38" s="530" t="str">
        <f t="shared" si="11"/>
        <v>写字楼等级</v>
      </c>
      <c r="R38" s="664" t="s">
        <v>14</v>
      </c>
      <c r="S38" s="665">
        <f t="shared" si="12"/>
        <v>100</v>
      </c>
      <c r="T38" s="664" t="s">
        <v>14</v>
      </c>
      <c r="U38" s="665">
        <f t="shared" si="13"/>
        <v>100</v>
      </c>
      <c r="V38" s="664" t="s">
        <v>14</v>
      </c>
      <c r="W38" s="665">
        <f t="shared" si="14"/>
        <v>100</v>
      </c>
      <c r="X38" s="666"/>
      <c r="Y38" s="349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96" t="s">
        <v>1696</v>
      </c>
      <c r="Q39" s="1263" t="str">
        <f t="shared" si="11"/>
        <v>物业管理</v>
      </c>
      <c r="R39" s="667" t="s">
        <v>14</v>
      </c>
      <c r="S39" s="668">
        <f t="shared" si="12"/>
        <v>100</v>
      </c>
      <c r="T39" s="667" t="s">
        <v>14</v>
      </c>
      <c r="U39" s="668">
        <f t="shared" si="13"/>
        <v>100</v>
      </c>
      <c r="V39" s="667" t="s">
        <v>14</v>
      </c>
      <c r="W39" s="668">
        <f t="shared" si="14"/>
        <v>100</v>
      </c>
      <c r="X39" s="1265"/>
      <c r="Y39" s="349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96"/>
      <c r="Q40" s="1263" t="str">
        <f t="shared" si="11"/>
        <v>市政基础设施</v>
      </c>
      <c r="R40" s="667" t="s">
        <v>14</v>
      </c>
      <c r="S40" s="668">
        <f t="shared" si="12"/>
        <v>100</v>
      </c>
      <c r="T40" s="667" t="s">
        <v>14</v>
      </c>
      <c r="U40" s="668">
        <f t="shared" si="13"/>
        <v>100</v>
      </c>
      <c r="V40" s="667" t="s">
        <v>14</v>
      </c>
      <c r="W40" s="668">
        <f t="shared" si="14"/>
        <v>100</v>
      </c>
      <c r="X40" s="1265"/>
      <c r="Y40" s="349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96"/>
      <c r="Q41" s="1263" t="str">
        <f t="shared" si="11"/>
        <v>层高</v>
      </c>
      <c r="R41" s="667" t="s">
        <v>14</v>
      </c>
      <c r="S41" s="668">
        <f t="shared" si="12"/>
        <v>100</v>
      </c>
      <c r="T41" s="667" t="s">
        <v>14</v>
      </c>
      <c r="U41" s="668">
        <f t="shared" si="13"/>
        <v>100</v>
      </c>
      <c r="V41" s="667" t="s">
        <v>14</v>
      </c>
      <c r="W41" s="668">
        <f t="shared" si="14"/>
        <v>100</v>
      </c>
      <c r="X41" s="1265"/>
      <c r="Y41" s="349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96"/>
      <c r="Q42" s="531" t="str">
        <f t="shared" si="11"/>
        <v>单套建筑面积</v>
      </c>
      <c r="R42" s="669" t="s">
        <v>14</v>
      </c>
      <c r="S42" s="670">
        <f t="shared" si="12"/>
        <v>100</v>
      </c>
      <c r="T42" s="669" t="s">
        <v>14</v>
      </c>
      <c r="U42" s="670">
        <f t="shared" si="13"/>
        <v>100</v>
      </c>
      <c r="V42" s="669" t="s">
        <v>14</v>
      </c>
      <c r="W42" s="670">
        <f t="shared" si="14"/>
        <v>100</v>
      </c>
      <c r="X42" s="671"/>
      <c r="Y42" s="349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96"/>
      <c r="Q43" s="1263" t="str">
        <f t="shared" si="11"/>
        <v>内部装修</v>
      </c>
      <c r="R43" s="667" t="s">
        <v>14</v>
      </c>
      <c r="S43" s="668">
        <f t="shared" si="12"/>
        <v>100</v>
      </c>
      <c r="T43" s="667" t="s">
        <v>14</v>
      </c>
      <c r="U43" s="668">
        <f t="shared" si="13"/>
        <v>100</v>
      </c>
      <c r="V43" s="667" t="s">
        <v>14</v>
      </c>
      <c r="W43" s="668">
        <f t="shared" si="14"/>
        <v>100</v>
      </c>
      <c r="X43" s="1265"/>
      <c r="Y43" s="349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96"/>
      <c r="Q44" s="1263" t="str">
        <f t="shared" si="11"/>
        <v>内部装修维护情况</v>
      </c>
      <c r="R44" s="667" t="s">
        <v>14</v>
      </c>
      <c r="S44" s="668">
        <f t="shared" si="12"/>
        <v>100</v>
      </c>
      <c r="T44" s="667" t="s">
        <v>14</v>
      </c>
      <c r="U44" s="668">
        <f t="shared" si="13"/>
        <v>100</v>
      </c>
      <c r="V44" s="667" t="s">
        <v>14</v>
      </c>
      <c r="W44" s="668">
        <f t="shared" si="14"/>
        <v>100</v>
      </c>
      <c r="X44" s="1265"/>
      <c r="Y44" s="349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96"/>
      <c r="Q45" s="530">
        <f t="shared" si="11"/>
        <v>111</v>
      </c>
      <c r="R45" s="664" t="s">
        <v>14</v>
      </c>
      <c r="S45" s="665">
        <f t="shared" si="12"/>
        <v>100</v>
      </c>
      <c r="T45" s="664" t="s">
        <v>14</v>
      </c>
      <c r="U45" s="665">
        <f t="shared" si="13"/>
        <v>100</v>
      </c>
      <c r="V45" s="664" t="s">
        <v>14</v>
      </c>
      <c r="W45" s="665">
        <f t="shared" si="14"/>
        <v>100</v>
      </c>
      <c r="X45" s="666"/>
      <c r="Y45" s="34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96"/>
      <c r="Q46" s="1263">
        <f t="shared" si="11"/>
        <v>111</v>
      </c>
      <c r="R46" s="667" t="s">
        <v>14</v>
      </c>
      <c r="S46" s="668">
        <f t="shared" si="12"/>
        <v>100</v>
      </c>
      <c r="T46" s="667" t="s">
        <v>14</v>
      </c>
      <c r="U46" s="668">
        <f t="shared" si="13"/>
        <v>100</v>
      </c>
      <c r="V46" s="667" t="s">
        <v>14</v>
      </c>
      <c r="W46" s="668">
        <f t="shared" si="14"/>
        <v>100</v>
      </c>
      <c r="X46" s="1265"/>
      <c r="Y46" s="349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97"/>
      <c r="Q47" s="1263">
        <f t="shared" si="11"/>
        <v>111</v>
      </c>
      <c r="R47" s="667" t="s">
        <v>14</v>
      </c>
      <c r="S47" s="668">
        <f t="shared" si="12"/>
        <v>100</v>
      </c>
      <c r="T47" s="667" t="s">
        <v>14</v>
      </c>
      <c r="U47" s="668">
        <f t="shared" si="13"/>
        <v>100</v>
      </c>
      <c r="V47" s="667" t="s">
        <v>14</v>
      </c>
      <c r="W47" s="668">
        <f t="shared" si="14"/>
        <v>100</v>
      </c>
      <c r="X47" s="1265"/>
      <c r="Y47" s="349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74" t="str">
        <f>A48</f>
        <v>成交单价（元/平方米）</v>
      </c>
      <c r="Q48" s="3492"/>
      <c r="R48" s="3487">
        <f>E48</f>
        <v>0</v>
      </c>
      <c r="S48" s="3487"/>
      <c r="T48" s="3487">
        <f>G48</f>
        <v>0</v>
      </c>
      <c r="U48" s="3487"/>
      <c r="V48" s="3487">
        <f>I48</f>
        <v>0</v>
      </c>
      <c r="W48" s="348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74" t="str">
        <f>A49</f>
        <v>比较价值（元/平方米）</v>
      </c>
      <c r="Q49" s="3492"/>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590" t="str">
        <f>A50</f>
        <v>估价对象XX用房的比较价值（楼面单价，元/平方米）</v>
      </c>
      <c r="Q50" s="3591"/>
      <c r="R50" s="3592" t="e">
        <f>IF(F1="售价",ROUND(IF(D49="简单平均",AVERAGE(R49:V49),R49*F49+T49*H49+V49*J49),0),ROUND(IF(D49="简单平均",AVERAGE(R49:V49),R49*F49+T49*H49+V49*J49),1))</f>
        <v>#DIV/0!</v>
      </c>
      <c r="S50" s="3592"/>
      <c r="T50" s="3592"/>
      <c r="U50" s="3592"/>
      <c r="V50" s="3592"/>
      <c r="W50" s="359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5" t="s">
        <v>1770</v>
      </c>
      <c r="D4" s="3476"/>
      <c r="E4" s="3477" t="s">
        <v>1771</v>
      </c>
      <c r="F4" s="3478"/>
      <c r="G4" s="3475" t="s">
        <v>1772</v>
      </c>
      <c r="H4" s="3476"/>
      <c r="I4" s="3475" t="s">
        <v>1773</v>
      </c>
      <c r="J4" s="3476"/>
      <c r="K4" s="537" t="s">
        <v>1774</v>
      </c>
      <c r="L4" s="860"/>
      <c r="M4" s="861"/>
      <c r="N4" s="861"/>
      <c r="O4" s="861"/>
      <c r="P4" s="3479" t="s">
        <v>1775</v>
      </c>
      <c r="Q4" s="3480"/>
      <c r="R4" s="3462" t="s">
        <v>1771</v>
      </c>
      <c r="S4" s="3463"/>
      <c r="T4" s="3462" t="s">
        <v>1772</v>
      </c>
      <c r="U4" s="3463"/>
      <c r="V4" s="3487" t="s">
        <v>1773</v>
      </c>
      <c r="W4" s="3487"/>
      <c r="X4" s="1265"/>
      <c r="Y4" s="3462" t="s">
        <v>1775</v>
      </c>
      <c r="Z4" s="3463"/>
      <c r="AA4" s="3457" t="s">
        <v>1771</v>
      </c>
      <c r="AB4" s="3458" t="s">
        <v>1772</v>
      </c>
      <c r="AC4" s="3457" t="s">
        <v>1773</v>
      </c>
    </row>
    <row r="5" spans="1:29" ht="15">
      <c r="A5" s="348"/>
      <c r="B5" s="349"/>
      <c r="C5" s="3468" t="s">
        <v>1673</v>
      </c>
      <c r="D5" s="3469"/>
      <c r="E5" s="3466" t="s">
        <v>1674</v>
      </c>
      <c r="F5" s="3467"/>
      <c r="G5" s="3468" t="s">
        <v>1675</v>
      </c>
      <c r="H5" s="3469"/>
      <c r="I5" s="3468" t="s">
        <v>1676</v>
      </c>
      <c r="J5" s="3469"/>
      <c r="K5" s="537"/>
      <c r="L5" s="860"/>
      <c r="M5" s="861"/>
      <c r="N5" s="861"/>
      <c r="O5" s="861"/>
      <c r="P5" s="3481"/>
      <c r="Q5" s="3482"/>
      <c r="R5" s="3464"/>
      <c r="S5" s="3465"/>
      <c r="T5" s="3464"/>
      <c r="U5" s="3465"/>
      <c r="V5" s="3487"/>
      <c r="W5" s="3487"/>
      <c r="X5" s="1265"/>
      <c r="Y5" s="3464"/>
      <c r="Z5" s="3465"/>
      <c r="AA5" s="3458"/>
      <c r="AB5" s="3458"/>
      <c r="AC5" s="3458"/>
    </row>
    <row r="6" spans="1:29" ht="15.75" thickBot="1">
      <c r="A6" s="350"/>
      <c r="B6" s="351"/>
      <c r="C6" s="3470" t="s">
        <v>1677</v>
      </c>
      <c r="D6" s="3471"/>
      <c r="E6" s="3472" t="s">
        <v>1677</v>
      </c>
      <c r="F6" s="3473"/>
      <c r="G6" s="3470" t="s">
        <v>1677</v>
      </c>
      <c r="H6" s="3471"/>
      <c r="I6" s="3470" t="s">
        <v>1677</v>
      </c>
      <c r="J6" s="3471"/>
      <c r="K6" s="537" t="s">
        <v>1678</v>
      </c>
      <c r="L6" s="860"/>
      <c r="M6" s="861"/>
      <c r="N6" s="861"/>
      <c r="O6" s="861"/>
      <c r="P6" s="3483"/>
      <c r="Q6" s="3484"/>
      <c r="R6" s="3464"/>
      <c r="S6" s="3465"/>
      <c r="T6" s="3485"/>
      <c r="U6" s="3486"/>
      <c r="V6" s="3487"/>
      <c r="W6" s="3487"/>
      <c r="X6" s="1265"/>
      <c r="Y6" s="3485"/>
      <c r="Z6" s="3486"/>
      <c r="AA6" s="3459"/>
      <c r="AB6" s="3459"/>
      <c r="AC6" s="3459"/>
    </row>
    <row r="7" spans="1:29" s="102" customFormat="1" ht="15.75" thickBot="1">
      <c r="A7" s="352" t="s">
        <v>1679</v>
      </c>
      <c r="B7" s="353"/>
      <c r="C7" s="354">
        <f>'数据-取费表'!B2</f>
        <v>45922</v>
      </c>
      <c r="D7" s="355">
        <v>100</v>
      </c>
      <c r="E7" s="356"/>
      <c r="F7" s="357">
        <f>SUMIF(52:52,YEAR(E7)&amp;"-"&amp;MONTH(E7),53:53)</f>
        <v>0</v>
      </c>
      <c r="G7" s="356"/>
      <c r="H7" s="355">
        <f>SUMIF(52:52,YEAR(G7)&amp;"-"&amp;MONTH(G7),53:53)</f>
        <v>0</v>
      </c>
      <c r="I7" s="356"/>
      <c r="J7" s="355">
        <f>SUMIF(52:52,YEAR(I7)&amp;"-"&amp;MONTH(I7),53:53)</f>
        <v>0</v>
      </c>
      <c r="K7" s="38"/>
      <c r="L7" s="862"/>
      <c r="M7" s="863"/>
      <c r="N7" s="863"/>
      <c r="O7" s="863"/>
      <c r="P7" s="3460" t="s">
        <v>1680</v>
      </c>
      <c r="Q7" s="3488"/>
      <c r="R7" s="664" t="s">
        <v>14</v>
      </c>
      <c r="S7" s="665">
        <f t="shared" ref="S7:S15" si="0">F7</f>
        <v>0</v>
      </c>
      <c r="T7" s="664" t="s">
        <v>14</v>
      </c>
      <c r="U7" s="665">
        <f t="shared" ref="U7:U15" si="1">H7</f>
        <v>0</v>
      </c>
      <c r="V7" s="664" t="s">
        <v>14</v>
      </c>
      <c r="W7" s="665">
        <f t="shared" ref="W7:W15" si="2">J7</f>
        <v>0</v>
      </c>
      <c r="X7" s="666"/>
      <c r="Y7" s="3460" t="s">
        <v>1680</v>
      </c>
      <c r="Z7" s="346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0" t="s">
        <v>1683</v>
      </c>
      <c r="Q8" s="3461"/>
      <c r="R8" s="664" t="s">
        <v>14</v>
      </c>
      <c r="S8" s="665">
        <f t="shared" si="0"/>
        <v>100</v>
      </c>
      <c r="T8" s="664" t="s">
        <v>14</v>
      </c>
      <c r="U8" s="665">
        <f t="shared" si="1"/>
        <v>100</v>
      </c>
      <c r="V8" s="664" t="s">
        <v>14</v>
      </c>
      <c r="W8" s="665">
        <f t="shared" si="2"/>
        <v>100</v>
      </c>
      <c r="X8" s="666"/>
      <c r="Y8" s="3460" t="s">
        <v>1683</v>
      </c>
      <c r="Z8" s="346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2"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92"/>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2"/>
      <c r="Q11" s="530" t="str">
        <f t="shared" si="6"/>
        <v>容积率</v>
      </c>
      <c r="R11" s="664" t="s">
        <v>14</v>
      </c>
      <c r="S11" s="665">
        <f t="shared" si="0"/>
        <v>100</v>
      </c>
      <c r="T11" s="664" t="s">
        <v>14</v>
      </c>
      <c r="U11" s="665">
        <f t="shared" si="1"/>
        <v>100</v>
      </c>
      <c r="V11" s="664" t="s">
        <v>14</v>
      </c>
      <c r="W11" s="665">
        <f t="shared" si="2"/>
        <v>100</v>
      </c>
      <c r="X11" s="666"/>
      <c r="Y11" s="340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92"/>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92"/>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92"/>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3" t="s">
        <v>1691</v>
      </c>
      <c r="Q15" s="1263" t="str">
        <f t="shared" si="6"/>
        <v>产业集聚程度</v>
      </c>
      <c r="R15" s="667" t="s">
        <v>14</v>
      </c>
      <c r="S15" s="668">
        <f t="shared" si="0"/>
        <v>100</v>
      </c>
      <c r="T15" s="667" t="s">
        <v>14</v>
      </c>
      <c r="U15" s="668">
        <f t="shared" si="1"/>
        <v>100</v>
      </c>
      <c r="V15" s="667" t="s">
        <v>14</v>
      </c>
      <c r="W15" s="668">
        <f t="shared" si="2"/>
        <v>100</v>
      </c>
      <c r="X15" s="1265"/>
      <c r="Y15" s="349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94"/>
      <c r="Q16" s="1263"/>
      <c r="R16" s="667"/>
      <c r="S16" s="668"/>
      <c r="T16" s="667"/>
      <c r="U16" s="668"/>
      <c r="V16" s="667"/>
      <c r="W16" s="668"/>
      <c r="X16" s="1265"/>
      <c r="Y16" s="349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4"/>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94"/>
      <c r="Q18" s="1263"/>
      <c r="R18" s="667"/>
      <c r="S18" s="668"/>
      <c r="T18" s="667"/>
      <c r="U18" s="668"/>
      <c r="V18" s="667"/>
      <c r="W18" s="668"/>
      <c r="X18" s="1265"/>
      <c r="Y18" s="349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4"/>
      <c r="Q19" s="1263" t="str">
        <f>B19</f>
        <v>公共配套设施</v>
      </c>
      <c r="R19" s="667" t="s">
        <v>14</v>
      </c>
      <c r="S19" s="668">
        <f>F19</f>
        <v>100</v>
      </c>
      <c r="T19" s="667" t="s">
        <v>14</v>
      </c>
      <c r="U19" s="668">
        <f>H19</f>
        <v>100</v>
      </c>
      <c r="V19" s="667" t="s">
        <v>14</v>
      </c>
      <c r="W19" s="668">
        <f>J19</f>
        <v>100</v>
      </c>
      <c r="X19" s="1265"/>
      <c r="Y19" s="349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94"/>
      <c r="Q20" s="1263"/>
      <c r="R20" s="667"/>
      <c r="S20" s="668"/>
      <c r="T20" s="667"/>
      <c r="U20" s="668"/>
      <c r="V20" s="667"/>
      <c r="W20" s="668"/>
      <c r="X20" s="1265"/>
      <c r="Y20" s="349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4"/>
      <c r="Q21" s="1263" t="str">
        <f>B21</f>
        <v>基础设施水平</v>
      </c>
      <c r="R21" s="667" t="s">
        <v>14</v>
      </c>
      <c r="S21" s="668">
        <f>F21</f>
        <v>100</v>
      </c>
      <c r="T21" s="667" t="s">
        <v>14</v>
      </c>
      <c r="U21" s="668">
        <f>H21</f>
        <v>100</v>
      </c>
      <c r="V21" s="667" t="s">
        <v>14</v>
      </c>
      <c r="W21" s="668">
        <f>J21</f>
        <v>100</v>
      </c>
      <c r="X21" s="1265"/>
      <c r="Y21" s="349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94"/>
      <c r="Q22" s="1263"/>
      <c r="R22" s="667"/>
      <c r="S22" s="668"/>
      <c r="T22" s="667"/>
      <c r="U22" s="668"/>
      <c r="V22" s="667"/>
      <c r="W22" s="668"/>
      <c r="X22" s="1265"/>
      <c r="Y22" s="349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4"/>
      <c r="Q23" s="1263" t="str">
        <f>B23</f>
        <v>环境质量</v>
      </c>
      <c r="R23" s="667" t="s">
        <v>14</v>
      </c>
      <c r="S23" s="668">
        <f>F23</f>
        <v>100</v>
      </c>
      <c r="T23" s="667" t="s">
        <v>14</v>
      </c>
      <c r="U23" s="668">
        <f>H23</f>
        <v>100</v>
      </c>
      <c r="V23" s="667" t="s">
        <v>14</v>
      </c>
      <c r="W23" s="668">
        <f>J23</f>
        <v>100</v>
      </c>
      <c r="X23" s="1265"/>
      <c r="Y23" s="349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94"/>
      <c r="Q24" s="1263"/>
      <c r="R24" s="667"/>
      <c r="S24" s="668"/>
      <c r="T24" s="667"/>
      <c r="U24" s="668"/>
      <c r="V24" s="667"/>
      <c r="W24" s="668"/>
      <c r="X24" s="1265"/>
      <c r="Y24" s="349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4"/>
      <c r="Q25" s="1263">
        <f>B25</f>
        <v>111</v>
      </c>
      <c r="R25" s="667" t="s">
        <v>14</v>
      </c>
      <c r="S25" s="668">
        <f>F25</f>
        <v>100</v>
      </c>
      <c r="T25" s="667" t="s">
        <v>14</v>
      </c>
      <c r="U25" s="668">
        <f>H25</f>
        <v>100</v>
      </c>
      <c r="V25" s="667" t="s">
        <v>14</v>
      </c>
      <c r="W25" s="668">
        <f>J25</f>
        <v>100</v>
      </c>
      <c r="X25" s="1265"/>
      <c r="Y25" s="349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4"/>
      <c r="Q26" s="1263">
        <f t="shared" ref="Q26:Q40" si="11">B26</f>
        <v>111</v>
      </c>
      <c r="R26" s="667" t="s">
        <v>14</v>
      </c>
      <c r="S26" s="668">
        <f>F26</f>
        <v>100</v>
      </c>
      <c r="T26" s="667" t="s">
        <v>14</v>
      </c>
      <c r="U26" s="668">
        <f>H26</f>
        <v>100</v>
      </c>
      <c r="V26" s="667" t="s">
        <v>14</v>
      </c>
      <c r="W26" s="668">
        <f>J26</f>
        <v>100</v>
      </c>
      <c r="X26" s="1265"/>
      <c r="Y26" s="349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4"/>
      <c r="Q27" s="530">
        <f t="shared" si="11"/>
        <v>111</v>
      </c>
      <c r="R27" s="664" t="s">
        <v>14</v>
      </c>
      <c r="S27" s="665">
        <f>F27</f>
        <v>100</v>
      </c>
      <c r="T27" s="664" t="s">
        <v>14</v>
      </c>
      <c r="U27" s="665">
        <f>H27</f>
        <v>100</v>
      </c>
      <c r="V27" s="664" t="s">
        <v>14</v>
      </c>
      <c r="W27" s="665">
        <f>J27</f>
        <v>100</v>
      </c>
      <c r="X27" s="666"/>
      <c r="Y27" s="349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4"/>
      <c r="Q28" s="1263">
        <f t="shared" si="11"/>
        <v>111</v>
      </c>
      <c r="R28" s="667" t="s">
        <v>14</v>
      </c>
      <c r="S28" s="668">
        <f t="shared" ref="S28:S40" si="12">F28</f>
        <v>100</v>
      </c>
      <c r="T28" s="667" t="s">
        <v>14</v>
      </c>
      <c r="U28" s="668">
        <f t="shared" ref="U28:U40" si="13">H28</f>
        <v>100</v>
      </c>
      <c r="V28" s="667" t="s">
        <v>14</v>
      </c>
      <c r="W28" s="668">
        <f t="shared" ref="W28:W40" si="14">J28</f>
        <v>100</v>
      </c>
      <c r="X28" s="1265"/>
      <c r="Y28" s="349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93" t="s">
        <v>1696</v>
      </c>
      <c r="Q29" s="1263" t="str">
        <f t="shared" si="11"/>
        <v>建筑类型</v>
      </c>
      <c r="R29" s="667" t="s">
        <v>14</v>
      </c>
      <c r="S29" s="668">
        <f t="shared" si="12"/>
        <v>100</v>
      </c>
      <c r="T29" s="667" t="s">
        <v>14</v>
      </c>
      <c r="U29" s="668">
        <f t="shared" si="13"/>
        <v>100</v>
      </c>
      <c r="V29" s="667" t="s">
        <v>14</v>
      </c>
      <c r="W29" s="668">
        <f t="shared" si="14"/>
        <v>100</v>
      </c>
      <c r="X29" s="1265"/>
      <c r="Y29" s="349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98"/>
      <c r="Q30" s="531" t="str">
        <f t="shared" si="11"/>
        <v>项目建筑规模</v>
      </c>
      <c r="R30" s="669" t="s">
        <v>14</v>
      </c>
      <c r="S30" s="670" t="e">
        <f t="shared" si="12"/>
        <v>#N/A</v>
      </c>
      <c r="T30" s="669" t="s">
        <v>14</v>
      </c>
      <c r="U30" s="670" t="e">
        <f t="shared" si="13"/>
        <v>#N/A</v>
      </c>
      <c r="V30" s="669" t="s">
        <v>14</v>
      </c>
      <c r="W30" s="670" t="e">
        <f t="shared" si="14"/>
        <v>#N/A</v>
      </c>
      <c r="X30" s="671"/>
      <c r="Y30" s="349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98"/>
      <c r="Q31" s="1263" t="str">
        <f t="shared" si="11"/>
        <v>建筑结构</v>
      </c>
      <c r="R31" s="667" t="s">
        <v>14</v>
      </c>
      <c r="S31" s="668">
        <f t="shared" si="12"/>
        <v>100</v>
      </c>
      <c r="T31" s="667" t="s">
        <v>14</v>
      </c>
      <c r="U31" s="668">
        <f t="shared" si="13"/>
        <v>100</v>
      </c>
      <c r="V31" s="667" t="s">
        <v>14</v>
      </c>
      <c r="W31" s="668">
        <f t="shared" si="14"/>
        <v>100</v>
      </c>
      <c r="X31" s="1265"/>
      <c r="Y31" s="349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98"/>
      <c r="Q32" s="1263" t="str">
        <f t="shared" si="11"/>
        <v>公共部分装修</v>
      </c>
      <c r="R32" s="667" t="s">
        <v>14</v>
      </c>
      <c r="S32" s="668">
        <f t="shared" si="12"/>
        <v>100</v>
      </c>
      <c r="T32" s="667" t="s">
        <v>14</v>
      </c>
      <c r="U32" s="668">
        <f t="shared" si="13"/>
        <v>100</v>
      </c>
      <c r="V32" s="667" t="s">
        <v>14</v>
      </c>
      <c r="W32" s="668">
        <f t="shared" si="14"/>
        <v>100</v>
      </c>
      <c r="X32" s="1265"/>
      <c r="Y32" s="349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98"/>
      <c r="Q33" s="1263" t="str">
        <f t="shared" si="11"/>
        <v>成新度</v>
      </c>
      <c r="R33" s="667" t="s">
        <v>14</v>
      </c>
      <c r="S33" s="668" t="e">
        <f t="shared" si="12"/>
        <v>#N/A</v>
      </c>
      <c r="T33" s="667" t="s">
        <v>14</v>
      </c>
      <c r="U33" s="668" t="e">
        <f t="shared" si="13"/>
        <v>#N/A</v>
      </c>
      <c r="V33" s="667" t="s">
        <v>14</v>
      </c>
      <c r="W33" s="668" t="e">
        <f t="shared" si="14"/>
        <v>#N/A</v>
      </c>
      <c r="X33" s="1265"/>
      <c r="Y33" s="349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98"/>
      <c r="Q34" s="530" t="str">
        <f t="shared" si="11"/>
        <v>物业管理</v>
      </c>
      <c r="R34" s="664" t="s">
        <v>14</v>
      </c>
      <c r="S34" s="665">
        <f t="shared" si="12"/>
        <v>100</v>
      </c>
      <c r="T34" s="664" t="s">
        <v>14</v>
      </c>
      <c r="U34" s="665">
        <f t="shared" si="13"/>
        <v>100</v>
      </c>
      <c r="V34" s="664" t="s">
        <v>14</v>
      </c>
      <c r="W34" s="665">
        <f t="shared" si="14"/>
        <v>100</v>
      </c>
      <c r="X34" s="666"/>
      <c r="Y34" s="34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98" t="s">
        <v>1696</v>
      </c>
      <c r="Q35" s="1263" t="str">
        <f t="shared" si="11"/>
        <v>市政基础设施</v>
      </c>
      <c r="R35" s="667" t="s">
        <v>14</v>
      </c>
      <c r="S35" s="668">
        <f t="shared" si="12"/>
        <v>100</v>
      </c>
      <c r="T35" s="667" t="s">
        <v>14</v>
      </c>
      <c r="U35" s="668">
        <f t="shared" si="13"/>
        <v>100</v>
      </c>
      <c r="V35" s="667" t="s">
        <v>14</v>
      </c>
      <c r="W35" s="668">
        <f t="shared" si="14"/>
        <v>100</v>
      </c>
      <c r="X35" s="1265"/>
      <c r="Y35" s="349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98"/>
      <c r="Q36" s="1263" t="str">
        <f t="shared" si="11"/>
        <v>内部装修</v>
      </c>
      <c r="R36" s="667" t="s">
        <v>14</v>
      </c>
      <c r="S36" s="668">
        <f t="shared" si="12"/>
        <v>100</v>
      </c>
      <c r="T36" s="667" t="s">
        <v>14</v>
      </c>
      <c r="U36" s="668">
        <f t="shared" si="13"/>
        <v>100</v>
      </c>
      <c r="V36" s="667" t="s">
        <v>14</v>
      </c>
      <c r="W36" s="668">
        <f t="shared" si="14"/>
        <v>100</v>
      </c>
      <c r="X36" s="1265"/>
      <c r="Y36" s="349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98"/>
      <c r="Q37" s="1263" t="str">
        <f t="shared" si="11"/>
        <v>内部装修状况</v>
      </c>
      <c r="R37" s="667" t="s">
        <v>14</v>
      </c>
      <c r="S37" s="668">
        <f t="shared" si="12"/>
        <v>100</v>
      </c>
      <c r="T37" s="667" t="s">
        <v>14</v>
      </c>
      <c r="U37" s="668">
        <f t="shared" si="13"/>
        <v>100</v>
      </c>
      <c r="V37" s="667" t="s">
        <v>14</v>
      </c>
      <c r="W37" s="668">
        <f t="shared" si="14"/>
        <v>100</v>
      </c>
      <c r="X37" s="1265"/>
      <c r="Y37" s="349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98"/>
      <c r="Q38" s="531">
        <f t="shared" si="11"/>
        <v>111</v>
      </c>
      <c r="R38" s="669" t="s">
        <v>14</v>
      </c>
      <c r="S38" s="670">
        <f t="shared" si="12"/>
        <v>100</v>
      </c>
      <c r="T38" s="669" t="s">
        <v>14</v>
      </c>
      <c r="U38" s="670">
        <f t="shared" si="13"/>
        <v>100</v>
      </c>
      <c r="V38" s="669" t="s">
        <v>14</v>
      </c>
      <c r="W38" s="670">
        <f t="shared" si="14"/>
        <v>100</v>
      </c>
      <c r="X38" s="671"/>
      <c r="Y38" s="349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98"/>
      <c r="Q39" s="1263">
        <f t="shared" si="11"/>
        <v>111</v>
      </c>
      <c r="R39" s="667" t="s">
        <v>14</v>
      </c>
      <c r="S39" s="668">
        <f t="shared" si="12"/>
        <v>100</v>
      </c>
      <c r="T39" s="667" t="s">
        <v>14</v>
      </c>
      <c r="U39" s="668">
        <f t="shared" si="13"/>
        <v>100</v>
      </c>
      <c r="V39" s="667" t="s">
        <v>14</v>
      </c>
      <c r="W39" s="668">
        <f t="shared" si="14"/>
        <v>100</v>
      </c>
      <c r="X39" s="1265"/>
      <c r="Y39" s="349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99"/>
      <c r="Q40" s="1263">
        <f t="shared" si="11"/>
        <v>111</v>
      </c>
      <c r="R40" s="667" t="s">
        <v>14</v>
      </c>
      <c r="S40" s="668">
        <f t="shared" si="12"/>
        <v>100</v>
      </c>
      <c r="T40" s="667" t="s">
        <v>14</v>
      </c>
      <c r="U40" s="668">
        <f t="shared" si="13"/>
        <v>100</v>
      </c>
      <c r="V40" s="667" t="s">
        <v>14</v>
      </c>
      <c r="W40" s="668">
        <f t="shared" si="14"/>
        <v>100</v>
      </c>
      <c r="X40" s="1265"/>
      <c r="Y40" s="349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92" t="str">
        <f>A41</f>
        <v>成交单价（元/平方米）</v>
      </c>
      <c r="Q41" s="3492"/>
      <c r="R41" s="3487">
        <f>E41</f>
        <v>0</v>
      </c>
      <c r="S41" s="3487"/>
      <c r="T41" s="3487">
        <f>G41</f>
        <v>0</v>
      </c>
      <c r="U41" s="3487"/>
      <c r="V41" s="3487">
        <f>I41</f>
        <v>0</v>
      </c>
      <c r="W41" s="348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92" t="str">
        <f>A42</f>
        <v>比较价值（元/平方米）</v>
      </c>
      <c r="Q42" s="3492"/>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75" t="s">
        <v>1770</v>
      </c>
      <c r="D4" s="3476"/>
      <c r="E4" s="3477" t="s">
        <v>1771</v>
      </c>
      <c r="F4" s="3478"/>
      <c r="G4" s="3475" t="s">
        <v>1772</v>
      </c>
      <c r="H4" s="3476"/>
      <c r="I4" s="3475" t="s">
        <v>1773</v>
      </c>
      <c r="J4" s="3476"/>
      <c r="K4" s="537" t="s">
        <v>1774</v>
      </c>
      <c r="L4" s="2487"/>
      <c r="M4" s="2488"/>
      <c r="N4" s="2488"/>
      <c r="O4" s="2488"/>
      <c r="P4" s="3479" t="s">
        <v>1775</v>
      </c>
      <c r="Q4" s="3480"/>
      <c r="R4" s="3462" t="s">
        <v>1771</v>
      </c>
      <c r="S4" s="3463"/>
      <c r="T4" s="3462" t="s">
        <v>1772</v>
      </c>
      <c r="U4" s="3463"/>
      <c r="V4" s="3487" t="s">
        <v>1773</v>
      </c>
      <c r="W4" s="3487"/>
      <c r="X4" s="1265"/>
      <c r="Y4" s="3462" t="s">
        <v>1775</v>
      </c>
      <c r="Z4" s="3463"/>
      <c r="AA4" s="3457" t="s">
        <v>1771</v>
      </c>
      <c r="AB4" s="3458" t="s">
        <v>1772</v>
      </c>
      <c r="AC4" s="3457" t="s">
        <v>1773</v>
      </c>
    </row>
    <row r="5" spans="1:29" ht="15">
      <c r="A5" s="348"/>
      <c r="B5" s="349"/>
      <c r="C5" s="3468" t="s">
        <v>1673</v>
      </c>
      <c r="D5" s="3469"/>
      <c r="E5" s="3466" t="s">
        <v>1674</v>
      </c>
      <c r="F5" s="3467"/>
      <c r="G5" s="3468" t="s">
        <v>1675</v>
      </c>
      <c r="H5" s="3469"/>
      <c r="I5" s="3468" t="s">
        <v>1676</v>
      </c>
      <c r="J5" s="3469"/>
      <c r="K5" s="537"/>
      <c r="L5" s="2487"/>
      <c r="M5" s="2488"/>
      <c r="N5" s="2488"/>
      <c r="O5" s="2488"/>
      <c r="P5" s="3481"/>
      <c r="Q5" s="3482"/>
      <c r="R5" s="3464"/>
      <c r="S5" s="3465"/>
      <c r="T5" s="3464"/>
      <c r="U5" s="3465"/>
      <c r="V5" s="3487"/>
      <c r="W5" s="3487"/>
      <c r="X5" s="1265"/>
      <c r="Y5" s="3464"/>
      <c r="Z5" s="3465"/>
      <c r="AA5" s="3458"/>
      <c r="AB5" s="3458"/>
      <c r="AC5" s="3458"/>
    </row>
    <row r="6" spans="1:29" ht="15.75" thickBot="1">
      <c r="A6" s="350"/>
      <c r="B6" s="351"/>
      <c r="C6" s="3470" t="s">
        <v>1677</v>
      </c>
      <c r="D6" s="3471"/>
      <c r="E6" s="3472" t="s">
        <v>1677</v>
      </c>
      <c r="F6" s="3473"/>
      <c r="G6" s="3470" t="s">
        <v>1677</v>
      </c>
      <c r="H6" s="3471"/>
      <c r="I6" s="3470" t="s">
        <v>1677</v>
      </c>
      <c r="J6" s="3471"/>
      <c r="K6" s="537" t="s">
        <v>1678</v>
      </c>
      <c r="L6" s="2487"/>
      <c r="M6" s="2488"/>
      <c r="N6" s="2488"/>
      <c r="O6" s="2488"/>
      <c r="P6" s="3483"/>
      <c r="Q6" s="3484"/>
      <c r="R6" s="3464"/>
      <c r="S6" s="3465"/>
      <c r="T6" s="3485"/>
      <c r="U6" s="3486"/>
      <c r="V6" s="3487"/>
      <c r="W6" s="3487"/>
      <c r="X6" s="1265"/>
      <c r="Y6" s="3485"/>
      <c r="Z6" s="3486"/>
      <c r="AA6" s="3459"/>
      <c r="AB6" s="3459"/>
      <c r="AC6" s="3459"/>
    </row>
    <row r="7" spans="1:29" s="102" customFormat="1" ht="15.75" thickBot="1">
      <c r="A7" s="352" t="s">
        <v>1679</v>
      </c>
      <c r="B7" s="353"/>
      <c r="C7" s="354">
        <f>'数据-取费表'!B2</f>
        <v>45922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60" t="s">
        <v>1680</v>
      </c>
      <c r="Q7" s="3488"/>
      <c r="R7" s="664" t="s">
        <v>14</v>
      </c>
      <c r="S7" s="665">
        <f t="shared" ref="S7:S14" si="0">F7</f>
        <v>0</v>
      </c>
      <c r="T7" s="664" t="s">
        <v>14</v>
      </c>
      <c r="U7" s="665">
        <f t="shared" ref="U7:U14" si="1">H7</f>
        <v>0</v>
      </c>
      <c r="V7" s="664" t="s">
        <v>14</v>
      </c>
      <c r="W7" s="665">
        <f t="shared" ref="W7:W14" si="2">J7</f>
        <v>0</v>
      </c>
      <c r="X7" s="666"/>
      <c r="Y7" s="3460" t="s">
        <v>1680</v>
      </c>
      <c r="Z7" s="346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60" t="s">
        <v>1683</v>
      </c>
      <c r="Q8" s="3461"/>
      <c r="R8" s="664" t="s">
        <v>14</v>
      </c>
      <c r="S8" s="665">
        <f t="shared" si="0"/>
        <v>100</v>
      </c>
      <c r="T8" s="664" t="s">
        <v>14</v>
      </c>
      <c r="U8" s="665">
        <f t="shared" si="1"/>
        <v>100</v>
      </c>
      <c r="V8" s="664" t="s">
        <v>14</v>
      </c>
      <c r="W8" s="665">
        <f t="shared" si="2"/>
        <v>100</v>
      </c>
      <c r="X8" s="666"/>
      <c r="Y8" s="3460" t="s">
        <v>1683</v>
      </c>
      <c r="Z8" s="346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92" t="s">
        <v>1686</v>
      </c>
      <c r="Q9" s="530" t="str">
        <f t="shared" ref="Q9:Q14" si="6">B9</f>
        <v>用途</v>
      </c>
      <c r="R9" s="664" t="s">
        <v>14</v>
      </c>
      <c r="S9" s="665">
        <f t="shared" si="0"/>
        <v>100</v>
      </c>
      <c r="T9" s="664" t="s">
        <v>14</v>
      </c>
      <c r="U9" s="665">
        <f t="shared" si="1"/>
        <v>100</v>
      </c>
      <c r="V9" s="664" t="s">
        <v>14</v>
      </c>
      <c r="W9" s="665">
        <f t="shared" si="2"/>
        <v>100</v>
      </c>
      <c r="X9" s="666"/>
      <c r="Y9" s="340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92"/>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92"/>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92"/>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92"/>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93" t="s">
        <v>1691</v>
      </c>
      <c r="Q14" s="1263" t="str">
        <f t="shared" si="6"/>
        <v>交通便捷度</v>
      </c>
      <c r="R14" s="667" t="s">
        <v>14</v>
      </c>
      <c r="S14" s="668">
        <f t="shared" si="0"/>
        <v>100</v>
      </c>
      <c r="T14" s="667" t="s">
        <v>14</v>
      </c>
      <c r="U14" s="668">
        <f t="shared" si="1"/>
        <v>100</v>
      </c>
      <c r="V14" s="667" t="s">
        <v>14</v>
      </c>
      <c r="W14" s="668">
        <f t="shared" si="2"/>
        <v>100</v>
      </c>
      <c r="X14" s="1265"/>
      <c r="Y14" s="349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94"/>
      <c r="Q15" s="1263"/>
      <c r="R15" s="667"/>
      <c r="S15" s="668"/>
      <c r="T15" s="667"/>
      <c r="U15" s="668"/>
      <c r="V15" s="667"/>
      <c r="W15" s="668"/>
      <c r="X15" s="1265"/>
      <c r="Y15" s="349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94"/>
      <c r="Q16" s="1263" t="str">
        <f>B16</f>
        <v>公共配套设施</v>
      </c>
      <c r="R16" s="667" t="s">
        <v>14</v>
      </c>
      <c r="S16" s="668">
        <f>F16</f>
        <v>100</v>
      </c>
      <c r="T16" s="667" t="s">
        <v>14</v>
      </c>
      <c r="U16" s="668">
        <f>H16</f>
        <v>100</v>
      </c>
      <c r="V16" s="667" t="s">
        <v>14</v>
      </c>
      <c r="W16" s="668">
        <f>J16</f>
        <v>100</v>
      </c>
      <c r="X16" s="1265"/>
      <c r="Y16" s="349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94"/>
      <c r="Q17" s="1263"/>
      <c r="R17" s="667"/>
      <c r="S17" s="668"/>
      <c r="T17" s="667"/>
      <c r="U17" s="668"/>
      <c r="V17" s="667"/>
      <c r="W17" s="668"/>
      <c r="X17" s="1265"/>
      <c r="Y17" s="349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94"/>
      <c r="Q18" s="1263" t="str">
        <f>B18</f>
        <v>基础设施水平</v>
      </c>
      <c r="R18" s="667" t="s">
        <v>14</v>
      </c>
      <c r="S18" s="668">
        <f>F18</f>
        <v>100</v>
      </c>
      <c r="T18" s="667" t="s">
        <v>14</v>
      </c>
      <c r="U18" s="668">
        <f>H18</f>
        <v>100</v>
      </c>
      <c r="V18" s="667" t="s">
        <v>14</v>
      </c>
      <c r="W18" s="668">
        <f>J18</f>
        <v>100</v>
      </c>
      <c r="X18" s="1265"/>
      <c r="Y18" s="349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94"/>
      <c r="Q19" s="1263"/>
      <c r="R19" s="667"/>
      <c r="S19" s="668"/>
      <c r="T19" s="667"/>
      <c r="U19" s="668"/>
      <c r="V19" s="667"/>
      <c r="W19" s="668"/>
      <c r="X19" s="1265"/>
      <c r="Y19" s="349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94"/>
      <c r="Q20" s="1263" t="str">
        <f>B20</f>
        <v>自然及人文环境</v>
      </c>
      <c r="R20" s="667" t="s">
        <v>14</v>
      </c>
      <c r="S20" s="668">
        <f>F20</f>
        <v>100</v>
      </c>
      <c r="T20" s="667" t="s">
        <v>14</v>
      </c>
      <c r="U20" s="668">
        <f>H20</f>
        <v>100</v>
      </c>
      <c r="V20" s="667" t="s">
        <v>14</v>
      </c>
      <c r="W20" s="668">
        <f>J20</f>
        <v>100</v>
      </c>
      <c r="X20" s="1265"/>
      <c r="Y20" s="349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94"/>
      <c r="Q21" s="1263"/>
      <c r="R21" s="667"/>
      <c r="S21" s="668"/>
      <c r="T21" s="667"/>
      <c r="U21" s="668"/>
      <c r="V21" s="667"/>
      <c r="W21" s="668"/>
      <c r="X21" s="1265"/>
      <c r="Y21" s="349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94"/>
      <c r="Q22" s="1263" t="str">
        <f>B22</f>
        <v>楼层</v>
      </c>
      <c r="R22" s="667" t="s">
        <v>14</v>
      </c>
      <c r="S22" s="668">
        <f>F22</f>
        <v>100</v>
      </c>
      <c r="T22" s="667" t="s">
        <v>14</v>
      </c>
      <c r="U22" s="668">
        <f>H22</f>
        <v>100</v>
      </c>
      <c r="V22" s="667" t="s">
        <v>14</v>
      </c>
      <c r="W22" s="668">
        <f>J22</f>
        <v>100</v>
      </c>
      <c r="X22" s="1265"/>
      <c r="Y22" s="349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94"/>
      <c r="Q23" s="1263">
        <f>B23</f>
        <v>111</v>
      </c>
      <c r="R23" s="667" t="s">
        <v>14</v>
      </c>
      <c r="S23" s="668">
        <f>F23</f>
        <v>100</v>
      </c>
      <c r="T23" s="667" t="s">
        <v>14</v>
      </c>
      <c r="U23" s="668">
        <f>H23</f>
        <v>100</v>
      </c>
      <c r="V23" s="667" t="s">
        <v>14</v>
      </c>
      <c r="W23" s="668">
        <f>J23</f>
        <v>100</v>
      </c>
      <c r="X23" s="1265"/>
      <c r="Y23" s="349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94"/>
      <c r="Q24" s="1263">
        <f t="shared" ref="Q24:Q36" si="11">B24</f>
        <v>111</v>
      </c>
      <c r="R24" s="667" t="s">
        <v>14</v>
      </c>
      <c r="S24" s="668">
        <f>F24</f>
        <v>100</v>
      </c>
      <c r="T24" s="667" t="s">
        <v>14</v>
      </c>
      <c r="U24" s="668">
        <f>H24</f>
        <v>100</v>
      </c>
      <c r="V24" s="667" t="s">
        <v>14</v>
      </c>
      <c r="W24" s="668">
        <f>J24</f>
        <v>100</v>
      </c>
      <c r="X24" s="1265"/>
      <c r="Y24" s="349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94"/>
      <c r="Q25" s="530">
        <f t="shared" si="11"/>
        <v>111</v>
      </c>
      <c r="R25" s="664" t="s">
        <v>14</v>
      </c>
      <c r="S25" s="665">
        <f>F25</f>
        <v>100</v>
      </c>
      <c r="T25" s="664" t="s">
        <v>14</v>
      </c>
      <c r="U25" s="665">
        <f>H25</f>
        <v>100</v>
      </c>
      <c r="V25" s="664" t="s">
        <v>14</v>
      </c>
      <c r="W25" s="665">
        <f>J25</f>
        <v>100</v>
      </c>
      <c r="X25" s="666"/>
      <c r="Y25" s="349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9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9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98"/>
      <c r="Q27" s="531" t="str">
        <f t="shared" si="11"/>
        <v>项目停车位配比</v>
      </c>
      <c r="R27" s="669" t="s">
        <v>14</v>
      </c>
      <c r="S27" s="670">
        <f t="shared" si="12"/>
        <v>100</v>
      </c>
      <c r="T27" s="669" t="s">
        <v>14</v>
      </c>
      <c r="U27" s="670">
        <f t="shared" si="13"/>
        <v>100</v>
      </c>
      <c r="V27" s="669" t="s">
        <v>14</v>
      </c>
      <c r="W27" s="670">
        <f t="shared" si="14"/>
        <v>100</v>
      </c>
      <c r="X27" s="671"/>
      <c r="Y27" s="349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98"/>
      <c r="Q28" s="1263" t="str">
        <f t="shared" si="11"/>
        <v>公共部分装修</v>
      </c>
      <c r="R28" s="667" t="s">
        <v>14</v>
      </c>
      <c r="S28" s="668">
        <f t="shared" si="12"/>
        <v>100</v>
      </c>
      <c r="T28" s="667" t="s">
        <v>14</v>
      </c>
      <c r="U28" s="668">
        <f t="shared" si="13"/>
        <v>100</v>
      </c>
      <c r="V28" s="667" t="s">
        <v>14</v>
      </c>
      <c r="W28" s="668">
        <f t="shared" si="14"/>
        <v>100</v>
      </c>
      <c r="X28" s="1265"/>
      <c r="Y28" s="349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98"/>
      <c r="Q29" s="1263" t="str">
        <f t="shared" si="11"/>
        <v>成新率</v>
      </c>
      <c r="R29" s="667" t="s">
        <v>14</v>
      </c>
      <c r="S29" s="668" t="e">
        <f t="shared" si="12"/>
        <v>#N/A</v>
      </c>
      <c r="T29" s="667" t="s">
        <v>14</v>
      </c>
      <c r="U29" s="668" t="e">
        <f t="shared" si="13"/>
        <v>#N/A</v>
      </c>
      <c r="V29" s="667" t="s">
        <v>14</v>
      </c>
      <c r="W29" s="668" t="e">
        <f t="shared" si="14"/>
        <v>#N/A</v>
      </c>
      <c r="X29" s="1265"/>
      <c r="Y29" s="349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98"/>
      <c r="Q30" s="1263" t="str">
        <f t="shared" si="11"/>
        <v>物业等级</v>
      </c>
      <c r="R30" s="667" t="s">
        <v>14</v>
      </c>
      <c r="S30" s="668">
        <f t="shared" si="12"/>
        <v>100</v>
      </c>
      <c r="T30" s="667" t="s">
        <v>14</v>
      </c>
      <c r="U30" s="668">
        <f t="shared" si="13"/>
        <v>100</v>
      </c>
      <c r="V30" s="667" t="s">
        <v>14</v>
      </c>
      <c r="W30" s="668">
        <f t="shared" si="14"/>
        <v>100</v>
      </c>
      <c r="X30" s="1265"/>
      <c r="Y30" s="349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98"/>
      <c r="Q31" s="530" t="str">
        <f t="shared" si="11"/>
        <v>停车位面积</v>
      </c>
      <c r="R31" s="664" t="s">
        <v>14</v>
      </c>
      <c r="S31" s="665" t="e">
        <f t="shared" si="12"/>
        <v>#N/A</v>
      </c>
      <c r="T31" s="664" t="s">
        <v>14</v>
      </c>
      <c r="U31" s="665" t="e">
        <f t="shared" si="13"/>
        <v>#N/A</v>
      </c>
      <c r="V31" s="664" t="s">
        <v>14</v>
      </c>
      <c r="W31" s="665" t="e">
        <f t="shared" si="14"/>
        <v>#N/A</v>
      </c>
      <c r="X31" s="666"/>
      <c r="Y31" s="34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98" t="s">
        <v>1696</v>
      </c>
      <c r="Q32" s="1263" t="str">
        <f t="shared" si="11"/>
        <v>车位类型</v>
      </c>
      <c r="R32" s="667" t="s">
        <v>14</v>
      </c>
      <c r="S32" s="668">
        <f t="shared" si="12"/>
        <v>100</v>
      </c>
      <c r="T32" s="667" t="s">
        <v>14</v>
      </c>
      <c r="U32" s="668">
        <f t="shared" si="13"/>
        <v>100</v>
      </c>
      <c r="V32" s="667" t="s">
        <v>14</v>
      </c>
      <c r="W32" s="668">
        <f t="shared" si="14"/>
        <v>100</v>
      </c>
      <c r="X32" s="1265"/>
      <c r="Y32" s="349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98"/>
      <c r="Q33" s="1263" t="str">
        <f t="shared" si="11"/>
        <v>是否直接入户</v>
      </c>
      <c r="R33" s="667" t="s">
        <v>14</v>
      </c>
      <c r="S33" s="668">
        <f t="shared" si="12"/>
        <v>100</v>
      </c>
      <c r="T33" s="667" t="s">
        <v>14</v>
      </c>
      <c r="U33" s="668">
        <f t="shared" si="13"/>
        <v>100</v>
      </c>
      <c r="V33" s="667" t="s">
        <v>14</v>
      </c>
      <c r="W33" s="668">
        <f t="shared" si="14"/>
        <v>100</v>
      </c>
      <c r="X33" s="1265"/>
      <c r="Y33" s="349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98"/>
      <c r="Q34" s="1263">
        <f t="shared" si="11"/>
        <v>111</v>
      </c>
      <c r="R34" s="667" t="s">
        <v>14</v>
      </c>
      <c r="S34" s="668">
        <f t="shared" si="12"/>
        <v>100</v>
      </c>
      <c r="T34" s="667" t="s">
        <v>14</v>
      </c>
      <c r="U34" s="668">
        <f t="shared" si="13"/>
        <v>100</v>
      </c>
      <c r="V34" s="667" t="s">
        <v>14</v>
      </c>
      <c r="W34" s="668">
        <f t="shared" si="14"/>
        <v>100</v>
      </c>
      <c r="X34" s="1265"/>
      <c r="Y34" s="349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98"/>
      <c r="Q35" s="531">
        <f t="shared" si="11"/>
        <v>111</v>
      </c>
      <c r="R35" s="669" t="s">
        <v>14</v>
      </c>
      <c r="S35" s="670">
        <f t="shared" si="12"/>
        <v>100</v>
      </c>
      <c r="T35" s="669" t="s">
        <v>14</v>
      </c>
      <c r="U35" s="670">
        <f t="shared" si="13"/>
        <v>100</v>
      </c>
      <c r="V35" s="669" t="s">
        <v>14</v>
      </c>
      <c r="W35" s="670">
        <f t="shared" si="14"/>
        <v>100</v>
      </c>
      <c r="X35" s="671"/>
      <c r="Y35" s="349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98"/>
      <c r="Q36" s="1263">
        <f t="shared" si="11"/>
        <v>111</v>
      </c>
      <c r="R36" s="667" t="s">
        <v>14</v>
      </c>
      <c r="S36" s="668">
        <f t="shared" si="12"/>
        <v>100</v>
      </c>
      <c r="T36" s="667" t="s">
        <v>14</v>
      </c>
      <c r="U36" s="668">
        <f t="shared" si="13"/>
        <v>100</v>
      </c>
      <c r="V36" s="667" t="s">
        <v>14</v>
      </c>
      <c r="W36" s="668">
        <f t="shared" si="14"/>
        <v>100</v>
      </c>
      <c r="X36" s="1265"/>
      <c r="Y36" s="3498"/>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492" t="str">
        <f>A37</f>
        <v>成交单价</v>
      </c>
      <c r="Q37" s="3492"/>
      <c r="R37" s="3487">
        <f>E37</f>
        <v>0</v>
      </c>
      <c r="S37" s="3487"/>
      <c r="T37" s="3487">
        <f>G37</f>
        <v>0</v>
      </c>
      <c r="U37" s="3487"/>
      <c r="V37" s="3487">
        <f>I37</f>
        <v>0</v>
      </c>
      <c r="W37" s="348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92" t="str">
        <f>A38</f>
        <v>比较价值（元/平方米）</v>
      </c>
      <c r="Q38" s="3492"/>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89" t="str">
        <f>A39</f>
        <v>估价对象XX用房的比较价值（楼面单价，元/平方米）</v>
      </c>
      <c r="Q39" s="3490"/>
      <c r="R39" s="3594" t="e">
        <f>IF(F1="售价",ROUND(IF(D38="简单平均",AVERAGE(R38:W38),R38*F38+T38*H38+V38*J38),0),ROUND(IF(D38="简单平均",AVERAGE(R38:V38),R38*F38+T38*H38+V38*J38),1))</f>
        <v>#DIV/0!</v>
      </c>
      <c r="S39" s="3594"/>
      <c r="T39" s="3594"/>
      <c r="U39" s="3594"/>
      <c r="V39" s="3594"/>
      <c r="W39" s="359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75" t="s">
        <v>1770</v>
      </c>
      <c r="D4" s="3476"/>
      <c r="E4" s="3477" t="s">
        <v>1771</v>
      </c>
      <c r="F4" s="3478"/>
      <c r="G4" s="3475" t="s">
        <v>1772</v>
      </c>
      <c r="H4" s="3476"/>
      <c r="I4" s="3475" t="s">
        <v>1773</v>
      </c>
      <c r="J4" s="3476"/>
      <c r="K4" s="537" t="s">
        <v>1774</v>
      </c>
      <c r="L4" s="2487"/>
      <c r="M4" s="2488"/>
      <c r="N4" s="2488"/>
      <c r="O4" s="2488"/>
      <c r="P4" s="3479" t="s">
        <v>1775</v>
      </c>
      <c r="Q4" s="3480"/>
      <c r="R4" s="3462" t="s">
        <v>1771</v>
      </c>
      <c r="S4" s="3463"/>
      <c r="T4" s="3462" t="s">
        <v>1772</v>
      </c>
      <c r="U4" s="3463"/>
      <c r="V4" s="3487" t="s">
        <v>1773</v>
      </c>
      <c r="W4" s="3487"/>
      <c r="X4" s="1265"/>
      <c r="Y4" s="3462" t="s">
        <v>1775</v>
      </c>
      <c r="Z4" s="3463"/>
      <c r="AA4" s="3457" t="s">
        <v>1771</v>
      </c>
      <c r="AB4" s="3458" t="s">
        <v>1772</v>
      </c>
      <c r="AC4" s="3457" t="s">
        <v>1773</v>
      </c>
    </row>
    <row r="5" spans="1:29" ht="15">
      <c r="A5" s="348"/>
      <c r="B5" s="349"/>
      <c r="C5" s="3468" t="s">
        <v>1673</v>
      </c>
      <c r="D5" s="3469"/>
      <c r="E5" s="3466" t="s">
        <v>1674</v>
      </c>
      <c r="F5" s="3467"/>
      <c r="G5" s="3468" t="s">
        <v>1675</v>
      </c>
      <c r="H5" s="3469"/>
      <c r="I5" s="3468" t="s">
        <v>1676</v>
      </c>
      <c r="J5" s="3469"/>
      <c r="K5" s="537"/>
      <c r="L5" s="2487"/>
      <c r="M5" s="2488"/>
      <c r="N5" s="2488"/>
      <c r="O5" s="2488"/>
      <c r="P5" s="3481"/>
      <c r="Q5" s="3482"/>
      <c r="R5" s="3464"/>
      <c r="S5" s="3465"/>
      <c r="T5" s="3464"/>
      <c r="U5" s="3465"/>
      <c r="V5" s="3487"/>
      <c r="W5" s="3487"/>
      <c r="X5" s="1265"/>
      <c r="Y5" s="3464"/>
      <c r="Z5" s="3465"/>
      <c r="AA5" s="3458"/>
      <c r="AB5" s="3458"/>
      <c r="AC5" s="3458"/>
    </row>
    <row r="6" spans="1:29" ht="15.75" thickBot="1">
      <c r="A6" s="350"/>
      <c r="B6" s="351"/>
      <c r="C6" s="3470" t="s">
        <v>1677</v>
      </c>
      <c r="D6" s="3471"/>
      <c r="E6" s="3472" t="s">
        <v>1677</v>
      </c>
      <c r="F6" s="3473"/>
      <c r="G6" s="3470" t="s">
        <v>1677</v>
      </c>
      <c r="H6" s="3471"/>
      <c r="I6" s="3470" t="s">
        <v>1677</v>
      </c>
      <c r="J6" s="3471"/>
      <c r="K6" s="537" t="s">
        <v>1678</v>
      </c>
      <c r="L6" s="2487"/>
      <c r="M6" s="2488"/>
      <c r="N6" s="2488"/>
      <c r="O6" s="2488"/>
      <c r="P6" s="3483"/>
      <c r="Q6" s="3484"/>
      <c r="R6" s="3464"/>
      <c r="S6" s="3465"/>
      <c r="T6" s="3485"/>
      <c r="U6" s="3486"/>
      <c r="V6" s="3487"/>
      <c r="W6" s="3487"/>
      <c r="X6" s="1265"/>
      <c r="Y6" s="3485"/>
      <c r="Z6" s="3486"/>
      <c r="AA6" s="3459"/>
      <c r="AB6" s="3459"/>
      <c r="AC6" s="3459"/>
    </row>
    <row r="7" spans="1:29" s="102" customFormat="1" ht="15.75" thickBot="1">
      <c r="A7" s="352" t="s">
        <v>1679</v>
      </c>
      <c r="B7" s="353"/>
      <c r="C7" s="354">
        <f>'数据-取费表'!B2</f>
        <v>45922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60" t="s">
        <v>1680</v>
      </c>
      <c r="Q7" s="3488"/>
      <c r="R7" s="664" t="s">
        <v>14</v>
      </c>
      <c r="S7" s="665">
        <f t="shared" ref="S7:S14" si="0">F7</f>
        <v>0</v>
      </c>
      <c r="T7" s="664" t="s">
        <v>14</v>
      </c>
      <c r="U7" s="665">
        <f t="shared" ref="U7:U14" si="1">H7</f>
        <v>0</v>
      </c>
      <c r="V7" s="664" t="s">
        <v>14</v>
      </c>
      <c r="W7" s="665">
        <f t="shared" ref="W7:W14" si="2">J7</f>
        <v>0</v>
      </c>
      <c r="X7" s="666"/>
      <c r="Y7" s="3460" t="s">
        <v>1680</v>
      </c>
      <c r="Z7" s="346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60" t="s">
        <v>1683</v>
      </c>
      <c r="Q8" s="3461"/>
      <c r="R8" s="664" t="s">
        <v>14</v>
      </c>
      <c r="S8" s="665">
        <f t="shared" si="0"/>
        <v>100</v>
      </c>
      <c r="T8" s="664" t="s">
        <v>14</v>
      </c>
      <c r="U8" s="665">
        <f t="shared" si="1"/>
        <v>100</v>
      </c>
      <c r="V8" s="664" t="s">
        <v>14</v>
      </c>
      <c r="W8" s="665">
        <f t="shared" si="2"/>
        <v>100</v>
      </c>
      <c r="X8" s="666"/>
      <c r="Y8" s="3460" t="s">
        <v>1683</v>
      </c>
      <c r="Z8" s="346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92" t="s">
        <v>1686</v>
      </c>
      <c r="Q9" s="530" t="str">
        <f t="shared" ref="Q9:Q14" si="6">B9</f>
        <v>用途</v>
      </c>
      <c r="R9" s="664" t="s">
        <v>14</v>
      </c>
      <c r="S9" s="665">
        <f t="shared" si="0"/>
        <v>100</v>
      </c>
      <c r="T9" s="664" t="s">
        <v>14</v>
      </c>
      <c r="U9" s="665">
        <f t="shared" si="1"/>
        <v>100</v>
      </c>
      <c r="V9" s="664" t="s">
        <v>14</v>
      </c>
      <c r="W9" s="665">
        <f t="shared" si="2"/>
        <v>100</v>
      </c>
      <c r="X9" s="666"/>
      <c r="Y9" s="340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92"/>
      <c r="Q10" s="530" t="str">
        <f t="shared" si="6"/>
        <v>土地使用年限（年）</v>
      </c>
      <c r="R10" s="664" t="s">
        <v>14</v>
      </c>
      <c r="S10" s="665">
        <f t="shared" si="0"/>
        <v>100</v>
      </c>
      <c r="T10" s="664" t="s">
        <v>14</v>
      </c>
      <c r="U10" s="665">
        <f t="shared" si="1"/>
        <v>100</v>
      </c>
      <c r="V10" s="664" t="s">
        <v>14</v>
      </c>
      <c r="W10" s="665">
        <f t="shared" si="2"/>
        <v>100</v>
      </c>
      <c r="X10" s="666"/>
      <c r="Y10" s="340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92"/>
      <c r="Q11" s="530">
        <f t="shared" si="6"/>
        <v>111</v>
      </c>
      <c r="R11" s="664" t="s">
        <v>14</v>
      </c>
      <c r="S11" s="665">
        <f t="shared" si="0"/>
        <v>100</v>
      </c>
      <c r="T11" s="664" t="s">
        <v>14</v>
      </c>
      <c r="U11" s="665">
        <f t="shared" si="1"/>
        <v>100</v>
      </c>
      <c r="V11" s="664" t="s">
        <v>14</v>
      </c>
      <c r="W11" s="665">
        <f t="shared" si="2"/>
        <v>100</v>
      </c>
      <c r="X11" s="666"/>
      <c r="Y11" s="340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92"/>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92"/>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93" t="s">
        <v>1691</v>
      </c>
      <c r="Q14" s="1263" t="str">
        <f t="shared" si="6"/>
        <v>交通便捷度</v>
      </c>
      <c r="R14" s="667" t="s">
        <v>14</v>
      </c>
      <c r="S14" s="668">
        <f t="shared" si="0"/>
        <v>100</v>
      </c>
      <c r="T14" s="667" t="s">
        <v>14</v>
      </c>
      <c r="U14" s="668">
        <f t="shared" si="1"/>
        <v>100</v>
      </c>
      <c r="V14" s="667" t="s">
        <v>14</v>
      </c>
      <c r="W14" s="668">
        <f t="shared" si="2"/>
        <v>100</v>
      </c>
      <c r="X14" s="1265"/>
      <c r="Y14" s="349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94"/>
      <c r="Q15" s="1263"/>
      <c r="R15" s="667"/>
      <c r="S15" s="668"/>
      <c r="T15" s="667"/>
      <c r="U15" s="668"/>
      <c r="V15" s="667"/>
      <c r="W15" s="668"/>
      <c r="X15" s="1265"/>
      <c r="Y15" s="349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94"/>
      <c r="Q16" s="1263" t="str">
        <f>B16</f>
        <v>公共配套设施</v>
      </c>
      <c r="R16" s="667" t="s">
        <v>14</v>
      </c>
      <c r="S16" s="668">
        <f>F16</f>
        <v>100</v>
      </c>
      <c r="T16" s="667" t="s">
        <v>14</v>
      </c>
      <c r="U16" s="668">
        <f>H16</f>
        <v>100</v>
      </c>
      <c r="V16" s="667" t="s">
        <v>14</v>
      </c>
      <c r="W16" s="668">
        <f>J16</f>
        <v>100</v>
      </c>
      <c r="X16" s="1265"/>
      <c r="Y16" s="349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94"/>
      <c r="Q17" s="1263"/>
      <c r="R17" s="667"/>
      <c r="S17" s="668"/>
      <c r="T17" s="667"/>
      <c r="U17" s="668"/>
      <c r="V17" s="667"/>
      <c r="W17" s="668"/>
      <c r="X17" s="1265"/>
      <c r="Y17" s="349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94"/>
      <c r="Q18" s="1263" t="str">
        <f>B18</f>
        <v>基础设施水平</v>
      </c>
      <c r="R18" s="667" t="s">
        <v>14</v>
      </c>
      <c r="S18" s="668">
        <f>F18</f>
        <v>100</v>
      </c>
      <c r="T18" s="667" t="s">
        <v>14</v>
      </c>
      <c r="U18" s="668">
        <f>H18</f>
        <v>100</v>
      </c>
      <c r="V18" s="667" t="s">
        <v>14</v>
      </c>
      <c r="W18" s="668">
        <f>J18</f>
        <v>100</v>
      </c>
      <c r="X18" s="1265"/>
      <c r="Y18" s="349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94"/>
      <c r="Q19" s="1263"/>
      <c r="R19" s="667"/>
      <c r="S19" s="668"/>
      <c r="T19" s="667"/>
      <c r="U19" s="668"/>
      <c r="V19" s="667"/>
      <c r="W19" s="668"/>
      <c r="X19" s="1265"/>
      <c r="Y19" s="349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94"/>
      <c r="Q20" s="1263" t="str">
        <f>B20</f>
        <v>自然及人文环境</v>
      </c>
      <c r="R20" s="667" t="s">
        <v>14</v>
      </c>
      <c r="S20" s="668">
        <f>F20</f>
        <v>100</v>
      </c>
      <c r="T20" s="667" t="s">
        <v>14</v>
      </c>
      <c r="U20" s="668">
        <f>H20</f>
        <v>100</v>
      </c>
      <c r="V20" s="667" t="s">
        <v>14</v>
      </c>
      <c r="W20" s="668">
        <f>J20</f>
        <v>100</v>
      </c>
      <c r="X20" s="1265"/>
      <c r="Y20" s="349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94"/>
      <c r="Q21" s="1263"/>
      <c r="R21" s="667"/>
      <c r="S21" s="668"/>
      <c r="T21" s="667"/>
      <c r="U21" s="668"/>
      <c r="V21" s="667"/>
      <c r="W21" s="668"/>
      <c r="X21" s="1265"/>
      <c r="Y21" s="349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94"/>
      <c r="Q22" s="1263" t="str">
        <f>B22</f>
        <v>楼层</v>
      </c>
      <c r="R22" s="667" t="s">
        <v>14</v>
      </c>
      <c r="S22" s="668">
        <f>F22</f>
        <v>100</v>
      </c>
      <c r="T22" s="667" t="s">
        <v>14</v>
      </c>
      <c r="U22" s="668">
        <f>H22</f>
        <v>100</v>
      </c>
      <c r="V22" s="667" t="s">
        <v>14</v>
      </c>
      <c r="W22" s="668">
        <f>J22</f>
        <v>100</v>
      </c>
      <c r="X22" s="1265"/>
      <c r="Y22" s="349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94"/>
      <c r="Q23" s="1263">
        <f>B23</f>
        <v>111</v>
      </c>
      <c r="R23" s="667" t="s">
        <v>14</v>
      </c>
      <c r="S23" s="668">
        <f>F23</f>
        <v>100</v>
      </c>
      <c r="T23" s="667" t="s">
        <v>14</v>
      </c>
      <c r="U23" s="668">
        <f>H23</f>
        <v>100</v>
      </c>
      <c r="V23" s="667" t="s">
        <v>14</v>
      </c>
      <c r="W23" s="668">
        <f>J23</f>
        <v>100</v>
      </c>
      <c r="X23" s="1265"/>
      <c r="Y23" s="349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94"/>
      <c r="Q24" s="1263">
        <f t="shared" ref="Q24:Q34" si="11">B24</f>
        <v>111</v>
      </c>
      <c r="R24" s="667" t="s">
        <v>14</v>
      </c>
      <c r="S24" s="668">
        <f>F24</f>
        <v>100</v>
      </c>
      <c r="T24" s="667" t="s">
        <v>14</v>
      </c>
      <c r="U24" s="668">
        <f>H24</f>
        <v>100</v>
      </c>
      <c r="V24" s="667" t="s">
        <v>14</v>
      </c>
      <c r="W24" s="668">
        <f>J24</f>
        <v>100</v>
      </c>
      <c r="X24" s="1265"/>
      <c r="Y24" s="349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94"/>
      <c r="Q25" s="530">
        <f t="shared" si="11"/>
        <v>111</v>
      </c>
      <c r="R25" s="664" t="s">
        <v>14</v>
      </c>
      <c r="S25" s="665">
        <f>F25</f>
        <v>100</v>
      </c>
      <c r="T25" s="664" t="s">
        <v>14</v>
      </c>
      <c r="U25" s="665">
        <f>H25</f>
        <v>100</v>
      </c>
      <c r="V25" s="664" t="s">
        <v>14</v>
      </c>
      <c r="W25" s="665">
        <f>J25</f>
        <v>100</v>
      </c>
      <c r="X25" s="666"/>
      <c r="Y25" s="349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9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9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98"/>
      <c r="Q27" s="531" t="str">
        <f t="shared" si="11"/>
        <v>成新率</v>
      </c>
      <c r="R27" s="669" t="s">
        <v>14</v>
      </c>
      <c r="S27" s="670" t="e">
        <f t="shared" si="12"/>
        <v>#N/A</v>
      </c>
      <c r="T27" s="669" t="s">
        <v>14</v>
      </c>
      <c r="U27" s="670" t="e">
        <f t="shared" si="13"/>
        <v>#N/A</v>
      </c>
      <c r="V27" s="669" t="s">
        <v>14</v>
      </c>
      <c r="W27" s="670" t="e">
        <f t="shared" si="14"/>
        <v>#N/A</v>
      </c>
      <c r="X27" s="671"/>
      <c r="Y27" s="349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98"/>
      <c r="Q28" s="1263" t="str">
        <f t="shared" si="11"/>
        <v>物业等级</v>
      </c>
      <c r="R28" s="667" t="s">
        <v>14</v>
      </c>
      <c r="S28" s="668">
        <f t="shared" si="12"/>
        <v>100</v>
      </c>
      <c r="T28" s="667" t="s">
        <v>14</v>
      </c>
      <c r="U28" s="668">
        <f t="shared" si="13"/>
        <v>100</v>
      </c>
      <c r="V28" s="667" t="s">
        <v>14</v>
      </c>
      <c r="W28" s="668">
        <f t="shared" si="14"/>
        <v>100</v>
      </c>
      <c r="X28" s="1265"/>
      <c r="Y28" s="349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98"/>
      <c r="Q29" s="1263" t="str">
        <f t="shared" si="11"/>
        <v>有无电梯</v>
      </c>
      <c r="R29" s="667" t="s">
        <v>14</v>
      </c>
      <c r="S29" s="668">
        <f t="shared" si="12"/>
        <v>100</v>
      </c>
      <c r="T29" s="667" t="s">
        <v>14</v>
      </c>
      <c r="U29" s="668">
        <f t="shared" si="13"/>
        <v>100</v>
      </c>
      <c r="V29" s="667" t="s">
        <v>14</v>
      </c>
      <c r="W29" s="668">
        <f t="shared" si="14"/>
        <v>100</v>
      </c>
      <c r="X29" s="1265"/>
      <c r="Y29" s="349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98"/>
      <c r="Q30" s="1263" t="str">
        <f t="shared" si="11"/>
        <v>建筑面积</v>
      </c>
      <c r="R30" s="667" t="s">
        <v>14</v>
      </c>
      <c r="S30" s="668" t="e">
        <f t="shared" si="12"/>
        <v>#N/A</v>
      </c>
      <c r="T30" s="667" t="s">
        <v>14</v>
      </c>
      <c r="U30" s="668" t="e">
        <f t="shared" si="13"/>
        <v>#N/A</v>
      </c>
      <c r="V30" s="667" t="s">
        <v>14</v>
      </c>
      <c r="W30" s="668" t="e">
        <f t="shared" si="14"/>
        <v>#N/A</v>
      </c>
      <c r="X30" s="1265"/>
      <c r="Y30" s="349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98"/>
      <c r="Q31" s="530" t="str">
        <f t="shared" si="11"/>
        <v>是否封闭</v>
      </c>
      <c r="R31" s="664" t="s">
        <v>14</v>
      </c>
      <c r="S31" s="665">
        <f t="shared" si="12"/>
        <v>100</v>
      </c>
      <c r="T31" s="664" t="s">
        <v>14</v>
      </c>
      <c r="U31" s="665">
        <f t="shared" si="13"/>
        <v>100</v>
      </c>
      <c r="V31" s="664" t="s">
        <v>14</v>
      </c>
      <c r="W31" s="665">
        <f t="shared" si="14"/>
        <v>100</v>
      </c>
      <c r="X31" s="666"/>
      <c r="Y31" s="34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98" t="s">
        <v>1696</v>
      </c>
      <c r="Q32" s="1263">
        <f t="shared" si="11"/>
        <v>111</v>
      </c>
      <c r="R32" s="667" t="s">
        <v>14</v>
      </c>
      <c r="S32" s="668">
        <f t="shared" si="12"/>
        <v>100</v>
      </c>
      <c r="T32" s="667" t="s">
        <v>14</v>
      </c>
      <c r="U32" s="668">
        <f t="shared" si="13"/>
        <v>100</v>
      </c>
      <c r="V32" s="667" t="s">
        <v>14</v>
      </c>
      <c r="W32" s="668">
        <f t="shared" si="14"/>
        <v>100</v>
      </c>
      <c r="X32" s="1265"/>
      <c r="Y32" s="349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98"/>
      <c r="Q33" s="1263">
        <f t="shared" si="11"/>
        <v>111</v>
      </c>
      <c r="R33" s="667" t="s">
        <v>14</v>
      </c>
      <c r="S33" s="668">
        <f t="shared" si="12"/>
        <v>100</v>
      </c>
      <c r="T33" s="667" t="s">
        <v>14</v>
      </c>
      <c r="U33" s="668">
        <f t="shared" si="13"/>
        <v>100</v>
      </c>
      <c r="V33" s="667" t="s">
        <v>14</v>
      </c>
      <c r="W33" s="668">
        <f t="shared" si="14"/>
        <v>100</v>
      </c>
      <c r="X33" s="1265"/>
      <c r="Y33" s="349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98"/>
      <c r="Q34" s="1263">
        <f t="shared" si="11"/>
        <v>111</v>
      </c>
      <c r="R34" s="667" t="s">
        <v>14</v>
      </c>
      <c r="S34" s="668">
        <f t="shared" si="12"/>
        <v>100</v>
      </c>
      <c r="T34" s="667" t="s">
        <v>14</v>
      </c>
      <c r="U34" s="668">
        <f t="shared" si="13"/>
        <v>100</v>
      </c>
      <c r="V34" s="667" t="s">
        <v>14</v>
      </c>
      <c r="W34" s="668">
        <f t="shared" si="14"/>
        <v>100</v>
      </c>
      <c r="X34" s="1265"/>
      <c r="Y34" s="349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92" t="str">
        <f>A35</f>
        <v>成交单价（元/平方米）</v>
      </c>
      <c r="Q35" s="3492"/>
      <c r="R35" s="3487">
        <f>E35</f>
        <v>0</v>
      </c>
      <c r="S35" s="3487"/>
      <c r="T35" s="3487">
        <f>G35</f>
        <v>0</v>
      </c>
      <c r="U35" s="3487"/>
      <c r="V35" s="3487">
        <f>I35</f>
        <v>0</v>
      </c>
      <c r="W35" s="348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92" t="str">
        <f>A36</f>
        <v>比较价值（元/平方米）</v>
      </c>
      <c r="Q36" s="3492"/>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89" t="str">
        <f>A37</f>
        <v>估价对象XX用房的比较价值（楼面单价，元/平方米）</v>
      </c>
      <c r="Q37" s="3490"/>
      <c r="R37" s="3594" t="e">
        <f>IF(F1="售价",ROUND(IF(D36="简单平均",AVERAGE(R36:W36),R36*F36+T36*H36+V36*J36),0),ROUND(IF(D36="简单平均",AVERAGE(R36:V36),R36*F36+T36*H36+V36*J36),1))</f>
        <v>#DIV/0!</v>
      </c>
      <c r="S37" s="3594"/>
      <c r="T37" s="3594"/>
      <c r="U37" s="3594"/>
      <c r="V37" s="3594"/>
      <c r="W37" s="359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75" t="s">
        <v>1770</v>
      </c>
      <c r="D4" s="3476"/>
      <c r="E4" s="3477" t="s">
        <v>1771</v>
      </c>
      <c r="F4" s="3478"/>
      <c r="G4" s="3475" t="s">
        <v>1772</v>
      </c>
      <c r="H4" s="3476"/>
      <c r="I4" s="3475" t="s">
        <v>1773</v>
      </c>
      <c r="J4" s="3476"/>
      <c r="K4" s="537" t="s">
        <v>1774</v>
      </c>
      <c r="L4" s="2487"/>
      <c r="M4" s="2488"/>
      <c r="N4" s="2488"/>
      <c r="O4" s="2488"/>
      <c r="P4" s="3479" t="s">
        <v>1775</v>
      </c>
      <c r="Q4" s="3480"/>
      <c r="R4" s="3462" t="s">
        <v>1771</v>
      </c>
      <c r="S4" s="3463"/>
      <c r="T4" s="3462" t="s">
        <v>1772</v>
      </c>
      <c r="U4" s="3463"/>
      <c r="V4" s="3487" t="s">
        <v>1773</v>
      </c>
      <c r="W4" s="3487"/>
      <c r="X4" s="1265"/>
      <c r="Y4" s="3462" t="s">
        <v>1775</v>
      </c>
      <c r="Z4" s="3463"/>
      <c r="AA4" s="3457" t="s">
        <v>1771</v>
      </c>
      <c r="AB4" s="3458" t="s">
        <v>1772</v>
      </c>
      <c r="AC4" s="3457" t="s">
        <v>1773</v>
      </c>
    </row>
    <row r="5" spans="1:29" ht="15">
      <c r="A5" s="348"/>
      <c r="B5" s="349"/>
      <c r="C5" s="3468" t="s">
        <v>1673</v>
      </c>
      <c r="D5" s="3469"/>
      <c r="E5" s="3466" t="s">
        <v>1674</v>
      </c>
      <c r="F5" s="3467"/>
      <c r="G5" s="3468" t="s">
        <v>1675</v>
      </c>
      <c r="H5" s="3469"/>
      <c r="I5" s="3468" t="s">
        <v>1676</v>
      </c>
      <c r="J5" s="3469"/>
      <c r="K5" s="537"/>
      <c r="L5" s="2487"/>
      <c r="M5" s="2488"/>
      <c r="N5" s="2488"/>
      <c r="O5" s="2488"/>
      <c r="P5" s="3481"/>
      <c r="Q5" s="3482"/>
      <c r="R5" s="3464"/>
      <c r="S5" s="3465"/>
      <c r="T5" s="3464"/>
      <c r="U5" s="3465"/>
      <c r="V5" s="3487"/>
      <c r="W5" s="3487"/>
      <c r="X5" s="1265"/>
      <c r="Y5" s="3464"/>
      <c r="Z5" s="3465"/>
      <c r="AA5" s="3458"/>
      <c r="AB5" s="3458"/>
      <c r="AC5" s="3458"/>
    </row>
    <row r="6" spans="1:29" ht="15.75" thickBot="1">
      <c r="A6" s="350"/>
      <c r="B6" s="351"/>
      <c r="C6" s="3470" t="s">
        <v>1677</v>
      </c>
      <c r="D6" s="3471"/>
      <c r="E6" s="3472" t="s">
        <v>1677</v>
      </c>
      <c r="F6" s="3473"/>
      <c r="G6" s="3470" t="s">
        <v>1677</v>
      </c>
      <c r="H6" s="3471"/>
      <c r="I6" s="3470" t="s">
        <v>1677</v>
      </c>
      <c r="J6" s="3471"/>
      <c r="K6" s="537" t="s">
        <v>1678</v>
      </c>
      <c r="L6" s="2487"/>
      <c r="M6" s="2488"/>
      <c r="N6" s="2488"/>
      <c r="O6" s="2488"/>
      <c r="P6" s="3483"/>
      <c r="Q6" s="3484"/>
      <c r="R6" s="3464"/>
      <c r="S6" s="3465"/>
      <c r="T6" s="3485"/>
      <c r="U6" s="3486"/>
      <c r="V6" s="3487"/>
      <c r="W6" s="3487"/>
      <c r="X6" s="1265"/>
      <c r="Y6" s="3485"/>
      <c r="Z6" s="3486"/>
      <c r="AA6" s="3459"/>
      <c r="AB6" s="3459"/>
      <c r="AC6" s="3459"/>
    </row>
    <row r="7" spans="1:29" s="102" customFormat="1" ht="15.75" thickBot="1">
      <c r="A7" s="352" t="s">
        <v>1679</v>
      </c>
      <c r="B7" s="353"/>
      <c r="C7" s="354">
        <f>'数据-取费表'!B2</f>
        <v>45922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60" t="s">
        <v>1680</v>
      </c>
      <c r="Q7" s="3488"/>
      <c r="R7" s="664" t="s">
        <v>14</v>
      </c>
      <c r="S7" s="665">
        <f t="shared" ref="S7:S15" si="0">F7</f>
        <v>0</v>
      </c>
      <c r="T7" s="664" t="s">
        <v>14</v>
      </c>
      <c r="U7" s="665">
        <f t="shared" ref="U7:U15" si="1">H7</f>
        <v>0</v>
      </c>
      <c r="V7" s="664" t="s">
        <v>14</v>
      </c>
      <c r="W7" s="665">
        <f t="shared" ref="W7:W15" si="2">J7</f>
        <v>0</v>
      </c>
      <c r="X7" s="666"/>
      <c r="Y7" s="3460" t="s">
        <v>1680</v>
      </c>
      <c r="Z7" s="346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60" t="s">
        <v>1683</v>
      </c>
      <c r="Q8" s="3461"/>
      <c r="R8" s="664" t="s">
        <v>14</v>
      </c>
      <c r="S8" s="665">
        <f t="shared" si="0"/>
        <v>0</v>
      </c>
      <c r="T8" s="664" t="s">
        <v>14</v>
      </c>
      <c r="U8" s="665">
        <f t="shared" si="1"/>
        <v>0</v>
      </c>
      <c r="V8" s="664" t="s">
        <v>14</v>
      </c>
      <c r="W8" s="665">
        <f t="shared" si="2"/>
        <v>0</v>
      </c>
      <c r="X8" s="666"/>
      <c r="Y8" s="3460" t="s">
        <v>1683</v>
      </c>
      <c r="Z8" s="346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92"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90"/>
      <c r="M10" s="2491"/>
      <c r="N10" s="2491"/>
      <c r="O10" s="2542"/>
      <c r="P10" s="3492"/>
      <c r="Q10" s="530" t="str">
        <f t="shared" si="6"/>
        <v>土地使用年限（年）</v>
      </c>
      <c r="R10" s="664" t="s">
        <v>14</v>
      </c>
      <c r="S10" s="665">
        <f t="shared" si="0"/>
        <v>120</v>
      </c>
      <c r="T10" s="664" t="s">
        <v>14</v>
      </c>
      <c r="U10" s="665">
        <f t="shared" si="1"/>
        <v>120</v>
      </c>
      <c r="V10" s="664" t="s">
        <v>14</v>
      </c>
      <c r="W10" s="665">
        <f t="shared" si="2"/>
        <v>120</v>
      </c>
      <c r="X10" s="666"/>
      <c r="Y10" s="340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92"/>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92"/>
      <c r="Q12" s="530" t="str">
        <f t="shared" si="6"/>
        <v>配建</v>
      </c>
      <c r="R12" s="664" t="s">
        <v>14</v>
      </c>
      <c r="S12" s="665">
        <f t="shared" si="0"/>
        <v>100</v>
      </c>
      <c r="T12" s="664" t="s">
        <v>14</v>
      </c>
      <c r="U12" s="665">
        <f t="shared" si="1"/>
        <v>100</v>
      </c>
      <c r="V12" s="664" t="s">
        <v>14</v>
      </c>
      <c r="W12" s="665">
        <f t="shared" si="2"/>
        <v>100</v>
      </c>
      <c r="X12" s="666"/>
      <c r="Y12" s="340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92"/>
      <c r="Q13" s="530">
        <f t="shared" si="6"/>
        <v>111</v>
      </c>
      <c r="R13" s="664" t="s">
        <v>14</v>
      </c>
      <c r="S13" s="665">
        <f t="shared" si="0"/>
        <v>100</v>
      </c>
      <c r="T13" s="664" t="s">
        <v>14</v>
      </c>
      <c r="U13" s="665">
        <f t="shared" si="1"/>
        <v>100</v>
      </c>
      <c r="V13" s="664" t="s">
        <v>14</v>
      </c>
      <c r="W13" s="665">
        <f t="shared" si="2"/>
        <v>100</v>
      </c>
      <c r="X13" s="666"/>
      <c r="Y13" s="340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92"/>
      <c r="Q14" s="530">
        <f t="shared" si="6"/>
        <v>111</v>
      </c>
      <c r="R14" s="664" t="s">
        <v>14</v>
      </c>
      <c r="S14" s="665">
        <f t="shared" si="0"/>
        <v>100</v>
      </c>
      <c r="T14" s="664" t="s">
        <v>14</v>
      </c>
      <c r="U14" s="665">
        <f t="shared" si="1"/>
        <v>100</v>
      </c>
      <c r="V14" s="664" t="s">
        <v>14</v>
      </c>
      <c r="W14" s="665">
        <f t="shared" si="2"/>
        <v>100</v>
      </c>
      <c r="X14" s="666"/>
      <c r="Y14" s="340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93" t="s">
        <v>1691</v>
      </c>
      <c r="Q15" s="1263" t="str">
        <f t="shared" si="6"/>
        <v>居住社区成熟度</v>
      </c>
      <c r="R15" s="667" t="s">
        <v>14</v>
      </c>
      <c r="S15" s="668">
        <f t="shared" si="0"/>
        <v>100</v>
      </c>
      <c r="T15" s="667" t="s">
        <v>14</v>
      </c>
      <c r="U15" s="668">
        <f t="shared" si="1"/>
        <v>100</v>
      </c>
      <c r="V15" s="667" t="s">
        <v>14</v>
      </c>
      <c r="W15" s="668">
        <f t="shared" si="2"/>
        <v>100</v>
      </c>
      <c r="X15" s="1265"/>
      <c r="Y15" s="349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94"/>
      <c r="Q16" s="1263"/>
      <c r="R16" s="667"/>
      <c r="S16" s="668"/>
      <c r="T16" s="667"/>
      <c r="U16" s="668"/>
      <c r="V16" s="667"/>
      <c r="W16" s="668"/>
      <c r="X16" s="1265"/>
      <c r="Y16" s="349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94"/>
      <c r="Q17" s="1263" t="str">
        <f>B17</f>
        <v>商业繁华度</v>
      </c>
      <c r="R17" s="667" t="s">
        <v>14</v>
      </c>
      <c r="S17" s="668">
        <f>F17</f>
        <v>100</v>
      </c>
      <c r="T17" s="667" t="s">
        <v>14</v>
      </c>
      <c r="U17" s="668">
        <f>H17</f>
        <v>100</v>
      </c>
      <c r="V17" s="667" t="s">
        <v>14</v>
      </c>
      <c r="W17" s="668">
        <f>J17</f>
        <v>100</v>
      </c>
      <c r="X17" s="1265"/>
      <c r="Y17" s="349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94"/>
      <c r="Q18" s="1263"/>
      <c r="R18" s="667"/>
      <c r="S18" s="668"/>
      <c r="T18" s="667"/>
      <c r="U18" s="668"/>
      <c r="V18" s="667"/>
      <c r="W18" s="668"/>
      <c r="X18" s="1265"/>
      <c r="Y18" s="349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94"/>
      <c r="Q19" s="1263" t="str">
        <f>B19</f>
        <v>办公集聚程度</v>
      </c>
      <c r="R19" s="667" t="s">
        <v>14</v>
      </c>
      <c r="S19" s="668">
        <f>F19</f>
        <v>100</v>
      </c>
      <c r="T19" s="667" t="s">
        <v>14</v>
      </c>
      <c r="U19" s="668">
        <f>H19</f>
        <v>100</v>
      </c>
      <c r="V19" s="667" t="s">
        <v>14</v>
      </c>
      <c r="W19" s="668">
        <f>J19</f>
        <v>100</v>
      </c>
      <c r="X19" s="1265"/>
      <c r="Y19" s="349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94"/>
      <c r="Q20" s="1263"/>
      <c r="R20" s="667"/>
      <c r="S20" s="668"/>
      <c r="T20" s="667"/>
      <c r="U20" s="668"/>
      <c r="V20" s="667"/>
      <c r="W20" s="668"/>
      <c r="X20" s="1265"/>
      <c r="Y20" s="349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94"/>
      <c r="Q21" s="1263" t="str">
        <f>B21</f>
        <v>交通便捷度</v>
      </c>
      <c r="R21" s="667" t="s">
        <v>14</v>
      </c>
      <c r="S21" s="668">
        <f>F21</f>
        <v>100</v>
      </c>
      <c r="T21" s="667" t="s">
        <v>14</v>
      </c>
      <c r="U21" s="668">
        <f>H21</f>
        <v>100</v>
      </c>
      <c r="V21" s="667" t="s">
        <v>14</v>
      </c>
      <c r="W21" s="668">
        <f>J21</f>
        <v>100</v>
      </c>
      <c r="X21" s="1265"/>
      <c r="Y21" s="349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94"/>
      <c r="Q22" s="1263"/>
      <c r="R22" s="667"/>
      <c r="S22" s="668"/>
      <c r="T22" s="667"/>
      <c r="U22" s="668"/>
      <c r="V22" s="667"/>
      <c r="W22" s="668"/>
      <c r="X22" s="1265"/>
      <c r="Y22" s="349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94"/>
      <c r="Q23" s="1263" t="str">
        <f t="shared" ref="Q23:Q37" si="8">B23</f>
        <v>区域土地利用方向</v>
      </c>
      <c r="R23" s="667" t="s">
        <v>14</v>
      </c>
      <c r="S23" s="668">
        <f>F23</f>
        <v>100</v>
      </c>
      <c r="T23" s="667" t="s">
        <v>14</v>
      </c>
      <c r="U23" s="668">
        <f>H23</f>
        <v>100</v>
      </c>
      <c r="V23" s="667" t="s">
        <v>14</v>
      </c>
      <c r="W23" s="668">
        <f>J23</f>
        <v>100</v>
      </c>
      <c r="X23" s="1265"/>
      <c r="Y23" s="349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94"/>
      <c r="Q24" s="1263"/>
      <c r="R24" s="667"/>
      <c r="S24" s="668"/>
      <c r="T24" s="667"/>
      <c r="U24" s="668"/>
      <c r="V24" s="667"/>
      <c r="W24" s="668"/>
      <c r="X24" s="1265"/>
      <c r="Y24" s="349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94"/>
      <c r="Q25" s="1263" t="str">
        <f t="shared" si="8"/>
        <v>自然及人文环境状况</v>
      </c>
      <c r="R25" s="667" t="s">
        <v>14</v>
      </c>
      <c r="S25" s="668">
        <f>F25</f>
        <v>100</v>
      </c>
      <c r="T25" s="667" t="s">
        <v>14</v>
      </c>
      <c r="U25" s="668">
        <f>H25</f>
        <v>100</v>
      </c>
      <c r="V25" s="667" t="s">
        <v>14</v>
      </c>
      <c r="W25" s="668">
        <f>J25</f>
        <v>100</v>
      </c>
      <c r="X25" s="1265"/>
      <c r="Y25" s="349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94"/>
      <c r="Q26" s="1263"/>
      <c r="R26" s="667"/>
      <c r="S26" s="668"/>
      <c r="T26" s="667"/>
      <c r="U26" s="668"/>
      <c r="V26" s="667"/>
      <c r="W26" s="668"/>
      <c r="X26" s="1265"/>
      <c r="Y26" s="349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94"/>
      <c r="Q27" s="530" t="str">
        <f t="shared" si="8"/>
        <v>公共配套设施</v>
      </c>
      <c r="R27" s="664" t="s">
        <v>14</v>
      </c>
      <c r="S27" s="665">
        <f>F27</f>
        <v>100</v>
      </c>
      <c r="T27" s="664" t="s">
        <v>14</v>
      </c>
      <c r="U27" s="665">
        <f>H27</f>
        <v>100</v>
      </c>
      <c r="V27" s="664" t="s">
        <v>14</v>
      </c>
      <c r="W27" s="665">
        <f>J27</f>
        <v>100</v>
      </c>
      <c r="X27" s="666"/>
      <c r="Y27" s="349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94"/>
      <c r="Q28" s="530"/>
      <c r="R28" s="664"/>
      <c r="S28" s="665"/>
      <c r="T28" s="664"/>
      <c r="U28" s="665"/>
      <c r="V28" s="664"/>
      <c r="W28" s="665"/>
      <c r="X28" s="666"/>
      <c r="Y28" s="349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94"/>
      <c r="Q29" s="530" t="str">
        <f t="shared" ref="Q29" si="9">B29</f>
        <v>基础设施水平</v>
      </c>
      <c r="R29" s="664" t="s">
        <v>14</v>
      </c>
      <c r="S29" s="665">
        <f>F29</f>
        <v>100</v>
      </c>
      <c r="T29" s="664" t="s">
        <v>14</v>
      </c>
      <c r="U29" s="665">
        <f>H29</f>
        <v>100</v>
      </c>
      <c r="V29" s="664" t="s">
        <v>14</v>
      </c>
      <c r="W29" s="665">
        <f>J29</f>
        <v>100</v>
      </c>
      <c r="X29" s="666"/>
      <c r="Y29" s="349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94"/>
      <c r="Q30" s="530"/>
      <c r="R30" s="664"/>
      <c r="S30" s="665"/>
      <c r="T30" s="664"/>
      <c r="U30" s="665"/>
      <c r="V30" s="664"/>
      <c r="W30" s="665"/>
      <c r="X30" s="666"/>
      <c r="Y30" s="349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9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9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94"/>
      <c r="Q32" s="1263" t="str">
        <f t="shared" si="8"/>
        <v>毗邻道路的类型与等级</v>
      </c>
      <c r="R32" s="667" t="s">
        <v>14</v>
      </c>
      <c r="S32" s="668">
        <f t="shared" si="10"/>
        <v>100</v>
      </c>
      <c r="T32" s="667" t="s">
        <v>14</v>
      </c>
      <c r="U32" s="668">
        <f t="shared" si="11"/>
        <v>100</v>
      </c>
      <c r="V32" s="667" t="s">
        <v>14</v>
      </c>
      <c r="W32" s="668">
        <f t="shared" si="12"/>
        <v>100</v>
      </c>
      <c r="X32" s="1265"/>
      <c r="Y32" s="349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94"/>
      <c r="Q33" s="1263"/>
      <c r="R33" s="667"/>
      <c r="S33" s="668"/>
      <c r="T33" s="667"/>
      <c r="U33" s="668"/>
      <c r="V33" s="667"/>
      <c r="W33" s="668"/>
      <c r="X33" s="1265"/>
      <c r="Y33" s="349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94"/>
      <c r="Q34" s="1263" t="str">
        <f t="shared" si="8"/>
        <v>土地级别</v>
      </c>
      <c r="R34" s="667" t="s">
        <v>14</v>
      </c>
      <c r="S34" s="668">
        <f t="shared" si="10"/>
        <v>100</v>
      </c>
      <c r="T34" s="667" t="s">
        <v>14</v>
      </c>
      <c r="U34" s="668">
        <f t="shared" si="11"/>
        <v>100</v>
      </c>
      <c r="V34" s="667" t="s">
        <v>14</v>
      </c>
      <c r="W34" s="668">
        <f t="shared" si="12"/>
        <v>100</v>
      </c>
      <c r="X34" s="1265"/>
      <c r="Y34" s="349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94"/>
      <c r="Q35" s="1263">
        <f t="shared" si="8"/>
        <v>111</v>
      </c>
      <c r="R35" s="667" t="s">
        <v>14</v>
      </c>
      <c r="S35" s="668">
        <f t="shared" si="10"/>
        <v>100</v>
      </c>
      <c r="T35" s="667" t="s">
        <v>14</v>
      </c>
      <c r="U35" s="668">
        <f t="shared" si="11"/>
        <v>100</v>
      </c>
      <c r="V35" s="667" t="s">
        <v>14</v>
      </c>
      <c r="W35" s="668">
        <f t="shared" si="12"/>
        <v>100</v>
      </c>
      <c r="X35" s="1265"/>
      <c r="Y35" s="349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93" t="s">
        <v>1696</v>
      </c>
      <c r="Q36" s="1263">
        <f t="shared" si="8"/>
        <v>111</v>
      </c>
      <c r="R36" s="667" t="s">
        <v>14</v>
      </c>
      <c r="S36" s="668">
        <f t="shared" si="10"/>
        <v>100</v>
      </c>
      <c r="T36" s="667" t="s">
        <v>14</v>
      </c>
      <c r="U36" s="668">
        <f t="shared" si="11"/>
        <v>100</v>
      </c>
      <c r="V36" s="667" t="s">
        <v>14</v>
      </c>
      <c r="W36" s="668">
        <f t="shared" si="12"/>
        <v>100</v>
      </c>
      <c r="X36" s="1265"/>
      <c r="Y36" s="349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98"/>
      <c r="Q37" s="1263">
        <f t="shared" si="8"/>
        <v>111</v>
      </c>
      <c r="R37" s="669" t="s">
        <v>14</v>
      </c>
      <c r="S37" s="670">
        <f t="shared" si="10"/>
        <v>100</v>
      </c>
      <c r="T37" s="669" t="s">
        <v>14</v>
      </c>
      <c r="U37" s="670">
        <f t="shared" si="11"/>
        <v>100</v>
      </c>
      <c r="V37" s="669" t="s">
        <v>14</v>
      </c>
      <c r="W37" s="670">
        <f t="shared" si="12"/>
        <v>100</v>
      </c>
      <c r="X37" s="671"/>
      <c r="Y37" s="349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98"/>
      <c r="Q38" s="1263" t="str">
        <f>B38</f>
        <v>宗地面积</v>
      </c>
      <c r="R38" s="667" t="s">
        <v>14</v>
      </c>
      <c r="S38" s="668" t="e">
        <f t="shared" si="10"/>
        <v>#N/A</v>
      </c>
      <c r="T38" s="667" t="s">
        <v>14</v>
      </c>
      <c r="U38" s="668" t="e">
        <f t="shared" si="11"/>
        <v>#N/A</v>
      </c>
      <c r="V38" s="667" t="s">
        <v>14</v>
      </c>
      <c r="W38" s="668" t="e">
        <f t="shared" si="12"/>
        <v>#N/A</v>
      </c>
      <c r="X38" s="1265"/>
      <c r="Y38" s="349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98"/>
      <c r="Q39" s="1263" t="str">
        <f t="shared" ref="Q39:Q45" si="14">B39</f>
        <v>宗地形状</v>
      </c>
      <c r="R39" s="667" t="s">
        <v>14</v>
      </c>
      <c r="S39" s="668">
        <f t="shared" si="10"/>
        <v>100</v>
      </c>
      <c r="T39" s="667" t="s">
        <v>14</v>
      </c>
      <c r="U39" s="668">
        <f t="shared" si="11"/>
        <v>100</v>
      </c>
      <c r="V39" s="667" t="s">
        <v>14</v>
      </c>
      <c r="W39" s="668">
        <f t="shared" si="12"/>
        <v>100</v>
      </c>
      <c r="X39" s="1265"/>
      <c r="Y39" s="349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98"/>
      <c r="Q40" s="1263" t="str">
        <f t="shared" si="14"/>
        <v>临街宽度及深度</v>
      </c>
      <c r="R40" s="667" t="s">
        <v>14</v>
      </c>
      <c r="S40" s="668">
        <f t="shared" si="10"/>
        <v>100</v>
      </c>
      <c r="T40" s="667" t="s">
        <v>14</v>
      </c>
      <c r="U40" s="668">
        <f t="shared" si="11"/>
        <v>100</v>
      </c>
      <c r="V40" s="667" t="s">
        <v>14</v>
      </c>
      <c r="W40" s="668">
        <f t="shared" si="12"/>
        <v>100</v>
      </c>
      <c r="X40" s="1265"/>
      <c r="Y40" s="349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98"/>
      <c r="Q41" s="1263" t="str">
        <f t="shared" si="14"/>
        <v>宗地开发程度</v>
      </c>
      <c r="R41" s="664" t="s">
        <v>14</v>
      </c>
      <c r="S41" s="665">
        <f t="shared" si="10"/>
        <v>100</v>
      </c>
      <c r="T41" s="664" t="s">
        <v>14</v>
      </c>
      <c r="U41" s="665">
        <f t="shared" si="11"/>
        <v>100</v>
      </c>
      <c r="V41" s="664" t="s">
        <v>14</v>
      </c>
      <c r="W41" s="665">
        <f t="shared" si="12"/>
        <v>100</v>
      </c>
      <c r="X41" s="666"/>
      <c r="Y41" s="349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98" t="s">
        <v>1696</v>
      </c>
      <c r="Q42" s="1263" t="str">
        <f t="shared" si="14"/>
        <v>工程地质条件</v>
      </c>
      <c r="R42" s="667" t="s">
        <v>14</v>
      </c>
      <c r="S42" s="668">
        <f t="shared" si="10"/>
        <v>100</v>
      </c>
      <c r="T42" s="667" t="s">
        <v>14</v>
      </c>
      <c r="U42" s="668">
        <f t="shared" si="11"/>
        <v>100</v>
      </c>
      <c r="V42" s="667" t="s">
        <v>14</v>
      </c>
      <c r="W42" s="668">
        <f t="shared" si="12"/>
        <v>100</v>
      </c>
      <c r="X42" s="1265"/>
      <c r="Y42" s="349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98"/>
      <c r="Q43" s="1263">
        <f t="shared" si="14"/>
        <v>111</v>
      </c>
      <c r="R43" s="667" t="s">
        <v>14</v>
      </c>
      <c r="S43" s="668">
        <f t="shared" si="10"/>
        <v>100</v>
      </c>
      <c r="T43" s="667" t="s">
        <v>14</v>
      </c>
      <c r="U43" s="668">
        <f t="shared" si="11"/>
        <v>100</v>
      </c>
      <c r="V43" s="667" t="s">
        <v>14</v>
      </c>
      <c r="W43" s="668">
        <f t="shared" si="12"/>
        <v>100</v>
      </c>
      <c r="X43" s="1265"/>
      <c r="Y43" s="349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98"/>
      <c r="Q44" s="1263">
        <f t="shared" si="14"/>
        <v>111</v>
      </c>
      <c r="R44" s="667" t="s">
        <v>14</v>
      </c>
      <c r="S44" s="668">
        <f t="shared" si="10"/>
        <v>100</v>
      </c>
      <c r="T44" s="667" t="s">
        <v>14</v>
      </c>
      <c r="U44" s="668">
        <f t="shared" si="11"/>
        <v>100</v>
      </c>
      <c r="V44" s="667" t="s">
        <v>14</v>
      </c>
      <c r="W44" s="668">
        <f t="shared" si="12"/>
        <v>100</v>
      </c>
      <c r="X44" s="1265"/>
      <c r="Y44" s="349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98"/>
      <c r="Q45" s="1263">
        <f t="shared" si="14"/>
        <v>111</v>
      </c>
      <c r="R45" s="669" t="s">
        <v>14</v>
      </c>
      <c r="S45" s="670">
        <f t="shared" si="10"/>
        <v>100</v>
      </c>
      <c r="T45" s="669" t="s">
        <v>14</v>
      </c>
      <c r="U45" s="670">
        <f t="shared" si="11"/>
        <v>100</v>
      </c>
      <c r="V45" s="669" t="s">
        <v>14</v>
      </c>
      <c r="W45" s="670">
        <f t="shared" si="12"/>
        <v>100</v>
      </c>
      <c r="X45" s="671"/>
      <c r="Y45" s="349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92" t="str">
        <f>A46</f>
        <v>成交单价</v>
      </c>
      <c r="Q46" s="3492"/>
      <c r="R46" s="3487">
        <f>E46</f>
        <v>0</v>
      </c>
      <c r="S46" s="3487"/>
      <c r="T46" s="3487">
        <f>G46</f>
        <v>0</v>
      </c>
      <c r="U46" s="3487"/>
      <c r="V46" s="3487">
        <f>I46</f>
        <v>0</v>
      </c>
      <c r="W46" s="348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92" t="str">
        <f>A47</f>
        <v>比较价值（元/平方米）</v>
      </c>
      <c r="Q47" s="3492"/>
      <c r="R47" s="3595" t="e">
        <f>ROUND(PRODUCT(R46,AA7:AA45),0)</f>
        <v>#DIV/0!</v>
      </c>
      <c r="S47" s="3595"/>
      <c r="T47" s="3595" t="e">
        <f>ROUND(PRODUCT(T46,AB7:AB45),0)</f>
        <v>#DIV/0!</v>
      </c>
      <c r="U47" s="3595"/>
      <c r="V47" s="3595" t="e">
        <f>ROUND(PRODUCT(V46,AC7:AC45),0)</f>
        <v>#DIV/0!</v>
      </c>
      <c r="W47" s="359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89" t="str">
        <f>A48</f>
        <v>估价对象XX用房的比较价值（楼面单价，元/平方米）</v>
      </c>
      <c r="Q48" s="3490"/>
      <c r="R48" s="3596" t="e">
        <f>ROUND(IF(D47="简单平均",AVERAGE(R47:W47),R47*F47+T47*H47+V47*J47),0)</f>
        <v>#DIV/0!</v>
      </c>
      <c r="S48" s="3596"/>
      <c r="T48" s="3596"/>
      <c r="U48" s="3596"/>
      <c r="V48" s="3596"/>
      <c r="W48" s="359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75" t="s">
        <v>1887</v>
      </c>
      <c r="H55" s="359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326</v>
      </c>
      <c r="F56" s="833" t="e">
        <f t="shared" ref="F56:F64" si="15">ROUND(B56*E56/10000,0)</f>
        <v>#DIV/0!</v>
      </c>
      <c r="G56" s="3474"/>
      <c r="H56" s="34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326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75" t="s">
        <v>1770</v>
      </c>
      <c r="D4" s="3476"/>
      <c r="E4" s="3477" t="s">
        <v>1771</v>
      </c>
      <c r="F4" s="3478"/>
      <c r="G4" s="3475" t="s">
        <v>1772</v>
      </c>
      <c r="H4" s="3476"/>
      <c r="I4" s="3475" t="s">
        <v>1773</v>
      </c>
      <c r="J4" s="3476"/>
      <c r="K4" s="537" t="s">
        <v>1774</v>
      </c>
      <c r="L4" s="2487"/>
      <c r="M4" s="2488"/>
      <c r="N4" s="2488"/>
      <c r="O4" s="2488"/>
      <c r="P4" s="3479" t="s">
        <v>1775</v>
      </c>
      <c r="Q4" s="3480"/>
      <c r="R4" s="3462" t="s">
        <v>1771</v>
      </c>
      <c r="S4" s="3463"/>
      <c r="T4" s="3462" t="s">
        <v>1772</v>
      </c>
      <c r="U4" s="3463"/>
      <c r="V4" s="3487" t="s">
        <v>1773</v>
      </c>
      <c r="W4" s="3487"/>
      <c r="X4" s="1265"/>
      <c r="Y4" s="3462" t="s">
        <v>1775</v>
      </c>
      <c r="Z4" s="3463"/>
      <c r="AA4" s="3457" t="s">
        <v>1771</v>
      </c>
      <c r="AB4" s="3458" t="s">
        <v>1772</v>
      </c>
      <c r="AC4" s="3457" t="s">
        <v>1773</v>
      </c>
    </row>
    <row r="5" spans="1:29" ht="15">
      <c r="A5" s="348"/>
      <c r="B5" s="349"/>
      <c r="C5" s="3468" t="s">
        <v>1673</v>
      </c>
      <c r="D5" s="3469"/>
      <c r="E5" s="3466" t="s">
        <v>1674</v>
      </c>
      <c r="F5" s="3467"/>
      <c r="G5" s="3468" t="s">
        <v>1675</v>
      </c>
      <c r="H5" s="3469"/>
      <c r="I5" s="3468" t="s">
        <v>1676</v>
      </c>
      <c r="J5" s="3469"/>
      <c r="K5" s="537"/>
      <c r="L5" s="2487"/>
      <c r="M5" s="2488"/>
      <c r="N5" s="2488"/>
      <c r="O5" s="2488"/>
      <c r="P5" s="3481"/>
      <c r="Q5" s="3482"/>
      <c r="R5" s="3464"/>
      <c r="S5" s="3465"/>
      <c r="T5" s="3464"/>
      <c r="U5" s="3465"/>
      <c r="V5" s="3487"/>
      <c r="W5" s="3487"/>
      <c r="X5" s="1265"/>
      <c r="Y5" s="3464"/>
      <c r="Z5" s="3465"/>
      <c r="AA5" s="3458"/>
      <c r="AB5" s="3458"/>
      <c r="AC5" s="3458"/>
    </row>
    <row r="6" spans="1:29" ht="15.75" thickBot="1">
      <c r="A6" s="350"/>
      <c r="B6" s="351"/>
      <c r="C6" s="3598" t="s">
        <v>1919</v>
      </c>
      <c r="D6" s="3599"/>
      <c r="E6" s="3600" t="s">
        <v>1919</v>
      </c>
      <c r="F6" s="3601"/>
      <c r="G6" s="3598" t="s">
        <v>1919</v>
      </c>
      <c r="H6" s="3599"/>
      <c r="I6" s="3598" t="s">
        <v>1919</v>
      </c>
      <c r="J6" s="3599"/>
      <c r="K6" s="537" t="s">
        <v>1678</v>
      </c>
      <c r="L6" s="2487"/>
      <c r="M6" s="2488"/>
      <c r="N6" s="2488"/>
      <c r="O6" s="2488"/>
      <c r="P6" s="3483"/>
      <c r="Q6" s="3484"/>
      <c r="R6" s="3464"/>
      <c r="S6" s="3465"/>
      <c r="T6" s="3485"/>
      <c r="U6" s="3486"/>
      <c r="V6" s="3487"/>
      <c r="W6" s="3487"/>
      <c r="X6" s="1265"/>
      <c r="Y6" s="3485"/>
      <c r="Z6" s="3486"/>
      <c r="AA6" s="3459"/>
      <c r="AB6" s="3459"/>
      <c r="AC6" s="3459"/>
    </row>
    <row r="7" spans="1:29" s="102" customFormat="1" ht="15.75" thickBot="1">
      <c r="A7" s="352" t="s">
        <v>1679</v>
      </c>
      <c r="B7" s="353"/>
      <c r="C7" s="354">
        <f>'数据-取费表'!B2</f>
        <v>45922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60" t="s">
        <v>1680</v>
      </c>
      <c r="Q7" s="3488"/>
      <c r="R7" s="664" t="s">
        <v>14</v>
      </c>
      <c r="S7" s="665">
        <f t="shared" ref="S7:S15" si="0">F7</f>
        <v>0</v>
      </c>
      <c r="T7" s="664" t="s">
        <v>14</v>
      </c>
      <c r="U7" s="665">
        <f t="shared" ref="U7:U15" si="1">H7</f>
        <v>0</v>
      </c>
      <c r="V7" s="664" t="s">
        <v>14</v>
      </c>
      <c r="W7" s="665">
        <f t="shared" ref="W7:W15" si="2">J7</f>
        <v>0</v>
      </c>
      <c r="X7" s="666"/>
      <c r="Y7" s="3460" t="s">
        <v>1680</v>
      </c>
      <c r="Z7" s="346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60" t="s">
        <v>1683</v>
      </c>
      <c r="Q8" s="3461"/>
      <c r="R8" s="664" t="s">
        <v>14</v>
      </c>
      <c r="S8" s="665">
        <f t="shared" si="0"/>
        <v>0</v>
      </c>
      <c r="T8" s="664" t="s">
        <v>14</v>
      </c>
      <c r="U8" s="665">
        <f t="shared" si="1"/>
        <v>0</v>
      </c>
      <c r="V8" s="664" t="s">
        <v>14</v>
      </c>
      <c r="W8" s="665">
        <f t="shared" si="2"/>
        <v>0</v>
      </c>
      <c r="X8" s="666"/>
      <c r="Y8" s="3460" t="s">
        <v>1683</v>
      </c>
      <c r="Z8" s="346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92" t="s">
        <v>1686</v>
      </c>
      <c r="Q9" s="530" t="str">
        <f t="shared" ref="Q9:Q15" si="6">B9</f>
        <v>用途</v>
      </c>
      <c r="R9" s="664" t="s">
        <v>14</v>
      </c>
      <c r="S9" s="665">
        <f t="shared" si="0"/>
        <v>100</v>
      </c>
      <c r="T9" s="664" t="s">
        <v>14</v>
      </c>
      <c r="U9" s="665">
        <f t="shared" si="1"/>
        <v>100</v>
      </c>
      <c r="V9" s="664" t="s">
        <v>14</v>
      </c>
      <c r="W9" s="665">
        <f t="shared" si="2"/>
        <v>100</v>
      </c>
      <c r="X9" s="666"/>
      <c r="Y9" s="340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90"/>
      <c r="M10" s="2491"/>
      <c r="N10" s="2491"/>
      <c r="O10" s="2542"/>
      <c r="P10" s="3492"/>
      <c r="Q10" s="530" t="str">
        <f t="shared" si="6"/>
        <v>土地使用年限（年）</v>
      </c>
      <c r="R10" s="664" t="s">
        <v>14</v>
      </c>
      <c r="S10" s="665">
        <f t="shared" si="0"/>
        <v>120</v>
      </c>
      <c r="T10" s="664" t="s">
        <v>14</v>
      </c>
      <c r="U10" s="665">
        <f t="shared" si="1"/>
        <v>120</v>
      </c>
      <c r="V10" s="664" t="s">
        <v>14</v>
      </c>
      <c r="W10" s="665">
        <f t="shared" si="2"/>
        <v>120</v>
      </c>
      <c r="X10" s="666"/>
      <c r="Y10" s="3404"/>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92"/>
      <c r="Q11" s="530" t="str">
        <f t="shared" si="6"/>
        <v>容积率</v>
      </c>
      <c r="R11" s="664" t="s">
        <v>14</v>
      </c>
      <c r="S11" s="665" t="e">
        <f t="shared" si="0"/>
        <v>#N/A</v>
      </c>
      <c r="T11" s="664" t="s">
        <v>14</v>
      </c>
      <c r="U11" s="665" t="e">
        <f t="shared" si="1"/>
        <v>#N/A</v>
      </c>
      <c r="V11" s="664" t="s">
        <v>14</v>
      </c>
      <c r="W11" s="665" t="e">
        <f t="shared" si="2"/>
        <v>#N/A</v>
      </c>
      <c r="X11" s="666"/>
      <c r="Y11" s="340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92"/>
      <c r="Q12" s="530">
        <f t="shared" si="6"/>
        <v>111</v>
      </c>
      <c r="R12" s="664" t="s">
        <v>14</v>
      </c>
      <c r="S12" s="665">
        <f t="shared" si="0"/>
        <v>100</v>
      </c>
      <c r="T12" s="664" t="s">
        <v>14</v>
      </c>
      <c r="U12" s="665">
        <f t="shared" si="1"/>
        <v>100</v>
      </c>
      <c r="V12" s="664" t="s">
        <v>14</v>
      </c>
      <c r="W12" s="665">
        <f t="shared" si="2"/>
        <v>100</v>
      </c>
      <c r="X12" s="666"/>
      <c r="Y12" s="340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92"/>
      <c r="Q13" s="530">
        <f t="shared" si="6"/>
        <v>111</v>
      </c>
      <c r="R13" s="664" t="s">
        <v>14</v>
      </c>
      <c r="S13" s="665">
        <f t="shared" si="0"/>
        <v>100</v>
      </c>
      <c r="T13" s="664" t="s">
        <v>14</v>
      </c>
      <c r="U13" s="665">
        <f t="shared" si="1"/>
        <v>100</v>
      </c>
      <c r="V13" s="664" t="s">
        <v>14</v>
      </c>
      <c r="W13" s="665">
        <f t="shared" si="2"/>
        <v>100</v>
      </c>
      <c r="X13" s="666"/>
      <c r="Y13" s="340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92"/>
      <c r="Q14" s="530">
        <f t="shared" si="6"/>
        <v>111</v>
      </c>
      <c r="R14" s="664" t="s">
        <v>14</v>
      </c>
      <c r="S14" s="665">
        <f t="shared" si="0"/>
        <v>100</v>
      </c>
      <c r="T14" s="664" t="s">
        <v>14</v>
      </c>
      <c r="U14" s="665">
        <f t="shared" si="1"/>
        <v>100</v>
      </c>
      <c r="V14" s="664" t="s">
        <v>14</v>
      </c>
      <c r="W14" s="665">
        <f t="shared" si="2"/>
        <v>100</v>
      </c>
      <c r="X14" s="666"/>
      <c r="Y14" s="340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93" t="s">
        <v>1691</v>
      </c>
      <c r="Q15" s="1263" t="str">
        <f t="shared" si="6"/>
        <v>产业集聚程度</v>
      </c>
      <c r="R15" s="667" t="s">
        <v>14</v>
      </c>
      <c r="S15" s="668">
        <f t="shared" si="0"/>
        <v>100</v>
      </c>
      <c r="T15" s="667" t="s">
        <v>14</v>
      </c>
      <c r="U15" s="668">
        <f t="shared" si="1"/>
        <v>100</v>
      </c>
      <c r="V15" s="667" t="s">
        <v>14</v>
      </c>
      <c r="W15" s="668">
        <f t="shared" si="2"/>
        <v>100</v>
      </c>
      <c r="X15" s="1265"/>
      <c r="Y15" s="349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94"/>
      <c r="Q16" s="1263"/>
      <c r="R16" s="667"/>
      <c r="S16" s="668"/>
      <c r="T16" s="667"/>
      <c r="U16" s="668"/>
      <c r="V16" s="667"/>
      <c r="W16" s="668"/>
      <c r="X16" s="1265"/>
      <c r="Y16" s="349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94"/>
      <c r="Q17" s="1263" t="str">
        <f>B17</f>
        <v>交通便捷度</v>
      </c>
      <c r="R17" s="667" t="s">
        <v>14</v>
      </c>
      <c r="S17" s="668">
        <f>F17</f>
        <v>100</v>
      </c>
      <c r="T17" s="667" t="s">
        <v>14</v>
      </c>
      <c r="U17" s="668">
        <f>H17</f>
        <v>100</v>
      </c>
      <c r="V17" s="667" t="s">
        <v>14</v>
      </c>
      <c r="W17" s="668">
        <f>J17</f>
        <v>100</v>
      </c>
      <c r="X17" s="1265"/>
      <c r="Y17" s="349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94"/>
      <c r="Q18" s="1263"/>
      <c r="R18" s="667"/>
      <c r="S18" s="668"/>
      <c r="T18" s="667"/>
      <c r="U18" s="668"/>
      <c r="V18" s="667"/>
      <c r="W18" s="668"/>
      <c r="X18" s="1265"/>
      <c r="Y18" s="349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94"/>
      <c r="Q19" s="1263" t="str">
        <f t="shared" ref="Q19:Q33" si="8">B19</f>
        <v>区域土地利用方向</v>
      </c>
      <c r="R19" s="667" t="s">
        <v>14</v>
      </c>
      <c r="S19" s="668">
        <f>F19</f>
        <v>100</v>
      </c>
      <c r="T19" s="667" t="s">
        <v>14</v>
      </c>
      <c r="U19" s="668">
        <f>H19</f>
        <v>100</v>
      </c>
      <c r="V19" s="667" t="s">
        <v>14</v>
      </c>
      <c r="W19" s="668">
        <f>J19</f>
        <v>100</v>
      </c>
      <c r="X19" s="1265"/>
      <c r="Y19" s="349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94"/>
      <c r="Q20" s="1263"/>
      <c r="R20" s="667"/>
      <c r="S20" s="668"/>
      <c r="T20" s="667"/>
      <c r="U20" s="668"/>
      <c r="V20" s="667"/>
      <c r="W20" s="668"/>
      <c r="X20" s="1265"/>
      <c r="Y20" s="349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94"/>
      <c r="Q21" s="1263" t="str">
        <f t="shared" si="8"/>
        <v>环境状况</v>
      </c>
      <c r="R21" s="667" t="s">
        <v>14</v>
      </c>
      <c r="S21" s="668">
        <f>F21</f>
        <v>100</v>
      </c>
      <c r="T21" s="667" t="s">
        <v>14</v>
      </c>
      <c r="U21" s="668">
        <f>H21</f>
        <v>100</v>
      </c>
      <c r="V21" s="667" t="s">
        <v>14</v>
      </c>
      <c r="W21" s="668">
        <f>J21</f>
        <v>100</v>
      </c>
      <c r="X21" s="1265"/>
      <c r="Y21" s="349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94"/>
      <c r="Q22" s="1263"/>
      <c r="R22" s="667"/>
      <c r="S22" s="668"/>
      <c r="T22" s="667"/>
      <c r="U22" s="668"/>
      <c r="V22" s="667"/>
      <c r="W22" s="668"/>
      <c r="X22" s="1265"/>
      <c r="Y22" s="349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94"/>
      <c r="Q23" s="530" t="str">
        <f t="shared" si="8"/>
        <v>公共配套设施</v>
      </c>
      <c r="R23" s="664" t="s">
        <v>14</v>
      </c>
      <c r="S23" s="665">
        <f>F23</f>
        <v>100</v>
      </c>
      <c r="T23" s="664" t="s">
        <v>14</v>
      </c>
      <c r="U23" s="665">
        <f>H23</f>
        <v>100</v>
      </c>
      <c r="V23" s="664" t="s">
        <v>14</v>
      </c>
      <c r="W23" s="665">
        <f>J23</f>
        <v>100</v>
      </c>
      <c r="X23" s="666"/>
      <c r="Y23" s="349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94"/>
      <c r="Q24" s="530"/>
      <c r="R24" s="664"/>
      <c r="S24" s="665"/>
      <c r="T24" s="664"/>
      <c r="U24" s="665"/>
      <c r="V24" s="664"/>
      <c r="W24" s="665"/>
      <c r="X24" s="666"/>
      <c r="Y24" s="349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94"/>
      <c r="Q25" s="530" t="str">
        <f t="shared" ref="Q25" si="9">B25</f>
        <v>基础设施水平</v>
      </c>
      <c r="R25" s="664" t="s">
        <v>14</v>
      </c>
      <c r="S25" s="665">
        <f>F25</f>
        <v>100</v>
      </c>
      <c r="T25" s="664" t="s">
        <v>14</v>
      </c>
      <c r="U25" s="665">
        <f>H25</f>
        <v>100</v>
      </c>
      <c r="V25" s="664" t="s">
        <v>14</v>
      </c>
      <c r="W25" s="665">
        <f>J25</f>
        <v>100</v>
      </c>
      <c r="X25" s="666"/>
      <c r="Y25" s="349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94"/>
      <c r="Q26" s="530"/>
      <c r="R26" s="664"/>
      <c r="S26" s="665"/>
      <c r="T26" s="664"/>
      <c r="U26" s="665"/>
      <c r="V26" s="664"/>
      <c r="W26" s="665"/>
      <c r="X26" s="666"/>
      <c r="Y26" s="34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9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9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94"/>
      <c r="Q28" s="1263" t="str">
        <f t="shared" si="8"/>
        <v>毗邻道路的类型与等级</v>
      </c>
      <c r="R28" s="667" t="s">
        <v>14</v>
      </c>
      <c r="S28" s="668">
        <f t="shared" si="10"/>
        <v>100</v>
      </c>
      <c r="T28" s="667" t="s">
        <v>14</v>
      </c>
      <c r="U28" s="668">
        <f t="shared" si="11"/>
        <v>100</v>
      </c>
      <c r="V28" s="667" t="s">
        <v>14</v>
      </c>
      <c r="W28" s="668">
        <f t="shared" si="12"/>
        <v>100</v>
      </c>
      <c r="X28" s="1265"/>
      <c r="Y28" s="349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94"/>
      <c r="Q29" s="1263"/>
      <c r="R29" s="667"/>
      <c r="S29" s="668"/>
      <c r="T29" s="667"/>
      <c r="U29" s="668"/>
      <c r="V29" s="667"/>
      <c r="W29" s="668"/>
      <c r="X29" s="1265"/>
      <c r="Y29" s="349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94"/>
      <c r="Q30" s="1263" t="str">
        <f t="shared" si="8"/>
        <v>土地级别</v>
      </c>
      <c r="R30" s="667" t="s">
        <v>14</v>
      </c>
      <c r="S30" s="668">
        <f t="shared" si="10"/>
        <v>100</v>
      </c>
      <c r="T30" s="667" t="s">
        <v>14</v>
      </c>
      <c r="U30" s="668">
        <f t="shared" si="11"/>
        <v>100</v>
      </c>
      <c r="V30" s="667" t="s">
        <v>14</v>
      </c>
      <c r="W30" s="668">
        <f t="shared" si="12"/>
        <v>100</v>
      </c>
      <c r="X30" s="1265"/>
      <c r="Y30" s="349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94"/>
      <c r="Q31" s="1263">
        <f t="shared" si="8"/>
        <v>111</v>
      </c>
      <c r="R31" s="667" t="s">
        <v>14</v>
      </c>
      <c r="S31" s="668">
        <f t="shared" si="10"/>
        <v>100</v>
      </c>
      <c r="T31" s="667" t="s">
        <v>14</v>
      </c>
      <c r="U31" s="668">
        <f t="shared" si="11"/>
        <v>100</v>
      </c>
      <c r="V31" s="667" t="s">
        <v>14</v>
      </c>
      <c r="W31" s="668">
        <f t="shared" si="12"/>
        <v>100</v>
      </c>
      <c r="X31" s="1265"/>
      <c r="Y31" s="349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93" t="s">
        <v>1696</v>
      </c>
      <c r="Q32" s="1263">
        <f t="shared" si="8"/>
        <v>111</v>
      </c>
      <c r="R32" s="667" t="s">
        <v>14</v>
      </c>
      <c r="S32" s="668">
        <f t="shared" si="10"/>
        <v>100</v>
      </c>
      <c r="T32" s="667" t="s">
        <v>14</v>
      </c>
      <c r="U32" s="668">
        <f t="shared" si="11"/>
        <v>100</v>
      </c>
      <c r="V32" s="667" t="s">
        <v>14</v>
      </c>
      <c r="W32" s="668">
        <f t="shared" si="12"/>
        <v>100</v>
      </c>
      <c r="X32" s="1265"/>
      <c r="Y32" s="349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98"/>
      <c r="Q33" s="1263">
        <f t="shared" si="8"/>
        <v>111</v>
      </c>
      <c r="R33" s="669" t="s">
        <v>14</v>
      </c>
      <c r="S33" s="670">
        <f t="shared" si="10"/>
        <v>100</v>
      </c>
      <c r="T33" s="669" t="s">
        <v>14</v>
      </c>
      <c r="U33" s="670">
        <f t="shared" si="11"/>
        <v>100</v>
      </c>
      <c r="V33" s="669" t="s">
        <v>14</v>
      </c>
      <c r="W33" s="670">
        <f t="shared" si="12"/>
        <v>100</v>
      </c>
      <c r="X33" s="671"/>
      <c r="Y33" s="349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98"/>
      <c r="Q34" s="1263" t="str">
        <f>B34</f>
        <v>宗地面积</v>
      </c>
      <c r="R34" s="667" t="s">
        <v>14</v>
      </c>
      <c r="S34" s="668" t="e">
        <f t="shared" si="10"/>
        <v>#N/A</v>
      </c>
      <c r="T34" s="667" t="s">
        <v>14</v>
      </c>
      <c r="U34" s="668" t="e">
        <f t="shared" si="11"/>
        <v>#N/A</v>
      </c>
      <c r="V34" s="667" t="s">
        <v>14</v>
      </c>
      <c r="W34" s="668" t="e">
        <f t="shared" si="12"/>
        <v>#N/A</v>
      </c>
      <c r="X34" s="1265"/>
      <c r="Y34" s="349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98"/>
      <c r="Q35" s="1263" t="str">
        <f t="shared" ref="Q35:Q40" si="14">B35</f>
        <v>宗地形状</v>
      </c>
      <c r="R35" s="667" t="s">
        <v>14</v>
      </c>
      <c r="S35" s="668">
        <f t="shared" si="10"/>
        <v>100</v>
      </c>
      <c r="T35" s="667" t="s">
        <v>14</v>
      </c>
      <c r="U35" s="668">
        <f t="shared" si="11"/>
        <v>100</v>
      </c>
      <c r="V35" s="667" t="s">
        <v>14</v>
      </c>
      <c r="W35" s="668">
        <f t="shared" si="12"/>
        <v>100</v>
      </c>
      <c r="X35" s="1265"/>
      <c r="Y35" s="349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98"/>
      <c r="Q36" s="1263" t="str">
        <f t="shared" si="14"/>
        <v>宗地开发程度</v>
      </c>
      <c r="R36" s="664" t="s">
        <v>14</v>
      </c>
      <c r="S36" s="665">
        <f t="shared" si="10"/>
        <v>100</v>
      </c>
      <c r="T36" s="664" t="s">
        <v>14</v>
      </c>
      <c r="U36" s="665">
        <f t="shared" si="11"/>
        <v>100</v>
      </c>
      <c r="V36" s="664" t="s">
        <v>14</v>
      </c>
      <c r="W36" s="665">
        <f t="shared" si="12"/>
        <v>100</v>
      </c>
      <c r="X36" s="666"/>
      <c r="Y36" s="349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98" t="s">
        <v>1696</v>
      </c>
      <c r="Q37" s="1263" t="str">
        <f t="shared" si="14"/>
        <v>工程地质条件</v>
      </c>
      <c r="R37" s="667" t="s">
        <v>14</v>
      </c>
      <c r="S37" s="668">
        <f t="shared" si="10"/>
        <v>100</v>
      </c>
      <c r="T37" s="667" t="s">
        <v>14</v>
      </c>
      <c r="U37" s="668">
        <f t="shared" si="11"/>
        <v>100</v>
      </c>
      <c r="V37" s="667" t="s">
        <v>14</v>
      </c>
      <c r="W37" s="668">
        <f t="shared" si="12"/>
        <v>100</v>
      </c>
      <c r="X37" s="1265"/>
      <c r="Y37" s="349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98"/>
      <c r="Q38" s="1263">
        <f t="shared" si="14"/>
        <v>111</v>
      </c>
      <c r="R38" s="667" t="s">
        <v>14</v>
      </c>
      <c r="S38" s="668">
        <f t="shared" si="10"/>
        <v>100</v>
      </c>
      <c r="T38" s="667" t="s">
        <v>14</v>
      </c>
      <c r="U38" s="668">
        <f t="shared" si="11"/>
        <v>100</v>
      </c>
      <c r="V38" s="667" t="s">
        <v>14</v>
      </c>
      <c r="W38" s="668">
        <f t="shared" si="12"/>
        <v>100</v>
      </c>
      <c r="X38" s="1265"/>
      <c r="Y38" s="349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98"/>
      <c r="Q39" s="1263">
        <f t="shared" si="14"/>
        <v>111</v>
      </c>
      <c r="R39" s="667" t="s">
        <v>14</v>
      </c>
      <c r="S39" s="668">
        <f t="shared" si="10"/>
        <v>100</v>
      </c>
      <c r="T39" s="667" t="s">
        <v>14</v>
      </c>
      <c r="U39" s="668">
        <f t="shared" si="11"/>
        <v>100</v>
      </c>
      <c r="V39" s="667" t="s">
        <v>14</v>
      </c>
      <c r="W39" s="668">
        <f t="shared" si="12"/>
        <v>100</v>
      </c>
      <c r="X39" s="1265"/>
      <c r="Y39" s="349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98"/>
      <c r="Q40" s="1263">
        <f t="shared" si="14"/>
        <v>111</v>
      </c>
      <c r="R40" s="669" t="s">
        <v>14</v>
      </c>
      <c r="S40" s="670">
        <f t="shared" si="10"/>
        <v>100</v>
      </c>
      <c r="T40" s="669" t="s">
        <v>14</v>
      </c>
      <c r="U40" s="670">
        <f t="shared" si="11"/>
        <v>100</v>
      </c>
      <c r="V40" s="669" t="s">
        <v>14</v>
      </c>
      <c r="W40" s="670">
        <f t="shared" si="12"/>
        <v>100</v>
      </c>
      <c r="X40" s="671"/>
      <c r="Y40" s="349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92" t="str">
        <f>A41</f>
        <v>成交单价</v>
      </c>
      <c r="Q41" s="3492"/>
      <c r="R41" s="3487">
        <f>E41</f>
        <v>0</v>
      </c>
      <c r="S41" s="3487"/>
      <c r="T41" s="3487">
        <f>G41</f>
        <v>0</v>
      </c>
      <c r="U41" s="3487"/>
      <c r="V41" s="3487">
        <f>I41</f>
        <v>0</v>
      </c>
      <c r="W41" s="348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92" t="str">
        <f>A42</f>
        <v>比较价值（元/平方米）</v>
      </c>
      <c r="Q42" s="3492"/>
      <c r="R42" s="3595" t="e">
        <f>ROUND(PRODUCT(R41,AA7:AA40),0)</f>
        <v>#DIV/0!</v>
      </c>
      <c r="S42" s="3595"/>
      <c r="T42" s="3595" t="e">
        <f>ROUND(PRODUCT(T41,AB7:AB40),0)</f>
        <v>#DIV/0!</v>
      </c>
      <c r="U42" s="3595"/>
      <c r="V42" s="3595" t="e">
        <f>ROUND(PRODUCT(V41,AC7:AC40),0)</f>
        <v>#DIV/0!</v>
      </c>
      <c r="W42" s="359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89" t="str">
        <f>A43</f>
        <v>估价对象XX用房的比较价值（楼面单价，元/平方米）</v>
      </c>
      <c r="Q43" s="3490"/>
      <c r="R43" s="3596" t="e">
        <f>ROUND(IF(D42="简单平均",AVERAGE(R42:W42),R42*F42+T42*H42+V42*J42),0)</f>
        <v>#DIV/0!</v>
      </c>
      <c r="S43" s="3596"/>
      <c r="T43" s="3596"/>
      <c r="U43" s="3596"/>
      <c r="V43" s="3596"/>
      <c r="W43" s="359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75" t="s">
        <v>1887</v>
      </c>
      <c r="H50" s="359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326</v>
      </c>
      <c r="F51" s="611" t="e">
        <f t="shared" ref="F51:F60" si="15">ROUND(B51*E51/10000,0)</f>
        <v>#DIV/0!</v>
      </c>
      <c r="G51" s="3474"/>
      <c r="H51" s="34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763.36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8">
      <c r="A3" s="3252" t="str">
        <f>IF(项目基本情况!B9="房地产市场价值","估价结果一览表（市场价值不需“结果表-1”）","估价结果一览表")</f>
        <v>估价结果一览表</v>
      </c>
      <c r="B3" s="3252"/>
      <c r="C3" s="3252"/>
      <c r="D3" s="3252"/>
      <c r="E3" s="3252"/>
    </row>
    <row r="4" spans="1:5" ht="19.5" thickBot="1">
      <c r="A4" s="1391"/>
      <c r="B4" s="3250" t="s">
        <v>917</v>
      </c>
      <c r="C4" s="3250"/>
      <c r="D4" s="3250"/>
      <c r="E4" s="1391"/>
    </row>
    <row r="5" spans="1:5" ht="16.5" thickTop="1">
      <c r="B5" s="3248" t="s">
        <v>909</v>
      </c>
      <c r="C5" s="1392" t="s">
        <v>910</v>
      </c>
      <c r="D5" s="797" t="e">
        <f ca="1">结果表!H101</f>
        <v>#REF!</v>
      </c>
    </row>
    <row r="6" spans="1:5" ht="15.75">
      <c r="B6" s="3248"/>
      <c r="C6" s="1392" t="s">
        <v>911</v>
      </c>
      <c r="D6" s="797" t="e">
        <f ca="1">NUMBERSTRING(INT(D5*10000),2)&amp;"元整"</f>
        <v>#REF!</v>
      </c>
    </row>
    <row r="7" spans="1:5" ht="15.75">
      <c r="B7" s="3253"/>
      <c r="C7" s="1393" t="s">
        <v>912</v>
      </c>
      <c r="D7" s="798" t="e">
        <f ca="1">结果表!H102</f>
        <v>#REF!</v>
      </c>
    </row>
    <row r="8" spans="1:5" ht="15.75">
      <c r="B8" s="3254" t="str">
        <f>结果表!E103</f>
        <v>2.估价师知悉的法定优先受偿款</v>
      </c>
      <c r="C8" s="1394" t="s">
        <v>913</v>
      </c>
      <c r="D8" s="798">
        <f>结果表!H103</f>
        <v>0</v>
      </c>
    </row>
    <row r="9" spans="1:5" ht="15.75">
      <c r="B9" s="325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47" t="str">
        <f>结果表!E107</f>
        <v>3.房地产抵押价值</v>
      </c>
      <c r="C13" s="1397" t="s">
        <v>910</v>
      </c>
      <c r="D13" s="800" t="e">
        <f ca="1">结果表!H107</f>
        <v>#REF!</v>
      </c>
    </row>
    <row r="14" spans="1:5" ht="15.75">
      <c r="B14" s="3248"/>
      <c r="C14" s="1392" t="s">
        <v>911</v>
      </c>
      <c r="D14" s="797" t="e">
        <f ca="1">NUMBERSTRING(INT(D13*10000),2)&amp;"元整"</f>
        <v>#REF!</v>
      </c>
    </row>
    <row r="15" spans="1:5" ht="15">
      <c r="B15" s="3253"/>
      <c r="C15" s="1393" t="s">
        <v>921</v>
      </c>
      <c r="D15" s="806" t="e">
        <f ca="1">结果表!H108</f>
        <v>#REF!</v>
      </c>
    </row>
    <row r="16" spans="1:5" ht="15">
      <c r="B16" s="3254" t="str">
        <f>结果表!E109</f>
        <v>——</v>
      </c>
      <c r="C16" s="1397" t="s">
        <v>922</v>
      </c>
      <c r="D16" s="1398" t="str">
        <f>结果表!H109</f>
        <v>——</v>
      </c>
    </row>
    <row r="17" spans="1:5" ht="15.75">
      <c r="B17" s="3255"/>
      <c r="C17" s="1392" t="s">
        <v>923</v>
      </c>
      <c r="D17" s="797" t="e">
        <f>NUMBERSTRING(INT(D16*10000),2)&amp;"元整"</f>
        <v>#VALUE!</v>
      </c>
    </row>
    <row r="18" spans="1:5" ht="15">
      <c r="B18" s="3256"/>
      <c r="C18" s="1393" t="s">
        <v>912</v>
      </c>
      <c r="D18" s="806" t="str">
        <f>结果表!H110</f>
        <v>——</v>
      </c>
    </row>
    <row r="19" spans="1:5" ht="15.75">
      <c r="B19" s="3247" t="str">
        <f>结果表!E111</f>
        <v>——</v>
      </c>
      <c r="C19" s="1397" t="s">
        <v>910</v>
      </c>
      <c r="D19" s="798" t="str">
        <f>结果表!H111</f>
        <v>——</v>
      </c>
    </row>
    <row r="20" spans="1:5" ht="15.75">
      <c r="B20" s="3248"/>
      <c r="C20" s="1392" t="s">
        <v>923</v>
      </c>
      <c r="D20" s="797" t="e">
        <f>NUMBERSTRING(INT(D19*10000),2)&amp;"元整"</f>
        <v>#VALUE!</v>
      </c>
    </row>
    <row r="21" spans="1:5" ht="15.75" thickBot="1">
      <c r="B21" s="324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605" t="s">
        <v>2084</v>
      </c>
      <c r="D1" s="3606"/>
      <c r="E1" s="3606"/>
      <c r="F1" s="3606"/>
      <c r="G1" s="3606"/>
      <c r="H1" s="3606"/>
      <c r="I1" s="3606"/>
      <c r="J1" s="3606"/>
      <c r="K1" s="3606"/>
      <c r="L1" s="3606"/>
      <c r="M1" s="3606"/>
      <c r="N1" s="3606"/>
      <c r="O1" s="3606"/>
      <c r="P1" s="3606"/>
      <c r="Q1" s="3606"/>
      <c r="R1" s="3606"/>
      <c r="S1" s="360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602" t="s">
        <v>27</v>
      </c>
      <c r="D22" s="3603"/>
      <c r="E22" s="3603"/>
      <c r="F22" s="3603"/>
      <c r="G22" s="3603"/>
      <c r="H22" s="3603"/>
      <c r="I22" s="3603"/>
      <c r="J22" s="3603"/>
      <c r="K22" s="3603"/>
      <c r="L22" s="3603"/>
      <c r="M22" s="3603"/>
      <c r="N22" s="3603"/>
      <c r="O22" s="3603"/>
      <c r="P22" s="3603"/>
      <c r="Q22" s="360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175</v>
      </c>
      <c r="C2" s="1984" t="s">
        <v>2074</v>
      </c>
      <c r="D2" s="1984" t="s">
        <v>2075</v>
      </c>
      <c r="E2" s="2398">
        <f ca="1">SUMIF(E6:E13,"&lt;&gt;#ref!",E6:E13)</f>
        <v>763.36</v>
      </c>
      <c r="F2" s="2545"/>
      <c r="G2" s="2545"/>
      <c r="H2" s="2545"/>
      <c r="I2" s="2545"/>
      <c r="J2" s="2545"/>
      <c r="K2" s="2545"/>
      <c r="L2" s="2545"/>
      <c r="M2" s="2545"/>
      <c r="N2" s="2545"/>
      <c r="O2" s="2545"/>
      <c r="P2" s="2545"/>
    </row>
    <row r="3" spans="1:16" ht="15.75">
      <c r="A3" s="1984" t="s">
        <v>2076</v>
      </c>
      <c r="B3" s="2388">
        <f ca="1">ROUND(B2*10000/E2,0)</f>
        <v>2292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175</v>
      </c>
      <c r="C6" s="1984" t="s">
        <v>2074</v>
      </c>
      <c r="D6" s="2545"/>
      <c r="E6" s="2398">
        <f ca="1">SUMIF(INDIRECT("'"&amp;A6&amp;"'"&amp;"!C:C"),"建筑面积",INDIRECT("'"&amp;A6&amp;"'"&amp;"!D:D"))</f>
        <v>763.36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B1" zoomScaleNormal="100" workbookViewId="0">
      <selection activeCell="I32" sqref="I32"/>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618" t="s">
        <v>2598</v>
      </c>
      <c r="B20" s="3608" t="s">
        <v>2619</v>
      </c>
      <c r="C20" s="3167" t="s">
        <v>2430</v>
      </c>
      <c r="D20" s="3167"/>
      <c r="E20" s="2845">
        <v>1</v>
      </c>
      <c r="F20" s="2846" t="s">
        <v>2431</v>
      </c>
      <c r="G20" s="2846"/>
    </row>
    <row r="21" spans="1:13" ht="19.5" customHeight="1">
      <c r="A21" s="3619"/>
      <c r="B21" s="3609"/>
      <c r="C21" s="2858" t="s">
        <v>2432</v>
      </c>
      <c r="D21" s="2858"/>
      <c r="E21" s="2849">
        <v>1</v>
      </c>
      <c r="F21" s="2846" t="s">
        <v>2433</v>
      </c>
      <c r="G21" s="2846"/>
    </row>
    <row r="22" spans="1:13" ht="19.5" customHeight="1">
      <c r="A22" s="3619"/>
      <c r="B22" s="3609"/>
      <c r="C22" s="2858" t="s">
        <v>2434</v>
      </c>
      <c r="D22" s="2858"/>
      <c r="E22" s="2849">
        <v>0.9</v>
      </c>
      <c r="F22" s="2846" t="s">
        <v>2435</v>
      </c>
      <c r="G22" s="2846"/>
    </row>
    <row r="23" spans="1:13" ht="19.5" customHeight="1">
      <c r="A23" s="3619"/>
      <c r="B23" s="3609"/>
      <c r="C23" s="2858" t="s">
        <v>2436</v>
      </c>
      <c r="D23" s="2858"/>
      <c r="E23" s="2849">
        <v>0.9</v>
      </c>
      <c r="F23" s="2846" t="s">
        <v>2437</v>
      </c>
      <c r="G23" s="2846"/>
    </row>
    <row r="24" spans="1:13" ht="19.5" customHeight="1">
      <c r="A24" s="3619"/>
      <c r="B24" s="3609"/>
      <c r="C24" s="2858" t="s">
        <v>2438</v>
      </c>
      <c r="D24" s="2858"/>
      <c r="E24" s="2849">
        <v>0.8</v>
      </c>
      <c r="F24" s="2846" t="s">
        <v>2439</v>
      </c>
      <c r="G24" s="2846"/>
    </row>
    <row r="25" spans="1:13" ht="19.5" customHeight="1">
      <c r="A25" s="3619"/>
      <c r="B25" s="3609"/>
      <c r="C25" s="2858" t="s">
        <v>2440</v>
      </c>
      <c r="D25" s="2858"/>
      <c r="E25" s="2849">
        <v>0.8</v>
      </c>
      <c r="F25" s="2846"/>
      <c r="G25" s="2846"/>
    </row>
    <row r="26" spans="1:13" ht="19.5" customHeight="1">
      <c r="A26" s="3619"/>
      <c r="B26" s="3609"/>
      <c r="C26" s="2858" t="s">
        <v>3401</v>
      </c>
      <c r="D26" s="2858"/>
      <c r="E26" s="2849">
        <v>0.43</v>
      </c>
      <c r="F26" s="2846"/>
      <c r="G26" s="2846"/>
    </row>
    <row r="27" spans="1:13" ht="19.5" customHeight="1" thickBot="1">
      <c r="A27" s="3620"/>
      <c r="B27" s="3610"/>
      <c r="C27" s="3163" t="s">
        <v>3402</v>
      </c>
      <c r="D27" s="3163"/>
      <c r="E27" s="2852">
        <f>E26*0.9</f>
        <v>0.38700000000000001</v>
      </c>
      <c r="F27" s="2846" t="s">
        <v>2441</v>
      </c>
      <c r="G27" s="2846"/>
    </row>
    <row r="28" spans="1:13" ht="19.5" customHeight="1" thickBot="1">
      <c r="A28" s="3162" t="s">
        <v>2620</v>
      </c>
      <c r="B28" s="3161" t="s">
        <v>2619</v>
      </c>
      <c r="C28" s="3164" t="s">
        <v>2621</v>
      </c>
      <c r="D28" s="3165"/>
      <c r="E28" s="3166">
        <v>1</v>
      </c>
      <c r="F28" s="2846" t="s">
        <v>2442</v>
      </c>
      <c r="G28" s="2846"/>
    </row>
    <row r="29" spans="1:13" ht="19.5" customHeight="1">
      <c r="A29" s="3611" t="s">
        <v>2622</v>
      </c>
      <c r="B29" s="3614" t="s">
        <v>2603</v>
      </c>
      <c r="C29" s="2843" t="s">
        <v>2443</v>
      </c>
      <c r="D29" s="2844"/>
      <c r="E29" s="2845">
        <v>1</v>
      </c>
      <c r="F29" s="2846" t="s">
        <v>2444</v>
      </c>
      <c r="G29" s="2846"/>
    </row>
    <row r="30" spans="1:13" ht="19.5" customHeight="1">
      <c r="A30" s="3612"/>
      <c r="B30" s="3615"/>
      <c r="C30" s="2847" t="s">
        <v>2445</v>
      </c>
      <c r="D30" s="2848"/>
      <c r="E30" s="2849">
        <v>1</v>
      </c>
      <c r="F30" s="2846" t="s">
        <v>2446</v>
      </c>
      <c r="G30" s="2846"/>
    </row>
    <row r="31" spans="1:13" ht="19.5" customHeight="1">
      <c r="A31" s="3612"/>
      <c r="B31" s="3615"/>
      <c r="C31" s="2847" t="s">
        <v>2447</v>
      </c>
      <c r="D31" s="2848"/>
      <c r="E31" s="2849">
        <v>0.8</v>
      </c>
      <c r="F31" s="2846" t="s">
        <v>2448</v>
      </c>
      <c r="G31" s="2846"/>
    </row>
    <row r="32" spans="1:13" ht="19.5" customHeight="1">
      <c r="A32" s="3612"/>
      <c r="B32" s="3615"/>
      <c r="C32" s="2847" t="s">
        <v>2449</v>
      </c>
      <c r="D32" s="2848"/>
      <c r="E32" s="2849">
        <v>0.8</v>
      </c>
      <c r="F32" s="2846" t="s">
        <v>2450</v>
      </c>
      <c r="G32" s="2846"/>
    </row>
    <row r="33" spans="1:7" ht="19.5" customHeight="1">
      <c r="A33" s="3612"/>
      <c r="B33" s="3615"/>
      <c r="C33" s="2847" t="s">
        <v>2451</v>
      </c>
      <c r="D33" s="2848"/>
      <c r="E33" s="2849">
        <v>0.8</v>
      </c>
      <c r="F33" s="2846" t="s">
        <v>2452</v>
      </c>
      <c r="G33" s="2846"/>
    </row>
    <row r="34" spans="1:7" ht="19.5" customHeight="1">
      <c r="A34" s="3612"/>
      <c r="B34" s="3615"/>
      <c r="C34" s="2847" t="s">
        <v>2453</v>
      </c>
      <c r="D34" s="2848"/>
      <c r="E34" s="2849">
        <v>0.7</v>
      </c>
      <c r="F34" s="2846" t="s">
        <v>2454</v>
      </c>
      <c r="G34" s="2846"/>
    </row>
    <row r="35" spans="1:7" ht="19.5" customHeight="1">
      <c r="A35" s="3612"/>
      <c r="B35" s="3615"/>
      <c r="C35" s="2847" t="s">
        <v>2455</v>
      </c>
      <c r="D35" s="2848"/>
      <c r="E35" s="2849">
        <v>0.8</v>
      </c>
      <c r="F35" s="2846" t="s">
        <v>2456</v>
      </c>
      <c r="G35" s="2846"/>
    </row>
    <row r="36" spans="1:7" ht="19.5" customHeight="1">
      <c r="A36" s="3612"/>
      <c r="B36" s="3615"/>
      <c r="C36" s="2847" t="s">
        <v>2457</v>
      </c>
      <c r="D36" s="2848"/>
      <c r="E36" s="2849">
        <v>0.6</v>
      </c>
      <c r="F36" s="2846" t="s">
        <v>2458</v>
      </c>
      <c r="G36" s="2846"/>
    </row>
    <row r="37" spans="1:7" ht="19.5" customHeight="1">
      <c r="A37" s="3612"/>
      <c r="B37" s="3615"/>
      <c r="C37" s="2847" t="s">
        <v>2459</v>
      </c>
      <c r="D37" s="2848"/>
      <c r="E37" s="2849">
        <v>0.2</v>
      </c>
      <c r="F37" s="2846" t="s">
        <v>2460</v>
      </c>
      <c r="G37" s="2846"/>
    </row>
    <row r="38" spans="1:7" ht="19.5" customHeight="1">
      <c r="A38" s="3612"/>
      <c r="B38" s="3615"/>
      <c r="C38" s="2847" t="s">
        <v>2461</v>
      </c>
      <c r="D38" s="2848"/>
      <c r="E38" s="2849">
        <v>0.2</v>
      </c>
      <c r="F38" s="2846" t="s">
        <v>2462</v>
      </c>
      <c r="G38" s="2846"/>
    </row>
    <row r="39" spans="1:7" ht="19.5" customHeight="1">
      <c r="A39" s="3612"/>
      <c r="B39" s="3616" t="s">
        <v>2623</v>
      </c>
      <c r="C39" s="2847" t="s">
        <v>2463</v>
      </c>
      <c r="D39" s="2848"/>
      <c r="E39" s="2849">
        <v>0.6</v>
      </c>
      <c r="F39" s="2846" t="s">
        <v>2464</v>
      </c>
      <c r="G39" s="2846"/>
    </row>
    <row r="40" spans="1:7" ht="19.5" customHeight="1">
      <c r="A40" s="3612"/>
      <c r="B40" s="3615"/>
      <c r="C40" s="2847" t="s">
        <v>2465</v>
      </c>
      <c r="D40" s="2848"/>
      <c r="E40" s="2849">
        <v>0.6</v>
      </c>
      <c r="F40" s="2846" t="s">
        <v>2466</v>
      </c>
      <c r="G40" s="2846"/>
    </row>
    <row r="41" spans="1:7" ht="19.5" customHeight="1" thickBot="1">
      <c r="A41" s="3613"/>
      <c r="B41" s="3617"/>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618" t="s">
        <v>2601</v>
      </c>
      <c r="B43" s="3614" t="s">
        <v>2625</v>
      </c>
      <c r="C43" s="2843" t="s">
        <v>2470</v>
      </c>
      <c r="D43" s="2844"/>
      <c r="E43" s="2845">
        <v>1</v>
      </c>
      <c r="F43" s="2846" t="s">
        <v>2471</v>
      </c>
      <c r="G43" s="2846"/>
    </row>
    <row r="44" spans="1:7" ht="19.5" customHeight="1">
      <c r="A44" s="3619"/>
      <c r="B44" s="3615"/>
      <c r="C44" s="2847" t="s">
        <v>2472</v>
      </c>
      <c r="D44" s="2848"/>
      <c r="E44" s="2849">
        <v>1</v>
      </c>
      <c r="F44" s="2846" t="s">
        <v>2473</v>
      </c>
      <c r="G44" s="2846"/>
    </row>
    <row r="45" spans="1:7" ht="19.5" customHeight="1">
      <c r="A45" s="3619"/>
      <c r="B45" s="3621"/>
      <c r="C45" s="2847" t="s">
        <v>2474</v>
      </c>
      <c r="D45" s="2848"/>
      <c r="E45" s="2849">
        <v>1.5</v>
      </c>
      <c r="F45" s="2846" t="s">
        <v>2475</v>
      </c>
      <c r="G45" s="2846"/>
    </row>
    <row r="46" spans="1:7" ht="19.5" customHeight="1">
      <c r="A46" s="3619"/>
      <c r="B46" s="2858" t="s">
        <v>2626</v>
      </c>
      <c r="C46" s="2847" t="s">
        <v>2627</v>
      </c>
      <c r="D46" s="2848"/>
      <c r="E46" s="2849">
        <v>2</v>
      </c>
      <c r="F46" s="2846" t="s">
        <v>2476</v>
      </c>
      <c r="G46" s="2846"/>
    </row>
    <row r="47" spans="1:7" ht="19.5" customHeight="1">
      <c r="A47" s="3619"/>
      <c r="B47" s="3616" t="s">
        <v>2628</v>
      </c>
      <c r="C47" s="2847" t="s">
        <v>2477</v>
      </c>
      <c r="D47" s="2848"/>
      <c r="E47" s="2849">
        <v>1</v>
      </c>
      <c r="F47" s="2846" t="s">
        <v>2478</v>
      </c>
      <c r="G47" s="2846"/>
    </row>
    <row r="48" spans="1:7" ht="19.5" customHeight="1">
      <c r="A48" s="3619"/>
      <c r="B48" s="3615"/>
      <c r="C48" s="2847" t="s">
        <v>2479</v>
      </c>
      <c r="D48" s="2848"/>
      <c r="E48" s="2849">
        <v>1</v>
      </c>
      <c r="F48" s="2846" t="s">
        <v>2480</v>
      </c>
      <c r="G48" s="2846"/>
    </row>
    <row r="49" spans="1:7" ht="19.5" customHeight="1">
      <c r="A49" s="3619"/>
      <c r="B49" s="3615"/>
      <c r="C49" s="2847" t="s">
        <v>2481</v>
      </c>
      <c r="D49" s="2848"/>
      <c r="E49" s="2849">
        <v>1</v>
      </c>
      <c r="F49" s="2846" t="s">
        <v>2482</v>
      </c>
      <c r="G49" s="2846"/>
    </row>
    <row r="50" spans="1:7" ht="19.5" customHeight="1">
      <c r="A50" s="3619"/>
      <c r="B50" s="3615"/>
      <c r="C50" s="2847" t="s">
        <v>2483</v>
      </c>
      <c r="D50" s="2848"/>
      <c r="E50" s="2849">
        <v>1</v>
      </c>
      <c r="F50" s="2846" t="s">
        <v>2484</v>
      </c>
      <c r="G50" s="2846"/>
    </row>
    <row r="51" spans="1:7" ht="19.5" customHeight="1">
      <c r="A51" s="3619"/>
      <c r="B51" s="3615"/>
      <c r="C51" s="2847" t="s">
        <v>2485</v>
      </c>
      <c r="D51" s="2848"/>
      <c r="E51" s="2849">
        <v>1</v>
      </c>
      <c r="F51" s="2846" t="s">
        <v>2486</v>
      </c>
      <c r="G51" s="2846"/>
    </row>
    <row r="52" spans="1:7" ht="19.5" customHeight="1">
      <c r="A52" s="3619"/>
      <c r="B52" s="3615"/>
      <c r="C52" s="2847" t="s">
        <v>2487</v>
      </c>
      <c r="D52" s="2848"/>
      <c r="E52" s="2849">
        <v>1</v>
      </c>
      <c r="F52" s="2846" t="s">
        <v>2488</v>
      </c>
      <c r="G52" s="2846"/>
    </row>
    <row r="53" spans="1:7" ht="19.5" customHeight="1" thickBot="1">
      <c r="A53" s="3620"/>
      <c r="B53" s="3617"/>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616" t="s">
        <v>2642</v>
      </c>
      <c r="C75" s="2832" t="s">
        <v>2643</v>
      </c>
      <c r="D75" s="2832" t="s">
        <v>2644</v>
      </c>
      <c r="E75" s="2858">
        <v>0.2</v>
      </c>
      <c r="F75" s="2858">
        <v>25</v>
      </c>
    </row>
    <row r="76" spans="1:7" ht="24">
      <c r="A76" s="2858">
        <v>2</v>
      </c>
      <c r="B76" s="3615"/>
      <c r="C76" s="2832" t="s">
        <v>2645</v>
      </c>
      <c r="D76" s="2832" t="s">
        <v>2646</v>
      </c>
      <c r="E76" s="2858">
        <v>0.2</v>
      </c>
      <c r="F76" s="2858">
        <v>25</v>
      </c>
    </row>
    <row r="77" spans="1:7" ht="24">
      <c r="A77" s="2858">
        <v>3</v>
      </c>
      <c r="B77" s="3615"/>
      <c r="C77" s="2832" t="s">
        <v>2647</v>
      </c>
      <c r="D77" s="2832" t="s">
        <v>2648</v>
      </c>
      <c r="E77" s="2858">
        <v>0.2</v>
      </c>
      <c r="F77" s="2858">
        <v>25</v>
      </c>
    </row>
    <row r="78" spans="1:7" ht="13.5">
      <c r="A78" s="2858">
        <v>4</v>
      </c>
      <c r="B78" s="3615"/>
      <c r="C78" s="2832" t="s">
        <v>2649</v>
      </c>
      <c r="D78" s="2832" t="s">
        <v>2650</v>
      </c>
      <c r="E78" s="2858">
        <v>0.15</v>
      </c>
      <c r="F78" s="2858">
        <v>20</v>
      </c>
    </row>
    <row r="79" spans="1:7" ht="24">
      <c r="A79" s="2858">
        <v>5</v>
      </c>
      <c r="B79" s="3615"/>
      <c r="C79" s="2832" t="s">
        <v>2651</v>
      </c>
      <c r="D79" s="2832" t="s">
        <v>2652</v>
      </c>
      <c r="E79" s="2858">
        <v>0.15</v>
      </c>
      <c r="F79" s="2858">
        <v>20</v>
      </c>
    </row>
    <row r="80" spans="1:7" ht="24">
      <c r="A80" s="2858">
        <v>6</v>
      </c>
      <c r="B80" s="3615"/>
      <c r="C80" s="2832" t="s">
        <v>2653</v>
      </c>
      <c r="D80" s="2832" t="s">
        <v>2654</v>
      </c>
      <c r="E80" s="2858">
        <v>0.15</v>
      </c>
      <c r="F80" s="2858">
        <v>20</v>
      </c>
    </row>
    <row r="81" spans="1:6" ht="24">
      <c r="A81" s="2858">
        <v>7</v>
      </c>
      <c r="B81" s="3615"/>
      <c r="C81" s="2832" t="s">
        <v>2655</v>
      </c>
      <c r="D81" s="2832" t="s">
        <v>2656</v>
      </c>
      <c r="E81" s="2858">
        <v>0.15</v>
      </c>
      <c r="F81" s="2858">
        <v>20</v>
      </c>
    </row>
    <row r="82" spans="1:6" ht="24">
      <c r="A82" s="2858">
        <v>8</v>
      </c>
      <c r="B82" s="3615"/>
      <c r="C82" s="2832" t="s">
        <v>2657</v>
      </c>
      <c r="D82" s="2832" t="s">
        <v>2658</v>
      </c>
      <c r="E82" s="2858">
        <v>0.1</v>
      </c>
      <c r="F82" s="2858">
        <v>15</v>
      </c>
    </row>
    <row r="83" spans="1:6" ht="24">
      <c r="A83" s="2858">
        <v>9</v>
      </c>
      <c r="B83" s="3615"/>
      <c r="C83" s="2832" t="s">
        <v>2659</v>
      </c>
      <c r="D83" s="2832" t="s">
        <v>2660</v>
      </c>
      <c r="E83" s="2858">
        <v>0.1</v>
      </c>
      <c r="F83" s="2858">
        <v>15</v>
      </c>
    </row>
    <row r="84" spans="1:6" ht="24">
      <c r="A84" s="2858">
        <v>10</v>
      </c>
      <c r="B84" s="3615"/>
      <c r="C84" s="2832" t="s">
        <v>2661</v>
      </c>
      <c r="D84" s="2832" t="s">
        <v>2662</v>
      </c>
      <c r="E84" s="2858">
        <v>0.1</v>
      </c>
      <c r="F84" s="2858">
        <v>15</v>
      </c>
    </row>
    <row r="85" spans="1:6" ht="24">
      <c r="A85" s="2858">
        <v>11</v>
      </c>
      <c r="B85" s="3615"/>
      <c r="C85" s="2832" t="s">
        <v>2663</v>
      </c>
      <c r="D85" s="2832" t="s">
        <v>2664</v>
      </c>
      <c r="E85" s="2858">
        <v>0.1</v>
      </c>
      <c r="F85" s="2858">
        <v>15</v>
      </c>
    </row>
    <row r="86" spans="1:6" ht="24">
      <c r="A86" s="2858">
        <v>12</v>
      </c>
      <c r="B86" s="3615"/>
      <c r="C86" s="2832" t="s">
        <v>2665</v>
      </c>
      <c r="D86" s="2832" t="s">
        <v>2666</v>
      </c>
      <c r="E86" s="2858">
        <v>0.1</v>
      </c>
      <c r="F86" s="2858">
        <v>15</v>
      </c>
    </row>
    <row r="87" spans="1:6" ht="13.5">
      <c r="A87" s="2858">
        <v>13</v>
      </c>
      <c r="B87" s="3615"/>
      <c r="C87" s="2832" t="s">
        <v>2667</v>
      </c>
      <c r="D87" s="2832" t="s">
        <v>2668</v>
      </c>
      <c r="E87" s="2858">
        <v>0.1</v>
      </c>
      <c r="F87" s="2858">
        <v>15</v>
      </c>
    </row>
    <row r="88" spans="1:6" ht="13.5">
      <c r="A88" s="2858">
        <v>14</v>
      </c>
      <c r="B88" s="3615"/>
      <c r="C88" s="2832" t="s">
        <v>2669</v>
      </c>
      <c r="D88" s="2832" t="s">
        <v>2670</v>
      </c>
      <c r="E88" s="2858">
        <v>0.1</v>
      </c>
      <c r="F88" s="2858">
        <v>15</v>
      </c>
    </row>
    <row r="89" spans="1:6" ht="13.5">
      <c r="A89" s="2858">
        <v>15</v>
      </c>
      <c r="B89" s="3615"/>
      <c r="C89" s="2832" t="s">
        <v>2671</v>
      </c>
      <c r="D89" s="2832" t="s">
        <v>2672</v>
      </c>
      <c r="E89" s="2858">
        <v>0.1</v>
      </c>
      <c r="F89" s="2858">
        <v>15</v>
      </c>
    </row>
    <row r="90" spans="1:6" ht="24">
      <c r="A90" s="2858">
        <v>16</v>
      </c>
      <c r="B90" s="3615"/>
      <c r="C90" s="2832" t="s">
        <v>2673</v>
      </c>
      <c r="D90" s="2832" t="s">
        <v>2674</v>
      </c>
      <c r="E90" s="2858">
        <v>0.1</v>
      </c>
      <c r="F90" s="2858">
        <v>15</v>
      </c>
    </row>
    <row r="91" spans="1:6" ht="24">
      <c r="A91" s="2858">
        <v>17</v>
      </c>
      <c r="B91" s="3621"/>
      <c r="C91" s="2832" t="s">
        <v>2675</v>
      </c>
      <c r="D91" s="2832" t="s">
        <v>2676</v>
      </c>
      <c r="E91" s="2858">
        <v>0.1</v>
      </c>
      <c r="F91" s="2858">
        <v>15</v>
      </c>
    </row>
    <row r="92" spans="1:6" ht="13.5">
      <c r="A92" s="2858">
        <v>18</v>
      </c>
      <c r="B92" s="3616" t="s">
        <v>2677</v>
      </c>
      <c r="C92" s="2832" t="s">
        <v>2678</v>
      </c>
      <c r="D92" s="2832" t="s">
        <v>2679</v>
      </c>
      <c r="E92" s="2858">
        <v>0.2</v>
      </c>
      <c r="F92" s="2858">
        <v>25</v>
      </c>
    </row>
    <row r="93" spans="1:6" ht="24">
      <c r="A93" s="2858">
        <v>19</v>
      </c>
      <c r="B93" s="3615"/>
      <c r="C93" s="2832" t="s">
        <v>2680</v>
      </c>
      <c r="D93" s="2832" t="s">
        <v>2681</v>
      </c>
      <c r="E93" s="2858">
        <v>0.2</v>
      </c>
      <c r="F93" s="2858">
        <v>25</v>
      </c>
    </row>
    <row r="94" spans="1:6" ht="13.5">
      <c r="A94" s="2858">
        <v>20</v>
      </c>
      <c r="B94" s="3615"/>
      <c r="C94" s="2832" t="s">
        <v>2682</v>
      </c>
      <c r="D94" s="2832" t="s">
        <v>2683</v>
      </c>
      <c r="E94" s="2858">
        <v>0.15</v>
      </c>
      <c r="F94" s="2858">
        <v>20</v>
      </c>
    </row>
    <row r="95" spans="1:6" ht="13.5">
      <c r="A95" s="2858">
        <v>21</v>
      </c>
      <c r="B95" s="3615"/>
      <c r="C95" s="2832" t="s">
        <v>2684</v>
      </c>
      <c r="D95" s="2832" t="s">
        <v>2685</v>
      </c>
      <c r="E95" s="2858">
        <v>0.15</v>
      </c>
      <c r="F95" s="2858">
        <v>20</v>
      </c>
    </row>
    <row r="96" spans="1:6" ht="13.5">
      <c r="A96" s="2858">
        <v>22</v>
      </c>
      <c r="B96" s="3615"/>
      <c r="C96" s="2832" t="s">
        <v>2686</v>
      </c>
      <c r="D96" s="2832" t="s">
        <v>2687</v>
      </c>
      <c r="E96" s="2858">
        <v>0.15</v>
      </c>
      <c r="F96" s="2858">
        <v>20</v>
      </c>
    </row>
    <row r="97" spans="1:6" ht="36">
      <c r="A97" s="2858">
        <v>23</v>
      </c>
      <c r="B97" s="3615"/>
      <c r="C97" s="2832" t="s">
        <v>2688</v>
      </c>
      <c r="D97" s="2832" t="s">
        <v>2689</v>
      </c>
      <c r="E97" s="2858">
        <v>0.15</v>
      </c>
      <c r="F97" s="2858">
        <v>20</v>
      </c>
    </row>
    <row r="98" spans="1:6" ht="13.5">
      <c r="A98" s="2858">
        <v>24</v>
      </c>
      <c r="B98" s="3615"/>
      <c r="C98" s="2832" t="s">
        <v>2690</v>
      </c>
      <c r="D98" s="2832" t="s">
        <v>2691</v>
      </c>
      <c r="E98" s="2858">
        <v>0.1</v>
      </c>
      <c r="F98" s="2858">
        <v>15</v>
      </c>
    </row>
    <row r="99" spans="1:6" ht="13.5">
      <c r="A99" s="2858">
        <v>25</v>
      </c>
      <c r="B99" s="3615"/>
      <c r="C99" s="2832" t="s">
        <v>2692</v>
      </c>
      <c r="D99" s="2832" t="s">
        <v>2693</v>
      </c>
      <c r="E99" s="2858">
        <v>0.1</v>
      </c>
      <c r="F99" s="2858">
        <v>15</v>
      </c>
    </row>
    <row r="100" spans="1:6" ht="24">
      <c r="A100" s="2858">
        <v>26</v>
      </c>
      <c r="B100" s="3615"/>
      <c r="C100" s="2832" t="s">
        <v>2694</v>
      </c>
      <c r="D100" s="2832" t="s">
        <v>2695</v>
      </c>
      <c r="E100" s="2858">
        <v>0.1</v>
      </c>
      <c r="F100" s="2858">
        <v>15</v>
      </c>
    </row>
    <row r="101" spans="1:6" ht="24">
      <c r="A101" s="2858">
        <v>27</v>
      </c>
      <c r="B101" s="3615"/>
      <c r="C101" s="2832" t="s">
        <v>2696</v>
      </c>
      <c r="D101" s="2832" t="s">
        <v>2697</v>
      </c>
      <c r="E101" s="2858">
        <v>0.1</v>
      </c>
      <c r="F101" s="2858">
        <v>15</v>
      </c>
    </row>
    <row r="102" spans="1:6" ht="13.5">
      <c r="A102" s="2858">
        <v>28</v>
      </c>
      <c r="B102" s="3615"/>
      <c r="C102" s="2832" t="s">
        <v>2698</v>
      </c>
      <c r="D102" s="2832" t="s">
        <v>2699</v>
      </c>
      <c r="E102" s="2858">
        <v>0.1</v>
      </c>
      <c r="F102" s="2858">
        <v>15</v>
      </c>
    </row>
    <row r="103" spans="1:6" ht="13.5">
      <c r="A103" s="2858">
        <v>29</v>
      </c>
      <c r="B103" s="3615"/>
      <c r="C103" s="2832" t="s">
        <v>2700</v>
      </c>
      <c r="D103" s="2832" t="s">
        <v>2701</v>
      </c>
      <c r="E103" s="2858">
        <v>0.1</v>
      </c>
      <c r="F103" s="2858">
        <v>15</v>
      </c>
    </row>
    <row r="104" spans="1:6" ht="13.5">
      <c r="A104" s="2858">
        <v>30</v>
      </c>
      <c r="B104" s="3615"/>
      <c r="C104" s="2832" t="s">
        <v>2702</v>
      </c>
      <c r="D104" s="2832" t="s">
        <v>2703</v>
      </c>
      <c r="E104" s="2858">
        <v>0.1</v>
      </c>
      <c r="F104" s="2858">
        <v>15</v>
      </c>
    </row>
    <row r="105" spans="1:6" ht="24">
      <c r="A105" s="2858">
        <v>31</v>
      </c>
      <c r="B105" s="3615"/>
      <c r="C105" s="2832" t="s">
        <v>2704</v>
      </c>
      <c r="D105" s="2832" t="s">
        <v>2705</v>
      </c>
      <c r="E105" s="2858">
        <v>0.1</v>
      </c>
      <c r="F105" s="2858">
        <v>15</v>
      </c>
    </row>
    <row r="106" spans="1:6" ht="24">
      <c r="A106" s="2858">
        <v>32</v>
      </c>
      <c r="B106" s="3615"/>
      <c r="C106" s="2832" t="s">
        <v>2706</v>
      </c>
      <c r="D106" s="2832" t="s">
        <v>2707</v>
      </c>
      <c r="E106" s="2858">
        <v>0.1</v>
      </c>
      <c r="F106" s="2858">
        <v>15</v>
      </c>
    </row>
    <row r="107" spans="1:6" ht="24">
      <c r="A107" s="2858">
        <v>33</v>
      </c>
      <c r="B107" s="3615"/>
      <c r="C107" s="2832" t="s">
        <v>2708</v>
      </c>
      <c r="D107" s="2832" t="s">
        <v>2709</v>
      </c>
      <c r="E107" s="2858">
        <v>0.1</v>
      </c>
      <c r="F107" s="2858">
        <v>15</v>
      </c>
    </row>
    <row r="108" spans="1:6" ht="24">
      <c r="A108" s="2858">
        <v>34</v>
      </c>
      <c r="B108" s="3621"/>
      <c r="C108" s="2832" t="s">
        <v>2710</v>
      </c>
      <c r="D108" s="2832" t="s">
        <v>2711</v>
      </c>
      <c r="E108" s="2858">
        <v>0.1</v>
      </c>
      <c r="F108" s="2858">
        <v>15</v>
      </c>
    </row>
    <row r="109" spans="1:6" ht="24">
      <c r="A109" s="2858">
        <v>35</v>
      </c>
      <c r="B109" s="3616" t="s">
        <v>2712</v>
      </c>
      <c r="C109" s="2858" t="s">
        <v>2713</v>
      </c>
      <c r="D109" s="2832" t="s">
        <v>2714</v>
      </c>
      <c r="E109" s="2858">
        <v>0.15</v>
      </c>
      <c r="F109" s="2858">
        <v>20</v>
      </c>
    </row>
    <row r="110" spans="1:6" ht="13.5">
      <c r="A110" s="2858">
        <v>36</v>
      </c>
      <c r="B110" s="3615"/>
      <c r="C110" s="2858" t="s">
        <v>2715</v>
      </c>
      <c r="D110" s="2832" t="s">
        <v>2716</v>
      </c>
      <c r="E110" s="2858">
        <v>0.15</v>
      </c>
      <c r="F110" s="2858">
        <v>20</v>
      </c>
    </row>
    <row r="111" spans="1:6" ht="13.5">
      <c r="A111" s="2858">
        <v>37</v>
      </c>
      <c r="B111" s="3615"/>
      <c r="C111" s="2858" t="s">
        <v>2717</v>
      </c>
      <c r="D111" s="2832" t="s">
        <v>2718</v>
      </c>
      <c r="E111" s="2858">
        <v>0.15</v>
      </c>
      <c r="F111" s="2858">
        <v>20</v>
      </c>
    </row>
    <row r="112" spans="1:6" ht="13.5">
      <c r="A112" s="2858">
        <v>38</v>
      </c>
      <c r="B112" s="3615"/>
      <c r="C112" s="2858" t="s">
        <v>2719</v>
      </c>
      <c r="D112" s="2832" t="s">
        <v>2720</v>
      </c>
      <c r="E112" s="2858">
        <v>0.1</v>
      </c>
      <c r="F112" s="2858">
        <v>15</v>
      </c>
    </row>
    <row r="113" spans="1:6" ht="24">
      <c r="A113" s="2858">
        <v>39</v>
      </c>
      <c r="B113" s="3615"/>
      <c r="C113" s="2858" t="s">
        <v>2721</v>
      </c>
      <c r="D113" s="2832" t="s">
        <v>2722</v>
      </c>
      <c r="E113" s="2858">
        <v>0.1</v>
      </c>
      <c r="F113" s="2858">
        <v>15</v>
      </c>
    </row>
    <row r="114" spans="1:6" ht="24">
      <c r="A114" s="2858">
        <v>40</v>
      </c>
      <c r="B114" s="3621"/>
      <c r="C114" s="2858" t="s">
        <v>2723</v>
      </c>
      <c r="D114" s="2832" t="s">
        <v>2724</v>
      </c>
      <c r="E114" s="2858">
        <v>0.1</v>
      </c>
      <c r="F114" s="2858">
        <v>15</v>
      </c>
    </row>
    <row r="115" spans="1:6" ht="13.5">
      <c r="A115" s="2858">
        <v>41</v>
      </c>
      <c r="B115" s="3609" t="s">
        <v>2725</v>
      </c>
      <c r="C115" s="2858" t="s">
        <v>2726</v>
      </c>
      <c r="D115" s="2832" t="s">
        <v>2727</v>
      </c>
      <c r="E115" s="2858">
        <v>0.1</v>
      </c>
      <c r="F115" s="2858">
        <v>15</v>
      </c>
    </row>
    <row r="116" spans="1:6" ht="13.5">
      <c r="A116" s="2858">
        <v>42</v>
      </c>
      <c r="B116" s="3609"/>
      <c r="C116" s="2858" t="s">
        <v>2728</v>
      </c>
      <c r="D116" s="2832" t="s">
        <v>2729</v>
      </c>
      <c r="E116" s="2858">
        <v>0.1</v>
      </c>
      <c r="F116" s="2858">
        <v>15</v>
      </c>
    </row>
    <row r="117" spans="1:6" ht="24">
      <c r="A117" s="2858">
        <v>43</v>
      </c>
      <c r="B117" s="3609"/>
      <c r="C117" s="2858" t="s">
        <v>2730</v>
      </c>
      <c r="D117" s="2832" t="s">
        <v>2731</v>
      </c>
      <c r="E117" s="2858">
        <v>0.1</v>
      </c>
      <c r="F117" s="2858">
        <v>15</v>
      </c>
    </row>
    <row r="118" spans="1:6" ht="13.5">
      <c r="A118" s="2858">
        <v>44</v>
      </c>
      <c r="B118" s="3616" t="s">
        <v>2732</v>
      </c>
      <c r="C118" s="2858" t="s">
        <v>2733</v>
      </c>
      <c r="D118" s="2832" t="s">
        <v>2734</v>
      </c>
      <c r="E118" s="2858">
        <v>0.1</v>
      </c>
      <c r="F118" s="2858">
        <v>15</v>
      </c>
    </row>
    <row r="119" spans="1:6" ht="24">
      <c r="A119" s="2858">
        <v>45</v>
      </c>
      <c r="B119" s="3621"/>
      <c r="C119" s="2832" t="s">
        <v>2735</v>
      </c>
      <c r="D119" s="2832" t="s">
        <v>2736</v>
      </c>
      <c r="E119" s="2858">
        <v>0.1</v>
      </c>
      <c r="F119" s="2858">
        <v>15</v>
      </c>
    </row>
    <row r="120" spans="1:6" ht="24">
      <c r="A120" s="2858">
        <v>46</v>
      </c>
      <c r="B120" s="3616" t="s">
        <v>2737</v>
      </c>
      <c r="C120" s="2858" t="s">
        <v>2738</v>
      </c>
      <c r="D120" s="2832" t="s">
        <v>2739</v>
      </c>
      <c r="E120" s="2858">
        <v>0.1</v>
      </c>
      <c r="F120" s="2858">
        <v>15</v>
      </c>
    </row>
    <row r="121" spans="1:6" ht="24">
      <c r="A121" s="2858">
        <v>47</v>
      </c>
      <c r="B121" s="3621"/>
      <c r="C121" s="2858" t="s">
        <v>2740</v>
      </c>
      <c r="D121" s="2832" t="s">
        <v>2741</v>
      </c>
      <c r="E121" s="2858">
        <v>0.1</v>
      </c>
      <c r="F121" s="2858">
        <v>15</v>
      </c>
    </row>
    <row r="122" spans="1:6" ht="13.5">
      <c r="A122" s="2858">
        <v>48</v>
      </c>
      <c r="B122" s="3616" t="s">
        <v>2742</v>
      </c>
      <c r="C122" s="2858" t="s">
        <v>2743</v>
      </c>
      <c r="D122" s="2832" t="s">
        <v>2744</v>
      </c>
      <c r="E122" s="2858">
        <v>0.1</v>
      </c>
      <c r="F122" s="2858">
        <v>15</v>
      </c>
    </row>
    <row r="123" spans="1:6" ht="13.5">
      <c r="A123" s="2858">
        <v>49</v>
      </c>
      <c r="B123" s="3621"/>
      <c r="C123" s="2858" t="s">
        <v>2745</v>
      </c>
      <c r="D123" s="2832" t="s">
        <v>2746</v>
      </c>
      <c r="E123" s="2858">
        <v>0.1</v>
      </c>
      <c r="F123" s="2858">
        <v>15</v>
      </c>
    </row>
    <row r="124" spans="1:6" ht="24">
      <c r="A124" s="2858">
        <v>50</v>
      </c>
      <c r="B124" s="3609" t="s">
        <v>2747</v>
      </c>
      <c r="C124" s="2858" t="s">
        <v>2748</v>
      </c>
      <c r="D124" s="2832" t="s">
        <v>2749</v>
      </c>
      <c r="E124" s="2858">
        <v>0.1</v>
      </c>
      <c r="F124" s="2858">
        <v>15</v>
      </c>
    </row>
    <row r="125" spans="1:6" ht="24">
      <c r="A125" s="2858">
        <v>51</v>
      </c>
      <c r="B125" s="3609"/>
      <c r="C125" s="2858" t="s">
        <v>2750</v>
      </c>
      <c r="D125" s="2832" t="s">
        <v>2751</v>
      </c>
      <c r="E125" s="2858">
        <v>0.1</v>
      </c>
      <c r="F125" s="2858">
        <v>15</v>
      </c>
    </row>
    <row r="126" spans="1:6" ht="24">
      <c r="A126" s="2858">
        <v>52</v>
      </c>
      <c r="B126" s="3609" t="s">
        <v>2752</v>
      </c>
      <c r="C126" s="2858" t="s">
        <v>2753</v>
      </c>
      <c r="D126" s="2832" t="s">
        <v>2754</v>
      </c>
      <c r="E126" s="2858">
        <v>0.1</v>
      </c>
      <c r="F126" s="2858">
        <v>15</v>
      </c>
    </row>
    <row r="127" spans="1:6" ht="24">
      <c r="A127" s="2858">
        <v>53</v>
      </c>
      <c r="B127" s="3609"/>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609" t="s">
        <v>2760</v>
      </c>
      <c r="C129" s="2858" t="s">
        <v>2761</v>
      </c>
      <c r="D129" s="2832" t="s">
        <v>2762</v>
      </c>
      <c r="E129" s="2858">
        <v>0.1</v>
      </c>
      <c r="F129" s="2858">
        <v>15</v>
      </c>
    </row>
    <row r="130" spans="1:6" ht="13.5">
      <c r="A130" s="2858">
        <v>56</v>
      </c>
      <c r="B130" s="3609"/>
      <c r="C130" s="2858" t="s">
        <v>2763</v>
      </c>
      <c r="D130" s="2832" t="s">
        <v>2764</v>
      </c>
      <c r="E130" s="2858">
        <v>0.1</v>
      </c>
      <c r="F130" s="2858">
        <v>15</v>
      </c>
    </row>
    <row r="131" spans="1:6" ht="24">
      <c r="A131" s="2858">
        <v>57</v>
      </c>
      <c r="B131" s="3609"/>
      <c r="C131" s="2858" t="s">
        <v>2765</v>
      </c>
      <c r="D131" s="2832" t="s">
        <v>2766</v>
      </c>
      <c r="E131" s="2858">
        <v>0.1</v>
      </c>
      <c r="F131" s="2858">
        <v>15</v>
      </c>
    </row>
    <row r="132" spans="1:6" ht="24">
      <c r="A132" s="2858">
        <v>58</v>
      </c>
      <c r="B132" s="3609" t="s">
        <v>2767</v>
      </c>
      <c r="C132" s="2858" t="s">
        <v>2768</v>
      </c>
      <c r="D132" s="2832" t="s">
        <v>2769</v>
      </c>
      <c r="E132" s="2858">
        <v>0.1</v>
      </c>
      <c r="F132" s="2858">
        <v>15</v>
      </c>
    </row>
    <row r="133" spans="1:6" ht="13.5">
      <c r="A133" s="2858">
        <v>59</v>
      </c>
      <c r="B133" s="3609"/>
      <c r="C133" s="2858" t="s">
        <v>2770</v>
      </c>
      <c r="D133" s="2832" t="s">
        <v>2771</v>
      </c>
      <c r="E133" s="2858">
        <v>0.1</v>
      </c>
      <c r="F133" s="2858">
        <v>15</v>
      </c>
    </row>
    <row r="134" spans="1:6" ht="13.5">
      <c r="A134" s="2858">
        <v>60</v>
      </c>
      <c r="B134" s="3616" t="s">
        <v>2772</v>
      </c>
      <c r="C134" s="2858" t="s">
        <v>2773</v>
      </c>
      <c r="D134" s="2832" t="s">
        <v>2774</v>
      </c>
      <c r="E134" s="2858">
        <v>0.1</v>
      </c>
      <c r="F134" s="2858">
        <v>15</v>
      </c>
    </row>
    <row r="135" spans="1:6" ht="13.5">
      <c r="A135" s="2858">
        <v>61</v>
      </c>
      <c r="B135" s="3621"/>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609" t="s">
        <v>2780</v>
      </c>
      <c r="C137" s="2858" t="s">
        <v>2781</v>
      </c>
      <c r="D137" s="2832" t="s">
        <v>2782</v>
      </c>
      <c r="E137" s="2858">
        <v>0.1</v>
      </c>
      <c r="F137" s="2858">
        <v>15</v>
      </c>
    </row>
    <row r="138" spans="1:6" ht="13.5">
      <c r="A138" s="2858">
        <v>64</v>
      </c>
      <c r="B138" s="3609"/>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1.2158</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1.1565000000000001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26760</v>
      </c>
      <c r="C2" s="2" t="s">
        <v>106</v>
      </c>
      <c r="D2" s="191"/>
      <c r="E2" s="191"/>
      <c r="F2" s="191"/>
      <c r="G2" s="191"/>
    </row>
    <row r="3" spans="1:7" s="192" customFormat="1" ht="18" customHeight="1" thickBot="1">
      <c r="A3" s="195" t="s">
        <v>58</v>
      </c>
      <c r="B3" s="196">
        <f ca="1">ROUND(B2*10000/'数据-汇总表'!E3,0)</f>
        <v>820859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v>
      </c>
      <c r="D10" s="795">
        <f>'数据-汇总表'!E6</f>
        <v>326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v>
      </c>
      <c r="D19" s="204">
        <f>'数据-汇总表'!E3</f>
        <v>326</v>
      </c>
      <c r="E19" s="203">
        <f>'数据-取费表'!B31</f>
        <v>200</v>
      </c>
      <c r="F19" s="223"/>
      <c r="G19" s="1" t="s">
        <v>436</v>
      </c>
    </row>
    <row r="20" spans="1:7" s="206" customFormat="1" ht="13.5" customHeight="1">
      <c r="A20" s="731" t="s">
        <v>419</v>
      </c>
      <c r="B20" s="202" t="s">
        <v>77</v>
      </c>
      <c r="C20" s="224">
        <f>ROUND((C5+C19)*F20,0)</f>
        <v>619</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967</v>
      </c>
      <c r="D22" s="227">
        <f ca="1">C26</f>
        <v>6.9999999999999999E-4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2124</v>
      </c>
      <c r="D27" s="227">
        <f>C29</f>
        <v>3.0000000000000001E-3</v>
      </c>
      <c r="E27" s="228" t="s">
        <v>99</v>
      </c>
      <c r="F27" s="238">
        <f>'数据-取费表'!Q16</f>
        <v>0.1</v>
      </c>
      <c r="G27" s="239" t="s">
        <v>431</v>
      </c>
    </row>
    <row r="28" spans="1:7" s="206" customFormat="1" ht="13.5" customHeight="1">
      <c r="A28" s="734" t="s">
        <v>349</v>
      </c>
      <c r="B28" s="240" t="s">
        <v>424</v>
      </c>
      <c r="C28" s="241">
        <f>ROUND((C5+C19+C20)*F27*'数据-取费表'!B21/'数据-取费表'!B20,0)</f>
        <v>2124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26646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v>
      </c>
      <c r="D37" s="209">
        <f>'数据-汇总表'!E3</f>
        <v>326</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428" t="s">
        <v>94</v>
      </c>
    </row>
    <row r="43" spans="1:7" ht="13.5" customHeight="1">
      <c r="A43" s="734" t="s">
        <v>347</v>
      </c>
      <c r="B43" s="207" t="s">
        <v>426</v>
      </c>
      <c r="C43" s="230">
        <f ca="1">ROUND(IF('数据-取费表'!B22&lt;=1,C39*F22*'数据-取费表'!B21/2,C39*(POWER((1+F22),'数据-取费表'!B21/2)-1)),0)</f>
        <v>0</v>
      </c>
      <c r="D43" s="230"/>
      <c r="E43" s="230"/>
      <c r="F43" s="231"/>
      <c r="G43" s="3429"/>
    </row>
    <row r="44" spans="1:7" ht="13.5" customHeight="1">
      <c r="A44" s="734" t="s">
        <v>348</v>
      </c>
      <c r="B44" s="207" t="s">
        <v>428</v>
      </c>
      <c r="C44" s="230">
        <f ca="1">ROUND(IF('数据-取费表'!B22&lt;=1,C40*F22*'数据-取费表'!B21/2,C40*(POWER((1+F22),'数据-取费表'!B21/2)-1)),4)</f>
        <v>6.9999999999999999E-4</v>
      </c>
      <c r="D44" s="230"/>
      <c r="E44" s="230"/>
      <c r="F44" s="231"/>
      <c r="G44" s="3430"/>
    </row>
    <row r="45" spans="1:7" s="206" customFormat="1" ht="13.5" customHeight="1">
      <c r="A45" s="731" t="s">
        <v>341</v>
      </c>
      <c r="B45" s="236" t="s">
        <v>85</v>
      </c>
      <c r="C45" s="237">
        <f>C46</f>
        <v>13</v>
      </c>
      <c r="D45" s="227">
        <f>C47</f>
        <v>3.0000000000000001E-3</v>
      </c>
      <c r="E45" s="228" t="s">
        <v>102</v>
      </c>
      <c r="F45" s="238"/>
      <c r="G45" s="239" t="s">
        <v>434</v>
      </c>
    </row>
    <row r="46" spans="1:7" s="206" customFormat="1" ht="13.5" customHeight="1">
      <c r="A46" s="734" t="s">
        <v>349</v>
      </c>
      <c r="B46" s="240" t="s">
        <v>427</v>
      </c>
      <c r="C46" s="241">
        <f>ROUND((C33+C39)*F27,0)</f>
        <v>13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163</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114</v>
      </c>
      <c r="D51" s="224"/>
      <c r="E51" s="224"/>
      <c r="F51" s="256"/>
      <c r="G51" s="226" t="s">
        <v>37</v>
      </c>
    </row>
    <row r="52" spans="1:7" s="200" customFormat="1" ht="16.5" thickBot="1">
      <c r="A52" s="257" t="s">
        <v>38</v>
      </c>
      <c r="B52" s="258"/>
      <c r="C52" s="259">
        <f ca="1">C31+C51</f>
        <v>26760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622" t="s">
        <v>3172</v>
      </c>
      <c r="B1" s="362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623" t="s">
        <v>3223</v>
      </c>
      <c r="B1" s="3623"/>
      <c r="C1" s="3623"/>
      <c r="D1" s="3623"/>
      <c r="E1" s="3623"/>
      <c r="F1" s="362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45922</v>
      </c>
      <c r="B1" s="2930" t="s">
        <v>3367</v>
      </c>
      <c r="C1" s="2931"/>
      <c r="D1" s="2931"/>
      <c r="E1" s="2931"/>
      <c r="F1" s="2931"/>
      <c r="G1" s="2931"/>
      <c r="H1" s="2931"/>
      <c r="I1" s="2931"/>
      <c r="J1" s="2897"/>
      <c r="K1" s="2931" t="s">
        <v>454</v>
      </c>
      <c r="L1" s="2931"/>
      <c r="M1" s="2931"/>
      <c r="N1" s="2931"/>
      <c r="O1" s="2931"/>
      <c r="P1" s="2931"/>
      <c r="Q1" s="2897"/>
      <c r="R1" s="3625" t="s">
        <v>456</v>
      </c>
      <c r="S1" s="3626"/>
      <c r="T1" s="3626"/>
      <c r="U1" s="3626"/>
      <c r="V1" s="3626"/>
      <c r="W1" s="3626"/>
      <c r="X1" s="2897"/>
      <c r="Y1" s="3625" t="s">
        <v>457</v>
      </c>
      <c r="Z1" s="3626"/>
      <c r="AA1" s="3626"/>
      <c r="AB1" s="3626"/>
      <c r="AC1" s="3626"/>
      <c r="AD1" s="362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3394</v>
      </c>
      <c r="AG2" t="s">
        <v>673</v>
      </c>
      <c r="AH2" t="s">
        <v>21</v>
      </c>
      <c r="AI2" t="s">
        <v>3395</v>
      </c>
      <c r="AJ2" t="s">
        <v>3</v>
      </c>
      <c r="AK2" t="s">
        <v>3396</v>
      </c>
      <c r="AM2" t="s">
        <v>3394</v>
      </c>
      <c r="AN2" t="s">
        <v>673</v>
      </c>
      <c r="AO2" t="s">
        <v>21</v>
      </c>
      <c r="AP2" t="s">
        <v>3395</v>
      </c>
      <c r="AQ2" t="s">
        <v>3</v>
      </c>
      <c r="AR2" t="s">
        <v>3396</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2.75">
      <c r="A6" s="2040" t="s">
        <v>3392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7" customFormat="1" ht="12.75">
      <c r="A7" s="2908" t="s">
        <v>3391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2.75">
      <c r="A8" s="2040" t="s">
        <v>3399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2.75">
      <c r="A9" s="2040" t="s">
        <v>3398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25" thickTop="1"/>
    <row r="26" spans="1:44">
      <c r="A26" s="3142"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625" t="s">
        <v>2818</v>
      </c>
      <c r="S29" s="3626"/>
      <c r="T29" s="3626"/>
      <c r="U29" s="3626"/>
      <c r="V29" s="3626"/>
      <c r="W29" s="3626"/>
      <c r="X29" s="2897"/>
      <c r="Y29" s="3625" t="s">
        <v>2819</v>
      </c>
      <c r="Z29" s="3626"/>
      <c r="AA29" s="3626"/>
      <c r="AB29" s="3626"/>
      <c r="AC29" s="3626"/>
      <c r="AD29" s="362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3395</v>
      </c>
      <c r="AJ30"/>
      <c r="AK30" t="s">
        <v>3396</v>
      </c>
      <c r="AN30" t="s">
        <v>673</v>
      </c>
      <c r="AO30" t="s">
        <v>21</v>
      </c>
      <c r="AP30" t="s">
        <v>3395</v>
      </c>
      <c r="AQ30"/>
      <c r="AR30" t="s">
        <v>3396</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2.75">
      <c r="A34" s="2040" t="s">
        <v>3392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7" customFormat="1" ht="12.75">
      <c r="A35" s="2908" t="s">
        <v>3400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2.75">
      <c r="A36" s="2040" t="s">
        <v>3397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2.75">
      <c r="A37" s="2040" t="s">
        <v>3398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25" thickTop="1"/>
    <row r="54" spans="1:44">
      <c r="A54" s="3142"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630" t="s">
        <v>452</v>
      </c>
      <c r="C1" s="3630"/>
      <c r="D1" s="3630"/>
      <c r="E1" s="3630"/>
      <c r="F1" s="3630"/>
      <c r="G1" s="3626" t="s">
        <v>453</v>
      </c>
      <c r="H1" s="3626"/>
      <c r="I1" s="3626"/>
      <c r="J1" s="3626"/>
      <c r="K1" s="3626"/>
      <c r="L1" s="3626"/>
      <c r="N1" s="3626" t="s">
        <v>454</v>
      </c>
      <c r="O1" s="3626"/>
      <c r="P1" s="3626"/>
      <c r="Q1" s="3626"/>
      <c r="S1" s="3626" t="s">
        <v>455</v>
      </c>
      <c r="T1" s="3626"/>
      <c r="U1" s="3626"/>
      <c r="V1" s="3626"/>
      <c r="X1" s="3625" t="s">
        <v>456</v>
      </c>
      <c r="Y1" s="3626"/>
      <c r="Z1" s="3626"/>
      <c r="AA1" s="3626"/>
      <c r="AB1" s="3626"/>
      <c r="AD1" s="3625" t="s">
        <v>457</v>
      </c>
      <c r="AE1" s="3626"/>
      <c r="AF1" s="3626"/>
      <c r="AG1" s="3626"/>
      <c r="AH1" s="362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62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62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62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63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63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62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62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63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63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62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62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62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62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62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62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62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62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62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62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62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63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63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63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63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62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62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62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62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62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62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62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62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62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62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62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62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62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62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62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62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62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62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62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62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62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62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62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62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62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62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62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62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62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62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62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62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62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62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62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62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62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62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62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62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62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62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62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62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638" t="s">
        <v>2830</v>
      </c>
      <c r="B1" s="3638"/>
      <c r="C1" s="3638"/>
      <c r="D1" s="3638"/>
      <c r="E1" s="3638"/>
      <c r="F1" s="3638"/>
      <c r="G1" s="363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63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63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928</v>
      </c>
      <c r="B2" s="3258" t="s">
        <v>929</v>
      </c>
      <c r="C2" s="3258" t="s">
        <v>930</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9"/>
      <c r="B3" s="3259"/>
      <c r="C3" s="3259"/>
      <c r="D3" s="801" t="s">
        <v>925</v>
      </c>
      <c r="E3" s="801" t="s">
        <v>931</v>
      </c>
      <c r="F3" s="801" t="s">
        <v>925</v>
      </c>
      <c r="G3" s="801" t="s">
        <v>926</v>
      </c>
      <c r="H3" s="801" t="s">
        <v>925</v>
      </c>
      <c r="I3" s="801" t="s">
        <v>926</v>
      </c>
    </row>
    <row r="4" spans="1:9" ht="15">
      <c r="A4" s="1403" t="str">
        <f>项目基本情况!S2</f>
        <v>北京市房地产</v>
      </c>
      <c r="B4" s="801">
        <f>项目基本情况!C17</f>
        <v>326</v>
      </c>
      <c r="C4" s="801">
        <f>项目基本情况!C18</f>
        <v>763.36</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59" t="s">
        <v>927</v>
      </c>
      <c r="B5" s="3259"/>
      <c r="C5" s="3259"/>
      <c r="D5" s="3259" t="e">
        <f ca="1">结果表!D119</f>
        <v>#REF!</v>
      </c>
      <c r="E5" s="3259"/>
      <c r="F5" s="3259" t="e">
        <f ca="1">结果表!F119</f>
        <v>#REF!</v>
      </c>
      <c r="G5" s="3259"/>
      <c r="H5" s="3259" t="e">
        <f ca="1">结果表!H119</f>
        <v>#REF!</v>
      </c>
      <c r="I5" s="3259"/>
    </row>
    <row r="6" spans="1:9" ht="15.75">
      <c r="A6" s="3260" t="str">
        <f>结果表!A120</f>
        <v>估价师知悉的法定优先受偿款</v>
      </c>
      <c r="B6" s="3260"/>
      <c r="C6" s="3260"/>
      <c r="D6" s="3260">
        <f>结果表!D120</f>
        <v>0</v>
      </c>
      <c r="E6" s="3260"/>
      <c r="F6" s="3260"/>
      <c r="G6" s="3260"/>
      <c r="H6" s="3260"/>
      <c r="I6" s="3260"/>
    </row>
    <row r="7" spans="1:9" ht="15">
      <c r="A7" s="3259" t="s">
        <v>927</v>
      </c>
      <c r="B7" s="3259"/>
      <c r="C7" s="3259"/>
      <c r="D7" s="3261" t="str">
        <f>结果表!D121</f>
        <v>零元整</v>
      </c>
      <c r="E7" s="3262"/>
      <c r="F7" s="3262"/>
      <c r="G7" s="3262"/>
      <c r="H7" s="3262"/>
      <c r="I7" s="3263"/>
    </row>
    <row r="8" spans="1:9" ht="15.75">
      <c r="A8" s="3260" t="str">
        <f>结果表!A122</f>
        <v>房地产抵押价值</v>
      </c>
      <c r="B8" s="3260"/>
      <c r="C8" s="3260"/>
      <c r="D8" s="3260" t="e">
        <f ca="1">结果表!D122</f>
        <v>#REF!</v>
      </c>
      <c r="E8" s="3260"/>
      <c r="F8" s="3260"/>
      <c r="G8" s="3260"/>
      <c r="H8" s="3260"/>
      <c r="I8" s="3260"/>
    </row>
    <row r="9" spans="1:9" ht="15">
      <c r="A9" s="3259" t="s">
        <v>927</v>
      </c>
      <c r="B9" s="3259"/>
      <c r="C9" s="3259"/>
      <c r="D9" s="3259" t="e">
        <f ca="1">结果表!D123</f>
        <v>#REF!</v>
      </c>
      <c r="E9" s="3259"/>
      <c r="F9" s="3259"/>
      <c r="G9" s="3259"/>
      <c r="H9" s="3259"/>
      <c r="I9" s="3259"/>
    </row>
    <row r="10" spans="1:9" ht="15.75">
      <c r="A10" s="3260" t="str">
        <f>结果表!A124</f>
        <v/>
      </c>
      <c r="B10" s="3260"/>
      <c r="C10" s="3260"/>
      <c r="D10" s="3260" t="str">
        <f>结果表!D124</f>
        <v>——</v>
      </c>
      <c r="E10" s="3260"/>
      <c r="F10" s="3260"/>
      <c r="G10" s="3260"/>
      <c r="H10" s="3260"/>
      <c r="I10" s="3260"/>
    </row>
    <row r="11" spans="1:9" ht="15">
      <c r="A11" s="3259" t="s">
        <v>927</v>
      </c>
      <c r="B11" s="3259"/>
      <c r="C11" s="3259"/>
      <c r="D11" s="3259" t="e">
        <f>结果表!D125</f>
        <v>#VALUE!</v>
      </c>
      <c r="E11" s="3259"/>
      <c r="F11" s="3259"/>
      <c r="G11" s="3259"/>
      <c r="H11" s="3259"/>
      <c r="I11" s="3259"/>
    </row>
    <row r="12" spans="1:9" ht="15.75">
      <c r="A12" s="3260" t="str">
        <f>结果表!A126</f>
        <v/>
      </c>
      <c r="B12" s="3260"/>
      <c r="C12" s="3260"/>
      <c r="D12" s="3260" t="str">
        <f>结果表!D126</f>
        <v>——</v>
      </c>
      <c r="E12" s="3260"/>
      <c r="F12" s="3260"/>
      <c r="G12" s="3260"/>
      <c r="H12" s="3260"/>
      <c r="I12" s="3260"/>
    </row>
    <row r="13" spans="1:9" ht="15.75" thickBot="1">
      <c r="A13" s="3264" t="s">
        <v>927</v>
      </c>
      <c r="B13" s="3264"/>
      <c r="C13" s="3264"/>
      <c r="D13" s="3264" t="e">
        <f>结果表!D127</f>
        <v>#VALUE!</v>
      </c>
      <c r="E13" s="3264"/>
      <c r="F13" s="3264"/>
      <c r="G13" s="3264"/>
      <c r="H13" s="3264"/>
      <c r="I13" s="3264"/>
    </row>
    <row r="14" spans="1:9" ht="15" thickTop="1">
      <c r="A14" s="3265" t="s">
        <v>932</v>
      </c>
      <c r="B14" s="3265"/>
      <c r="C14" s="3265"/>
      <c r="D14" s="3265"/>
      <c r="E14" s="3265"/>
      <c r="F14" s="3265"/>
      <c r="G14" s="3265"/>
      <c r="H14" s="3265"/>
      <c r="I14" s="32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45922</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66" t="s">
        <v>949</v>
      </c>
      <c r="B1" s="3266"/>
      <c r="C1" s="3266"/>
      <c r="D1" s="3266"/>
    </row>
    <row r="2" spans="1:4" ht="18">
      <c r="A2" s="3267" t="s">
        <v>933</v>
      </c>
      <c r="B2" s="3267"/>
      <c r="C2" s="3267"/>
      <c r="D2" s="326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67" t="s">
        <v>939</v>
      </c>
      <c r="B6" s="3267"/>
      <c r="C6" s="3267"/>
      <c r="D6" s="326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68" t="s">
        <v>942</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943</v>
      </c>
      <c r="B16" s="3272"/>
      <c r="C16" s="3272"/>
      <c r="D16" s="3272"/>
    </row>
    <row r="17" spans="1:4" ht="144" customHeight="1">
      <c r="A17" s="3272" t="s">
        <v>944</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945</v>
      </c>
      <c r="B22" s="3274"/>
      <c r="C22" s="3274"/>
      <c r="D22" s="327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80" t="s">
        <v>956</v>
      </c>
      <c r="B15" s="3275" t="s">
        <v>109</v>
      </c>
      <c r="C15" s="3276"/>
    </row>
    <row r="16" spans="1:7" ht="13.5">
      <c r="A16" s="3281"/>
      <c r="B16" s="3275" t="s">
        <v>42</v>
      </c>
      <c r="C16" s="3276"/>
    </row>
    <row r="17" spans="1:3" ht="13.5">
      <c r="A17" s="3281"/>
      <c r="B17" s="3278" t="s">
        <v>957</v>
      </c>
      <c r="C17" s="1429" t="s">
        <v>956</v>
      </c>
    </row>
    <row r="18" spans="1:3" ht="13.5">
      <c r="A18" s="3281"/>
      <c r="B18" s="3278"/>
      <c r="C18" s="1429" t="s">
        <v>958</v>
      </c>
    </row>
    <row r="19" spans="1:3" ht="13.5">
      <c r="A19" s="3281"/>
      <c r="B19" s="3278"/>
      <c r="C19" s="1429" t="s">
        <v>959</v>
      </c>
    </row>
    <row r="20" spans="1:3" ht="13.5">
      <c r="A20" s="3282"/>
      <c r="B20" s="3277" t="s">
        <v>960</v>
      </c>
      <c r="C20" s="3276"/>
    </row>
    <row r="21" spans="1:3" ht="13.5">
      <c r="A21" s="1430" t="s">
        <v>961</v>
      </c>
      <c r="B21" s="1431"/>
      <c r="C21" s="1432"/>
    </row>
    <row r="22" spans="1:3" ht="13.5">
      <c r="A22" s="3279" t="s">
        <v>962</v>
      </c>
      <c r="B22" s="3277" t="s">
        <v>963</v>
      </c>
      <c r="C22" s="3276"/>
    </row>
    <row r="23" spans="1:3" ht="13.5">
      <c r="A23" s="3279"/>
      <c r="B23" s="3277" t="s">
        <v>964</v>
      </c>
      <c r="C23" s="3276"/>
    </row>
    <row r="24" spans="1:3" ht="13.5">
      <c r="A24" s="3279"/>
      <c r="B24" s="3277" t="s">
        <v>965</v>
      </c>
      <c r="C24" s="3276"/>
    </row>
    <row r="25" spans="1:3" ht="13.5">
      <c r="A25" s="3279"/>
      <c r="B25" s="3278" t="s">
        <v>966</v>
      </c>
      <c r="C25" s="1429" t="s">
        <v>967</v>
      </c>
    </row>
    <row r="26" spans="1:3" ht="13.5">
      <c r="A26" s="3279"/>
      <c r="B26" s="3278"/>
      <c r="C26" s="1429" t="s">
        <v>968</v>
      </c>
    </row>
    <row r="27" spans="1:3" ht="13.5">
      <c r="A27" s="3279"/>
      <c r="B27" s="3278"/>
      <c r="C27" s="1429" t="s">
        <v>969</v>
      </c>
    </row>
    <row r="28" spans="1:3" ht="13.5">
      <c r="A28" s="3279"/>
      <c r="B28" s="3278"/>
      <c r="C28" s="1429" t="s">
        <v>970</v>
      </c>
    </row>
    <row r="29" spans="1:3" ht="13.5">
      <c r="A29" s="3279"/>
      <c r="B29" s="3278"/>
      <c r="C29" s="1429" t="s">
        <v>971</v>
      </c>
    </row>
    <row r="30" spans="1:3" ht="13.5">
      <c r="A30" s="3279"/>
      <c r="B30" s="3278"/>
      <c r="C30" s="1429" t="s">
        <v>972</v>
      </c>
    </row>
    <row r="31" spans="1:3" ht="13.5">
      <c r="A31" s="3279"/>
      <c r="B31" s="3278"/>
      <c r="C31" s="1429" t="s">
        <v>973</v>
      </c>
    </row>
    <row r="32" spans="1:3" ht="13.5">
      <c r="A32" s="3279"/>
      <c r="B32" s="3278"/>
      <c r="C32" s="1429" t="s">
        <v>974</v>
      </c>
    </row>
    <row r="33" spans="1:3" ht="13.5">
      <c r="A33" s="3279"/>
      <c r="B33" s="327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45923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83" t="s">
        <v>2160</v>
      </c>
      <c r="B17" s="3283"/>
      <c r="C17" s="3283"/>
      <c r="D17" s="3283"/>
      <c r="E17" s="3283"/>
      <c r="F17" s="3283"/>
      <c r="G17" s="3283"/>
      <c r="H17" s="3283"/>
    </row>
    <row r="18" spans="1:8" ht="24" customHeight="1">
      <c r="A18" s="3284" t="s">
        <v>2161</v>
      </c>
      <c r="B18" s="3284"/>
      <c r="C18" s="3284"/>
      <c r="D18" s="2160"/>
      <c r="E18" s="3285" t="s">
        <v>2162</v>
      </c>
      <c r="F18" s="3284"/>
      <c r="G18" s="328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比较法-商业-售价</vt:lpstr>
      <vt:lpstr>比较法-商业-租金</vt:lpstr>
      <vt:lpstr>收益法倒推-商业</vt:lpstr>
      <vt:lpstr>售价案例</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'比较法-商业-售价'!商业层高</vt:lpstr>
      <vt:lpstr>'比较法-商业-租金'!商业层高</vt:lpstr>
      <vt:lpstr>'比较法-商业-售价'!商业成新度</vt:lpstr>
      <vt:lpstr>'比较法-商业-租金'!商业成新度</vt:lpstr>
      <vt:lpstr>商业繁华度</vt:lpstr>
      <vt:lpstr>'比较法-商业-售价'!商业公共部分装修</vt:lpstr>
      <vt:lpstr>'比较法-商业-租金'!商业公共部分装修</vt:lpstr>
      <vt:lpstr>'比较法-商业-售价'!商业基础设施水平</vt:lpstr>
      <vt:lpstr>'比较法-商业-租金'!商业基础设施水平</vt:lpstr>
      <vt:lpstr>'比较法-商业-售价'!商业建筑结构</vt:lpstr>
      <vt:lpstr>'比较法-商业-租金'!商业建筑结构</vt:lpstr>
      <vt:lpstr>'比较法-商业-售价'!商业交易情况</vt:lpstr>
      <vt:lpstr>'比较法-商业-租金'!商业交易情况</vt:lpstr>
      <vt:lpstr>商业街名称</vt:lpstr>
      <vt:lpstr>'比较法-商业-售价'!商业进深比</vt:lpstr>
      <vt:lpstr>'比较法-商业-租金'!商业进深比</vt:lpstr>
      <vt:lpstr>'比较法-商业-售价'!商业类型</vt:lpstr>
      <vt:lpstr>'比较法-商业-租金'!商业类型</vt:lpstr>
      <vt:lpstr>'比较法-商业-售价'!商业临街状况</vt:lpstr>
      <vt:lpstr>'比较法-商业-租金'!商业临街状况</vt:lpstr>
      <vt:lpstr>'比较法-商业-售价'!商业楼层</vt:lpstr>
      <vt:lpstr>'比较法-商业-租金'!商业楼层</vt:lpstr>
      <vt:lpstr>'比较法-商业-售价'!商业内部装修</vt:lpstr>
      <vt:lpstr>'比较法-商业-租金'!商业内部装修</vt:lpstr>
      <vt:lpstr>'比较法-商业-售价'!商业人流量</vt:lpstr>
      <vt:lpstr>'比较法-商业-租金'!商业人流量</vt:lpstr>
      <vt:lpstr>'比较法-商业-售价'!商业业态</vt:lpstr>
      <vt:lpstr>'比较法-商业-租金'!商业业态</vt:lpstr>
      <vt:lpstr>'比较法-商业-售价'!商业用途</vt:lpstr>
      <vt:lpstr>'比较法-商业-租金'!商业用途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2025-09-23T05:39:27Z</dcterms:modified>
</cp:coreProperties>
</file>